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All projects\3570\Working\1-PRR\New folder\"/>
    </mc:Choice>
  </mc:AlternateContent>
  <xr:revisionPtr revIDLastSave="0" documentId="13_ncr:1_{B988FA91-FEB4-4FF4-B0E8-F8A1FD2E3E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eneral Information" sheetId="1" r:id="rId1"/>
    <sheet name="Tulda 2019" sheetId="19" r:id="rId2"/>
    <sheet name="Tulda 2020" sheetId="20" r:id="rId3"/>
    <sheet name="Tulda 2021" sheetId="21" r:id="rId4"/>
    <sheet name="Tulda 2022" sheetId="22" r:id="rId5"/>
    <sheet name="SOC" sheetId="3" r:id="rId6"/>
    <sheet name="Baseline" sheetId="5" r:id="rId7"/>
    <sheet name="Leakage" sheetId="6" r:id="rId8"/>
    <sheet name="NPR" sheetId="7" r:id="rId9"/>
    <sheet name="Summary" sheetId="8" r:id="rId10"/>
    <sheet name="LTA" sheetId="12" r:id="rId11"/>
  </sheets>
  <externalReferences>
    <externalReference r:id="rId12"/>
    <externalReference r:id="rId13"/>
  </externalReferences>
  <definedNames>
    <definedName name="FI_Cropland">'[1]IPCC Tables'!$B$15:$F$15</definedName>
    <definedName name="FI_Grassland">'[1]IPCC Tables'!$J$15:$M$15</definedName>
    <definedName name="FLU">'[1]IPCC Tables'!$J$2:$M$2</definedName>
    <definedName name="FMG_Cropland">'[2]IPCC Tables'!$P$2:$S$2</definedName>
    <definedName name="FMG_Grassland">'[2]IPCC Tables'!$V$2:$Z$2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22" l="1"/>
  <c r="K6" i="21"/>
  <c r="K6" i="20"/>
  <c r="K6" i="19"/>
  <c r="E33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4" i="8"/>
  <c r="G4" i="3"/>
  <c r="K15" i="22" l="1"/>
  <c r="K14" i="22"/>
  <c r="K13" i="22"/>
  <c r="K14" i="21"/>
  <c r="K13" i="21"/>
  <c r="I4" i="22"/>
  <c r="I3" i="22"/>
  <c r="I4" i="21"/>
  <c r="I3" i="21"/>
  <c r="I4" i="20"/>
  <c r="I3" i="20"/>
  <c r="I4" i="19" l="1"/>
  <c r="I3" i="19"/>
  <c r="C15" i="1"/>
  <c r="E3" i="8"/>
  <c r="G5" i="3"/>
  <c r="G7" i="3" s="1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7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6" i="5" l="1"/>
  <c r="O5" i="5"/>
  <c r="N4" i="5"/>
  <c r="AA4" i="5"/>
  <c r="AA6" i="5"/>
  <c r="I6" i="5"/>
  <c r="AA5" i="5"/>
  <c r="Z5" i="5"/>
  <c r="H5" i="5"/>
  <c r="N5" i="5" s="1"/>
  <c r="Z4" i="5"/>
  <c r="Y4" i="5"/>
  <c r="F6" i="1"/>
  <c r="I7" i="20" s="1"/>
  <c r="I7" i="21" l="1"/>
  <c r="I7" i="22"/>
  <c r="I7" i="19"/>
  <c r="I7" i="5"/>
  <c r="O6" i="5"/>
  <c r="H6" i="5"/>
  <c r="H34" i="12"/>
  <c r="I34" i="12" s="1"/>
  <c r="H33" i="12"/>
  <c r="I33" i="12" s="1"/>
  <c r="H32" i="12"/>
  <c r="I32" i="12" s="1"/>
  <c r="H31" i="12"/>
  <c r="I31" i="12" s="1"/>
  <c r="H30" i="12"/>
  <c r="I30" i="12" s="1"/>
  <c r="H29" i="12"/>
  <c r="I29" i="12" s="1"/>
  <c r="H28" i="12"/>
  <c r="I28" i="12" s="1"/>
  <c r="H27" i="12"/>
  <c r="I27" i="12" s="1"/>
  <c r="H26" i="12"/>
  <c r="I26" i="12" s="1"/>
  <c r="H25" i="12"/>
  <c r="I25" i="12" s="1"/>
  <c r="H24" i="12"/>
  <c r="I24" i="12" s="1"/>
  <c r="H23" i="12"/>
  <c r="I23" i="12" s="1"/>
  <c r="H22" i="12"/>
  <c r="I22" i="12" s="1"/>
  <c r="H21" i="12"/>
  <c r="I21" i="12" s="1"/>
  <c r="H20" i="12"/>
  <c r="I20" i="12" s="1"/>
  <c r="H19" i="12"/>
  <c r="I19" i="12" s="1"/>
  <c r="H18" i="12"/>
  <c r="I18" i="12" s="1"/>
  <c r="H17" i="12"/>
  <c r="I17" i="12" s="1"/>
  <c r="H16" i="12"/>
  <c r="I16" i="12" s="1"/>
  <c r="H15" i="12"/>
  <c r="I15" i="12" s="1"/>
  <c r="H14" i="12"/>
  <c r="I14" i="12" s="1"/>
  <c r="H13" i="12"/>
  <c r="I13" i="12" s="1"/>
  <c r="G34" i="8"/>
  <c r="G35" i="8" s="1"/>
  <c r="E34" i="8"/>
  <c r="E35" i="8" s="1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D10" i="3"/>
  <c r="N41" i="22"/>
  <c r="N40" i="22"/>
  <c r="N39" i="22"/>
  <c r="N38" i="22"/>
  <c r="N37" i="22"/>
  <c r="N36" i="22"/>
  <c r="N35" i="22"/>
  <c r="N34" i="22"/>
  <c r="N33" i="22"/>
  <c r="N32" i="22"/>
  <c r="N31" i="22"/>
  <c r="N30" i="22"/>
  <c r="D30" i="22"/>
  <c r="E30" i="22" s="1"/>
  <c r="N29" i="22"/>
  <c r="D29" i="22"/>
  <c r="E29" i="22" s="1"/>
  <c r="N28" i="22"/>
  <c r="D28" i="22"/>
  <c r="E28" i="22" s="1"/>
  <c r="N27" i="22"/>
  <c r="D27" i="22"/>
  <c r="E27" i="22" s="1"/>
  <c r="N26" i="22"/>
  <c r="D26" i="22"/>
  <c r="E26" i="22" s="1"/>
  <c r="N25" i="22"/>
  <c r="D25" i="22"/>
  <c r="E25" i="22" s="1"/>
  <c r="N24" i="22"/>
  <c r="D24" i="22"/>
  <c r="E24" i="22" s="1"/>
  <c r="N23" i="22"/>
  <c r="D23" i="22"/>
  <c r="E23" i="22" s="1"/>
  <c r="N22" i="22"/>
  <c r="D22" i="22"/>
  <c r="E22" i="22" s="1"/>
  <c r="N21" i="22"/>
  <c r="D21" i="22"/>
  <c r="E21" i="22" s="1"/>
  <c r="N20" i="22"/>
  <c r="D20" i="22"/>
  <c r="E20" i="22" s="1"/>
  <c r="N19" i="22"/>
  <c r="D19" i="22"/>
  <c r="E19" i="22" s="1"/>
  <c r="N18" i="22"/>
  <c r="N17" i="22"/>
  <c r="D17" i="22"/>
  <c r="E17" i="22" s="1"/>
  <c r="N16" i="22"/>
  <c r="J16" i="22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J35" i="22" s="1"/>
  <c r="J36" i="22" s="1"/>
  <c r="J37" i="22" s="1"/>
  <c r="J38" i="22" s="1"/>
  <c r="J39" i="22" s="1"/>
  <c r="J40" i="22" s="1"/>
  <c r="J41" i="22" s="1"/>
  <c r="J42" i="22" s="1"/>
  <c r="I16" i="22"/>
  <c r="D16" i="22"/>
  <c r="E16" i="22" s="1"/>
  <c r="N15" i="22"/>
  <c r="C15" i="22"/>
  <c r="D15" i="22" s="1"/>
  <c r="E15" i="22" s="1"/>
  <c r="N14" i="22"/>
  <c r="D14" i="22"/>
  <c r="E14" i="22" s="1"/>
  <c r="L13" i="22"/>
  <c r="E13" i="22"/>
  <c r="E12" i="22"/>
  <c r="I6" i="22"/>
  <c r="K5" i="22"/>
  <c r="I5" i="22"/>
  <c r="K4" i="22"/>
  <c r="K3" i="22"/>
  <c r="N41" i="21"/>
  <c r="N40" i="21"/>
  <c r="N39" i="21"/>
  <c r="N38" i="21"/>
  <c r="N37" i="21"/>
  <c r="N36" i="21"/>
  <c r="N35" i="21"/>
  <c r="N34" i="21"/>
  <c r="N33" i="21"/>
  <c r="N32" i="21"/>
  <c r="N31" i="21"/>
  <c r="N30" i="21"/>
  <c r="D30" i="21"/>
  <c r="E30" i="21" s="1"/>
  <c r="N29" i="21"/>
  <c r="D29" i="21"/>
  <c r="E29" i="21" s="1"/>
  <c r="N28" i="21"/>
  <c r="D28" i="21"/>
  <c r="E28" i="21" s="1"/>
  <c r="N27" i="21"/>
  <c r="D27" i="21"/>
  <c r="E27" i="21" s="1"/>
  <c r="N26" i="21"/>
  <c r="D26" i="21"/>
  <c r="E26" i="21" s="1"/>
  <c r="N25" i="21"/>
  <c r="D25" i="21"/>
  <c r="E25" i="21" s="1"/>
  <c r="N24" i="21"/>
  <c r="D24" i="21"/>
  <c r="E24" i="21" s="1"/>
  <c r="N23" i="21"/>
  <c r="D23" i="21"/>
  <c r="E23" i="21" s="1"/>
  <c r="N22" i="21"/>
  <c r="D22" i="21"/>
  <c r="E22" i="21" s="1"/>
  <c r="N21" i="21"/>
  <c r="D21" i="21"/>
  <c r="E21" i="21" s="1"/>
  <c r="N20" i="21"/>
  <c r="D20" i="21"/>
  <c r="E20" i="21" s="1"/>
  <c r="N19" i="21"/>
  <c r="D19" i="21"/>
  <c r="E19" i="21" s="1"/>
  <c r="N18" i="21"/>
  <c r="N17" i="21"/>
  <c r="D17" i="21"/>
  <c r="E17" i="21" s="1"/>
  <c r="N16" i="21"/>
  <c r="D16" i="21"/>
  <c r="E16" i="21" s="1"/>
  <c r="N15" i="21"/>
  <c r="J15" i="2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J31" i="21" s="1"/>
  <c r="J32" i="21" s="1"/>
  <c r="J33" i="21" s="1"/>
  <c r="J34" i="21" s="1"/>
  <c r="J35" i="21" s="1"/>
  <c r="J36" i="21" s="1"/>
  <c r="J37" i="21" s="1"/>
  <c r="J38" i="21" s="1"/>
  <c r="J39" i="21" s="1"/>
  <c r="J40" i="21" s="1"/>
  <c r="J41" i="21" s="1"/>
  <c r="J42" i="21" s="1"/>
  <c r="I15" i="21"/>
  <c r="D15" i="21"/>
  <c r="E15" i="21" s="1"/>
  <c r="N14" i="21"/>
  <c r="C14" i="21"/>
  <c r="D14" i="21" s="1"/>
  <c r="E14" i="21" s="1"/>
  <c r="L13" i="21"/>
  <c r="E13" i="21"/>
  <c r="E12" i="21"/>
  <c r="I6" i="21"/>
  <c r="K5" i="21"/>
  <c r="I5" i="21"/>
  <c r="K4" i="21"/>
  <c r="K3" i="21"/>
  <c r="N41" i="20"/>
  <c r="N40" i="20"/>
  <c r="N39" i="20"/>
  <c r="N38" i="20"/>
  <c r="N37" i="20"/>
  <c r="N36" i="20"/>
  <c r="N35" i="20"/>
  <c r="N34" i="20"/>
  <c r="N33" i="20"/>
  <c r="N32" i="20"/>
  <c r="N31" i="20"/>
  <c r="N30" i="20"/>
  <c r="D30" i="20"/>
  <c r="E30" i="20" s="1"/>
  <c r="N29" i="20"/>
  <c r="D29" i="20"/>
  <c r="E29" i="20" s="1"/>
  <c r="N28" i="20"/>
  <c r="D28" i="20"/>
  <c r="E28" i="20" s="1"/>
  <c r="N27" i="20"/>
  <c r="D27" i="20"/>
  <c r="E27" i="20" s="1"/>
  <c r="N26" i="20"/>
  <c r="D26" i="20"/>
  <c r="E26" i="20" s="1"/>
  <c r="N25" i="20"/>
  <c r="D25" i="20"/>
  <c r="E25" i="20" s="1"/>
  <c r="N24" i="20"/>
  <c r="D24" i="20"/>
  <c r="E24" i="20" s="1"/>
  <c r="N23" i="20"/>
  <c r="D23" i="20"/>
  <c r="E23" i="20" s="1"/>
  <c r="N22" i="20"/>
  <c r="D22" i="20"/>
  <c r="E22" i="20" s="1"/>
  <c r="N21" i="20"/>
  <c r="D21" i="20"/>
  <c r="E21" i="20" s="1"/>
  <c r="N20" i="20"/>
  <c r="D20" i="20"/>
  <c r="E20" i="20" s="1"/>
  <c r="N19" i="20"/>
  <c r="D19" i="20"/>
  <c r="E19" i="20" s="1"/>
  <c r="N18" i="20"/>
  <c r="N17" i="20"/>
  <c r="D17" i="20"/>
  <c r="E17" i="20" s="1"/>
  <c r="N16" i="20"/>
  <c r="D16" i="20"/>
  <c r="E16" i="20" s="1"/>
  <c r="N15" i="20"/>
  <c r="D15" i="20"/>
  <c r="E15" i="20" s="1"/>
  <c r="N14" i="20"/>
  <c r="J14" i="20"/>
  <c r="J15" i="20" s="1"/>
  <c r="J16" i="20" s="1"/>
  <c r="J17" i="20" s="1"/>
  <c r="J18" i="20" s="1"/>
  <c r="J19" i="20" s="1"/>
  <c r="J20" i="20" s="1"/>
  <c r="J21" i="20" s="1"/>
  <c r="J22" i="20" s="1"/>
  <c r="J23" i="20" s="1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J42" i="20" s="1"/>
  <c r="D14" i="20"/>
  <c r="E14" i="20" s="1"/>
  <c r="I13" i="20"/>
  <c r="K13" i="20" s="1"/>
  <c r="C13" i="20"/>
  <c r="E12" i="20"/>
  <c r="I6" i="20"/>
  <c r="K5" i="20"/>
  <c r="I5" i="20"/>
  <c r="K4" i="20"/>
  <c r="K3" i="20"/>
  <c r="N41" i="19"/>
  <c r="N40" i="19"/>
  <c r="N39" i="19"/>
  <c r="N38" i="19"/>
  <c r="N37" i="19"/>
  <c r="N36" i="19"/>
  <c r="N35" i="19"/>
  <c r="N34" i="19"/>
  <c r="N33" i="19"/>
  <c r="N32" i="19"/>
  <c r="N31" i="19"/>
  <c r="N30" i="19"/>
  <c r="D30" i="19"/>
  <c r="E30" i="19" s="1"/>
  <c r="N29" i="19"/>
  <c r="D29" i="19"/>
  <c r="E29" i="19" s="1"/>
  <c r="N28" i="19"/>
  <c r="D28" i="19"/>
  <c r="E28" i="19" s="1"/>
  <c r="N27" i="19"/>
  <c r="D27" i="19"/>
  <c r="E27" i="19" s="1"/>
  <c r="N26" i="19"/>
  <c r="D26" i="19"/>
  <c r="E26" i="19" s="1"/>
  <c r="N25" i="19"/>
  <c r="D25" i="19"/>
  <c r="E25" i="19" s="1"/>
  <c r="N24" i="19"/>
  <c r="D24" i="19"/>
  <c r="E24" i="19" s="1"/>
  <c r="N23" i="19"/>
  <c r="D23" i="19"/>
  <c r="E23" i="19" s="1"/>
  <c r="N22" i="19"/>
  <c r="D22" i="19"/>
  <c r="E22" i="19" s="1"/>
  <c r="N21" i="19"/>
  <c r="D21" i="19"/>
  <c r="E21" i="19" s="1"/>
  <c r="N20" i="19"/>
  <c r="D20" i="19"/>
  <c r="E20" i="19" s="1"/>
  <c r="N19" i="19"/>
  <c r="D19" i="19"/>
  <c r="E19" i="19" s="1"/>
  <c r="N18" i="19"/>
  <c r="N17" i="19"/>
  <c r="D17" i="19"/>
  <c r="E17" i="19" s="1"/>
  <c r="N16" i="19"/>
  <c r="D16" i="19"/>
  <c r="E16" i="19" s="1"/>
  <c r="N15" i="19"/>
  <c r="D15" i="19"/>
  <c r="E15" i="19" s="1"/>
  <c r="N14" i="19"/>
  <c r="D14" i="19"/>
  <c r="E14" i="19" s="1"/>
  <c r="J13" i="19"/>
  <c r="J14" i="19" s="1"/>
  <c r="J15" i="19" s="1"/>
  <c r="J16" i="19" s="1"/>
  <c r="J17" i="19" s="1"/>
  <c r="J18" i="19" s="1"/>
  <c r="I13" i="19"/>
  <c r="E13" i="19"/>
  <c r="C12" i="19"/>
  <c r="I6" i="19"/>
  <c r="K5" i="19"/>
  <c r="I5" i="19"/>
  <c r="K4" i="19"/>
  <c r="K3" i="19"/>
  <c r="D14" i="1"/>
  <c r="D13" i="1"/>
  <c r="D12" i="1"/>
  <c r="D11" i="1"/>
  <c r="K13" i="19" l="1"/>
  <c r="D13" i="20"/>
  <c r="E13" i="20" s="1"/>
  <c r="V14" i="5"/>
  <c r="V22" i="5"/>
  <c r="V30" i="5"/>
  <c r="Z30" i="5" s="1"/>
  <c r="V7" i="5"/>
  <c r="Z7" i="5" s="1"/>
  <c r="V15" i="5"/>
  <c r="V23" i="5"/>
  <c r="V31" i="5"/>
  <c r="Z31" i="5" s="1"/>
  <c r="V18" i="5"/>
  <c r="V6" i="5"/>
  <c r="Z6" i="5" s="1"/>
  <c r="V11" i="5"/>
  <c r="V27" i="5"/>
  <c r="Z27" i="5" s="1"/>
  <c r="V20" i="5"/>
  <c r="V21" i="5"/>
  <c r="V8" i="5"/>
  <c r="Z8" i="5" s="1"/>
  <c r="V16" i="5"/>
  <c r="V24" i="5"/>
  <c r="V32" i="5"/>
  <c r="Z32" i="5" s="1"/>
  <c r="V9" i="5"/>
  <c r="Z9" i="5" s="1"/>
  <c r="V17" i="5"/>
  <c r="V25" i="5"/>
  <c r="V33" i="5"/>
  <c r="Z33" i="5" s="1"/>
  <c r="V10" i="5"/>
  <c r="V26" i="5"/>
  <c r="Z26" i="5" s="1"/>
  <c r="V19" i="5"/>
  <c r="V12" i="5"/>
  <c r="V28" i="5"/>
  <c r="Z28" i="5" s="1"/>
  <c r="V13" i="5"/>
  <c r="V29" i="5"/>
  <c r="Z29" i="5" s="1"/>
  <c r="W10" i="5"/>
  <c r="AA10" i="5" s="1"/>
  <c r="W18" i="5"/>
  <c r="AA18" i="5" s="1"/>
  <c r="W26" i="5"/>
  <c r="AA26" i="5" s="1"/>
  <c r="W7" i="5"/>
  <c r="AA7" i="5" s="1"/>
  <c r="W11" i="5"/>
  <c r="AA11" i="5" s="1"/>
  <c r="W19" i="5"/>
  <c r="AA19" i="5" s="1"/>
  <c r="W27" i="5"/>
  <c r="AA27" i="5" s="1"/>
  <c r="W14" i="5"/>
  <c r="AA14" i="5" s="1"/>
  <c r="W30" i="5"/>
  <c r="AA30" i="5" s="1"/>
  <c r="W23" i="5"/>
  <c r="AA23" i="5" s="1"/>
  <c r="W8" i="5"/>
  <c r="AA8" i="5" s="1"/>
  <c r="W24" i="5"/>
  <c r="AA24" i="5" s="1"/>
  <c r="W32" i="5"/>
  <c r="AA32" i="5" s="1"/>
  <c r="W9" i="5"/>
  <c r="AA9" i="5" s="1"/>
  <c r="W17" i="5"/>
  <c r="AA17" i="5" s="1"/>
  <c r="W33" i="5"/>
  <c r="AA33" i="5" s="1"/>
  <c r="W12" i="5"/>
  <c r="AA12" i="5" s="1"/>
  <c r="W20" i="5"/>
  <c r="AA20" i="5" s="1"/>
  <c r="W28" i="5"/>
  <c r="AA28" i="5" s="1"/>
  <c r="W13" i="5"/>
  <c r="AA13" i="5" s="1"/>
  <c r="W21" i="5"/>
  <c r="AA21" i="5" s="1"/>
  <c r="W29" i="5"/>
  <c r="AA29" i="5" s="1"/>
  <c r="W22" i="5"/>
  <c r="AA22" i="5" s="1"/>
  <c r="W15" i="5"/>
  <c r="AA15" i="5" s="1"/>
  <c r="W31" i="5"/>
  <c r="AA31" i="5" s="1"/>
  <c r="W16" i="5"/>
  <c r="AA16" i="5" s="1"/>
  <c r="W25" i="5"/>
  <c r="AA25" i="5" s="1"/>
  <c r="T10" i="5"/>
  <c r="T18" i="5"/>
  <c r="T26" i="5"/>
  <c r="X26" i="5" s="1"/>
  <c r="T11" i="5"/>
  <c r="T19" i="5"/>
  <c r="T27" i="5"/>
  <c r="X27" i="5" s="1"/>
  <c r="T6" i="5"/>
  <c r="T22" i="5"/>
  <c r="T7" i="5"/>
  <c r="T15" i="5"/>
  <c r="T23" i="5"/>
  <c r="T31" i="5"/>
  <c r="X31" i="5" s="1"/>
  <c r="T16" i="5"/>
  <c r="T32" i="5"/>
  <c r="X32" i="5" s="1"/>
  <c r="T17" i="5"/>
  <c r="T4" i="5"/>
  <c r="X4" i="5" s="1"/>
  <c r="AB4" i="5" s="1"/>
  <c r="AC4" i="5" s="1"/>
  <c r="D3" i="5" s="1"/>
  <c r="C3" i="8" s="1"/>
  <c r="T33" i="5"/>
  <c r="X33" i="5" s="1"/>
  <c r="T12" i="5"/>
  <c r="T20" i="5"/>
  <c r="T28" i="5"/>
  <c r="X28" i="5" s="1"/>
  <c r="T5" i="5"/>
  <c r="X5" i="5" s="1"/>
  <c r="T13" i="5"/>
  <c r="T21" i="5"/>
  <c r="T29" i="5"/>
  <c r="X29" i="5" s="1"/>
  <c r="T14" i="5"/>
  <c r="T30" i="5"/>
  <c r="X30" i="5" s="1"/>
  <c r="T8" i="5"/>
  <c r="T24" i="5"/>
  <c r="X24" i="5" s="1"/>
  <c r="T9" i="5"/>
  <c r="T25" i="5"/>
  <c r="X25" i="5" s="1"/>
  <c r="U9" i="5"/>
  <c r="U17" i="5"/>
  <c r="U25" i="5"/>
  <c r="Y25" i="5" s="1"/>
  <c r="U33" i="5"/>
  <c r="Y33" i="5" s="1"/>
  <c r="U10" i="5"/>
  <c r="U18" i="5"/>
  <c r="U26" i="5"/>
  <c r="Y26" i="5" s="1"/>
  <c r="U5" i="5"/>
  <c r="Y5" i="5" s="1"/>
  <c r="U21" i="5"/>
  <c r="U14" i="5"/>
  <c r="U30" i="5"/>
  <c r="Y30" i="5" s="1"/>
  <c r="U7" i="5"/>
  <c r="U31" i="5"/>
  <c r="Y31" i="5" s="1"/>
  <c r="U8" i="5"/>
  <c r="U16" i="5"/>
  <c r="U32" i="5"/>
  <c r="Y32" i="5" s="1"/>
  <c r="U11" i="5"/>
  <c r="U19" i="5"/>
  <c r="U27" i="5"/>
  <c r="Y27" i="5" s="1"/>
  <c r="U12" i="5"/>
  <c r="U20" i="5"/>
  <c r="U28" i="5"/>
  <c r="Y28" i="5" s="1"/>
  <c r="U13" i="5"/>
  <c r="U29" i="5"/>
  <c r="Y29" i="5" s="1"/>
  <c r="U6" i="5"/>
  <c r="Y6" i="5" s="1"/>
  <c r="U22" i="5"/>
  <c r="U15" i="5"/>
  <c r="U23" i="5"/>
  <c r="U24" i="5"/>
  <c r="K15" i="21"/>
  <c r="L15" i="21" s="1"/>
  <c r="O15" i="21" s="1"/>
  <c r="K16" i="22"/>
  <c r="L16" i="22" s="1"/>
  <c r="O16" i="22" s="1"/>
  <c r="D15" i="1"/>
  <c r="G36" i="8" s="1"/>
  <c r="N6" i="5"/>
  <c r="H7" i="5"/>
  <c r="O7" i="5"/>
  <c r="I8" i="5"/>
  <c r="J19" i="19"/>
  <c r="J20" i="19" s="1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  <c r="J36" i="19" s="1"/>
  <c r="J37" i="19" s="1"/>
  <c r="J38" i="19" s="1"/>
  <c r="J39" i="19" s="1"/>
  <c r="J40" i="19" s="1"/>
  <c r="J41" i="19" s="1"/>
  <c r="J42" i="19" s="1"/>
  <c r="O13" i="22"/>
  <c r="P13" i="22" s="1"/>
  <c r="Q13" i="22" s="1"/>
  <c r="R13" i="22" s="1"/>
  <c r="E10" i="3"/>
  <c r="F10" i="3" s="1"/>
  <c r="I14" i="19"/>
  <c r="K14" i="19" s="1"/>
  <c r="L13" i="19"/>
  <c r="I14" i="20"/>
  <c r="K14" i="20" s="1"/>
  <c r="L13" i="20"/>
  <c r="L14" i="21"/>
  <c r="O14" i="21" s="1"/>
  <c r="I16" i="21"/>
  <c r="K16" i="21" s="1"/>
  <c r="L14" i="22"/>
  <c r="O14" i="22" s="1"/>
  <c r="L15" i="22"/>
  <c r="O15" i="22" s="1"/>
  <c r="I17" i="22"/>
  <c r="K17" i="22" s="1"/>
  <c r="D12" i="19"/>
  <c r="E12" i="19" s="1"/>
  <c r="O13" i="21"/>
  <c r="D11" i="3"/>
  <c r="AB27" i="5" l="1"/>
  <c r="AC27" i="5" s="1"/>
  <c r="D26" i="5" s="1"/>
  <c r="AB5" i="5"/>
  <c r="AC5" i="5" s="1"/>
  <c r="D4" i="5" s="1"/>
  <c r="AB31" i="5"/>
  <c r="AC31" i="5" s="1"/>
  <c r="D30" i="5" s="1"/>
  <c r="C4" i="8"/>
  <c r="AB32" i="5"/>
  <c r="AC32" i="5" s="1"/>
  <c r="D31" i="5" s="1"/>
  <c r="C32" i="8" s="1"/>
  <c r="O13" i="20"/>
  <c r="P13" i="20" s="1"/>
  <c r="Q13" i="20" s="1"/>
  <c r="R13" i="20" s="1"/>
  <c r="AB28" i="5"/>
  <c r="AC28" i="5" s="1"/>
  <c r="D27" i="5" s="1"/>
  <c r="C28" i="8" s="1"/>
  <c r="AB26" i="5"/>
  <c r="AB30" i="5"/>
  <c r="AC30" i="5" s="1"/>
  <c r="D29" i="5" s="1"/>
  <c r="C5" i="12"/>
  <c r="Y7" i="5"/>
  <c r="AB33" i="5"/>
  <c r="AC33" i="5" s="1"/>
  <c r="D32" i="5" s="1"/>
  <c r="C33" i="8" s="1"/>
  <c r="AB29" i="5"/>
  <c r="AC29" i="5" s="1"/>
  <c r="D28" i="5" s="1"/>
  <c r="G10" i="3"/>
  <c r="E36" i="8"/>
  <c r="H8" i="5"/>
  <c r="N7" i="5"/>
  <c r="X7" i="5" s="1"/>
  <c r="I9" i="5"/>
  <c r="O8" i="5"/>
  <c r="Y8" i="5" s="1"/>
  <c r="C6" i="12"/>
  <c r="Z10" i="5"/>
  <c r="X6" i="5"/>
  <c r="AB6" i="5" s="1"/>
  <c r="AC6" i="5" s="1"/>
  <c r="D5" i="5" s="1"/>
  <c r="I18" i="22"/>
  <c r="K18" i="22" s="1"/>
  <c r="L17" i="22"/>
  <c r="O17" i="22" s="1"/>
  <c r="P17" i="22" s="1"/>
  <c r="Q17" i="22" s="1"/>
  <c r="R17" i="22" s="1"/>
  <c r="I17" i="21"/>
  <c r="K17" i="21" s="1"/>
  <c r="L16" i="21"/>
  <c r="O16" i="21" s="1"/>
  <c r="P16" i="21" s="1"/>
  <c r="Q16" i="21" s="1"/>
  <c r="R16" i="21" s="1"/>
  <c r="I15" i="20"/>
  <c r="K15" i="20" s="1"/>
  <c r="L14" i="20"/>
  <c r="O14" i="20" s="1"/>
  <c r="P14" i="20" s="1"/>
  <c r="Q14" i="20" s="1"/>
  <c r="R14" i="20" s="1"/>
  <c r="I15" i="19"/>
  <c r="K15" i="19" s="1"/>
  <c r="L14" i="19"/>
  <c r="O14" i="19" s="1"/>
  <c r="T13" i="22"/>
  <c r="S13" i="22"/>
  <c r="O13" i="19"/>
  <c r="P15" i="22"/>
  <c r="Q15" i="22" s="1"/>
  <c r="R15" i="22" s="1"/>
  <c r="P14" i="22"/>
  <c r="Q14" i="22" s="1"/>
  <c r="R14" i="22" s="1"/>
  <c r="P13" i="21"/>
  <c r="Q13" i="21" s="1"/>
  <c r="R13" i="21" s="1"/>
  <c r="P15" i="21"/>
  <c r="Q15" i="21" s="1"/>
  <c r="R15" i="21" s="1"/>
  <c r="D12" i="3"/>
  <c r="E11" i="3"/>
  <c r="F11" i="3" s="1"/>
  <c r="P16" i="22"/>
  <c r="Q16" i="22" s="1"/>
  <c r="R16" i="22" s="1"/>
  <c r="P14" i="21"/>
  <c r="Q14" i="21" s="1"/>
  <c r="R14" i="21" s="1"/>
  <c r="C29" i="8" l="1"/>
  <c r="C27" i="8"/>
  <c r="C31" i="8"/>
  <c r="AB7" i="5"/>
  <c r="AC7" i="5" s="1"/>
  <c r="D6" i="5" s="1"/>
  <c r="C30" i="8"/>
  <c r="C5" i="8"/>
  <c r="I10" i="5"/>
  <c r="O9" i="5"/>
  <c r="Y9" i="5" s="1"/>
  <c r="H9" i="5"/>
  <c r="N8" i="5"/>
  <c r="X8" i="5" s="1"/>
  <c r="AB8" i="5" s="1"/>
  <c r="AC8" i="5" s="1"/>
  <c r="D7" i="5" s="1"/>
  <c r="U13" i="22"/>
  <c r="Z11" i="5"/>
  <c r="C7" i="12"/>
  <c r="C8" i="12" s="1"/>
  <c r="I16" i="19"/>
  <c r="K16" i="19" s="1"/>
  <c r="L15" i="19"/>
  <c r="O15" i="19" s="1"/>
  <c r="P15" i="19" s="1"/>
  <c r="Q15" i="19" s="1"/>
  <c r="R15" i="19" s="1"/>
  <c r="I16" i="20"/>
  <c r="K16" i="20" s="1"/>
  <c r="L15" i="20"/>
  <c r="O15" i="20" s="1"/>
  <c r="P15" i="20" s="1"/>
  <c r="Q15" i="20" s="1"/>
  <c r="R15" i="20" s="1"/>
  <c r="S15" i="20" s="1"/>
  <c r="I18" i="21"/>
  <c r="K18" i="21" s="1"/>
  <c r="L17" i="21"/>
  <c r="O17" i="21" s="1"/>
  <c r="P17" i="21" s="1"/>
  <c r="Q17" i="21" s="1"/>
  <c r="R17" i="21" s="1"/>
  <c r="T17" i="21" s="1"/>
  <c r="I19" i="22"/>
  <c r="K19" i="22" s="1"/>
  <c r="L18" i="22"/>
  <c r="O18" i="22" s="1"/>
  <c r="S15" i="21"/>
  <c r="T15" i="21"/>
  <c r="S17" i="22"/>
  <c r="T17" i="22"/>
  <c r="T16" i="21"/>
  <c r="S16" i="21"/>
  <c r="T13" i="20"/>
  <c r="S13" i="20"/>
  <c r="T14" i="20"/>
  <c r="S14" i="20"/>
  <c r="T14" i="21"/>
  <c r="S14" i="21"/>
  <c r="T16" i="22"/>
  <c r="S16" i="22"/>
  <c r="T13" i="21"/>
  <c r="S13" i="21"/>
  <c r="S15" i="22"/>
  <c r="T15" i="22"/>
  <c r="P14" i="19"/>
  <c r="Q14" i="19" s="1"/>
  <c r="R14" i="19" s="1"/>
  <c r="T14" i="22"/>
  <c r="S14" i="22"/>
  <c r="P13" i="19"/>
  <c r="Q13" i="19" s="1"/>
  <c r="R13" i="19" s="1"/>
  <c r="G11" i="3"/>
  <c r="D13" i="3"/>
  <c r="E12" i="3"/>
  <c r="F12" i="3" s="1"/>
  <c r="C7" i="8" l="1"/>
  <c r="C6" i="8"/>
  <c r="U16" i="22"/>
  <c r="H10" i="5"/>
  <c r="N9" i="5"/>
  <c r="X9" i="5" s="1"/>
  <c r="AB9" i="5" s="1"/>
  <c r="AC9" i="5" s="1"/>
  <c r="D8" i="5" s="1"/>
  <c r="O10" i="5"/>
  <c r="Y10" i="5" s="1"/>
  <c r="I11" i="5"/>
  <c r="U14" i="21"/>
  <c r="V13" i="22"/>
  <c r="C9" i="12"/>
  <c r="Z12" i="5"/>
  <c r="U13" i="20"/>
  <c r="T15" i="20"/>
  <c r="U15" i="20" s="1"/>
  <c r="S17" i="21"/>
  <c r="U17" i="21" s="1"/>
  <c r="U14" i="20"/>
  <c r="U14" i="22"/>
  <c r="U15" i="22"/>
  <c r="U17" i="22"/>
  <c r="U15" i="21"/>
  <c r="P18" i="22"/>
  <c r="Q18" i="22" s="1"/>
  <c r="R18" i="22" s="1"/>
  <c r="I20" i="22"/>
  <c r="K20" i="22" s="1"/>
  <c r="L19" i="22"/>
  <c r="O19" i="22" s="1"/>
  <c r="P19" i="22" s="1"/>
  <c r="Q19" i="22" s="1"/>
  <c r="R19" i="22" s="1"/>
  <c r="I19" i="21"/>
  <c r="K19" i="21" s="1"/>
  <c r="L18" i="21"/>
  <c r="O18" i="21" s="1"/>
  <c r="P18" i="21" s="1"/>
  <c r="Q18" i="21" s="1"/>
  <c r="R18" i="21" s="1"/>
  <c r="I17" i="20"/>
  <c r="K17" i="20" s="1"/>
  <c r="L16" i="20"/>
  <c r="O16" i="20" s="1"/>
  <c r="P16" i="20" s="1"/>
  <c r="Q16" i="20" s="1"/>
  <c r="R16" i="20" s="1"/>
  <c r="I17" i="19"/>
  <c r="K17" i="19" s="1"/>
  <c r="L16" i="19"/>
  <c r="O16" i="19" s="1"/>
  <c r="G12" i="3"/>
  <c r="U13" i="21"/>
  <c r="V13" i="21" s="1"/>
  <c r="U16" i="21"/>
  <c r="T15" i="19"/>
  <c r="S15" i="19"/>
  <c r="S14" i="19"/>
  <c r="T14" i="19"/>
  <c r="S13" i="19"/>
  <c r="T13" i="19"/>
  <c r="D14" i="3"/>
  <c r="E13" i="3"/>
  <c r="F13" i="3" s="1"/>
  <c r="C8" i="8" l="1"/>
  <c r="V13" i="20"/>
  <c r="V14" i="20" s="1"/>
  <c r="V15" i="20" s="1"/>
  <c r="C4" i="5"/>
  <c r="V14" i="21"/>
  <c r="V15" i="21" s="1"/>
  <c r="V16" i="21" s="1"/>
  <c r="V17" i="21" s="1"/>
  <c r="I12" i="5"/>
  <c r="O11" i="5"/>
  <c r="N10" i="5"/>
  <c r="X10" i="5" s="1"/>
  <c r="AB10" i="5" s="1"/>
  <c r="AC10" i="5" s="1"/>
  <c r="D9" i="5" s="1"/>
  <c r="H11" i="5"/>
  <c r="U15" i="19"/>
  <c r="U14" i="19"/>
  <c r="D5" i="8" s="1"/>
  <c r="V14" i="22"/>
  <c r="V15" i="22" s="1"/>
  <c r="V16" i="22" s="1"/>
  <c r="V17" i="22" s="1"/>
  <c r="Z13" i="5"/>
  <c r="Y11" i="5"/>
  <c r="C10" i="12"/>
  <c r="U13" i="19"/>
  <c r="D3" i="8" s="1"/>
  <c r="P16" i="19"/>
  <c r="Q16" i="19" s="1"/>
  <c r="R16" i="19" s="1"/>
  <c r="I18" i="19"/>
  <c r="K18" i="19" s="1"/>
  <c r="L18" i="19" s="1"/>
  <c r="L17" i="19"/>
  <c r="O17" i="19" s="1"/>
  <c r="T16" i="20"/>
  <c r="S16" i="20"/>
  <c r="I18" i="20"/>
  <c r="K18" i="20" s="1"/>
  <c r="L17" i="20"/>
  <c r="O17" i="20" s="1"/>
  <c r="P17" i="20" s="1"/>
  <c r="Q17" i="20" s="1"/>
  <c r="R17" i="20" s="1"/>
  <c r="T18" i="21"/>
  <c r="S18" i="21"/>
  <c r="I20" i="21"/>
  <c r="K20" i="21" s="1"/>
  <c r="L20" i="21" s="1"/>
  <c r="L19" i="21"/>
  <c r="O19" i="21" s="1"/>
  <c r="P19" i="21" s="1"/>
  <c r="Q19" i="21" s="1"/>
  <c r="R19" i="21" s="1"/>
  <c r="T19" i="22"/>
  <c r="S19" i="22"/>
  <c r="I21" i="22"/>
  <c r="K21" i="22" s="1"/>
  <c r="L21" i="22" s="1"/>
  <c r="L20" i="22"/>
  <c r="O20" i="22" s="1"/>
  <c r="T18" i="22"/>
  <c r="S18" i="22"/>
  <c r="D15" i="3"/>
  <c r="E14" i="3"/>
  <c r="F14" i="3" s="1"/>
  <c r="G13" i="3"/>
  <c r="C3" i="5" l="1"/>
  <c r="D4" i="8"/>
  <c r="H4" i="8" s="1"/>
  <c r="C5" i="5"/>
  <c r="E5" i="5" s="1"/>
  <c r="C5" i="6" s="1"/>
  <c r="E5" i="6" s="1"/>
  <c r="C5" i="7" s="1"/>
  <c r="D5" i="7" s="1"/>
  <c r="E5" i="7" s="1"/>
  <c r="C9" i="8"/>
  <c r="N11" i="5"/>
  <c r="X11" i="5" s="1"/>
  <c r="AB11" i="5" s="1"/>
  <c r="AC11" i="5" s="1"/>
  <c r="D10" i="5" s="1"/>
  <c r="C10" i="8" s="1"/>
  <c r="H12" i="5"/>
  <c r="I13" i="5"/>
  <c r="O12" i="5"/>
  <c r="U16" i="20"/>
  <c r="H5" i="8"/>
  <c r="E3" i="5"/>
  <c r="C3" i="6" s="1"/>
  <c r="E3" i="6" s="1"/>
  <c r="C3" i="7" s="1"/>
  <c r="D3" i="7" s="1"/>
  <c r="E3" i="7" s="1"/>
  <c r="E4" i="5"/>
  <c r="C4" i="6" s="1"/>
  <c r="E4" i="6" s="1"/>
  <c r="C4" i="7" s="1"/>
  <c r="D4" i="7" s="1"/>
  <c r="E4" i="7" s="1"/>
  <c r="V13" i="19"/>
  <c r="D5" i="12" s="1"/>
  <c r="F5" i="12" s="1"/>
  <c r="U18" i="22"/>
  <c r="U18" i="21"/>
  <c r="V18" i="21" s="1"/>
  <c r="C11" i="12"/>
  <c r="Y12" i="5"/>
  <c r="Z14" i="5"/>
  <c r="U19" i="22"/>
  <c r="P20" i="22"/>
  <c r="Q20" i="22" s="1"/>
  <c r="R20" i="22" s="1"/>
  <c r="I22" i="22"/>
  <c r="K22" i="22" s="1"/>
  <c r="L22" i="22" s="1"/>
  <c r="O21" i="22"/>
  <c r="P21" i="22" s="1"/>
  <c r="Q21" i="22" s="1"/>
  <c r="R21" i="22" s="1"/>
  <c r="T19" i="21"/>
  <c r="S19" i="21"/>
  <c r="I21" i="21"/>
  <c r="K21" i="21" s="1"/>
  <c r="L21" i="21" s="1"/>
  <c r="O20" i="21"/>
  <c r="P20" i="21" s="1"/>
  <c r="Q20" i="21" s="1"/>
  <c r="R20" i="21" s="1"/>
  <c r="T17" i="20"/>
  <c r="S17" i="20"/>
  <c r="I19" i="20"/>
  <c r="K19" i="20" s="1"/>
  <c r="L19" i="20" s="1"/>
  <c r="L18" i="20"/>
  <c r="O18" i="20" s="1"/>
  <c r="P17" i="19"/>
  <c r="Q17" i="19" s="1"/>
  <c r="R17" i="19" s="1"/>
  <c r="I19" i="19"/>
  <c r="K19" i="19" s="1"/>
  <c r="L19" i="19" s="1"/>
  <c r="O18" i="19"/>
  <c r="P18" i="19" s="1"/>
  <c r="Q18" i="19" s="1"/>
  <c r="R18" i="19" s="1"/>
  <c r="T16" i="19"/>
  <c r="S16" i="19"/>
  <c r="E15" i="3"/>
  <c r="F15" i="3" s="1"/>
  <c r="D16" i="3"/>
  <c r="H3" i="8"/>
  <c r="F3" i="8"/>
  <c r="G14" i="3"/>
  <c r="V16" i="20" l="1"/>
  <c r="U16" i="19"/>
  <c r="I14" i="5"/>
  <c r="O13" i="5"/>
  <c r="Y13" i="5" s="1"/>
  <c r="H13" i="5"/>
  <c r="N12" i="5"/>
  <c r="X12" i="5" s="1"/>
  <c r="AB12" i="5" s="1"/>
  <c r="AC12" i="5" s="1"/>
  <c r="D11" i="5" s="1"/>
  <c r="F4" i="8"/>
  <c r="I4" i="8" s="1"/>
  <c r="U19" i="21"/>
  <c r="V19" i="21" s="1"/>
  <c r="F5" i="8"/>
  <c r="I5" i="8" s="1"/>
  <c r="V14" i="19"/>
  <c r="V15" i="19" s="1"/>
  <c r="V18" i="22"/>
  <c r="V19" i="22" s="1"/>
  <c r="C12" i="12"/>
  <c r="Z15" i="5"/>
  <c r="G15" i="3"/>
  <c r="T18" i="19"/>
  <c r="S18" i="19"/>
  <c r="I20" i="19"/>
  <c r="K20" i="19" s="1"/>
  <c r="L20" i="19" s="1"/>
  <c r="O19" i="19"/>
  <c r="T17" i="19"/>
  <c r="S17" i="19"/>
  <c r="P18" i="20"/>
  <c r="Q18" i="20" s="1"/>
  <c r="R18" i="20" s="1"/>
  <c r="I20" i="20"/>
  <c r="K20" i="20" s="1"/>
  <c r="L20" i="20" s="1"/>
  <c r="O19" i="20"/>
  <c r="U17" i="20"/>
  <c r="T20" i="21"/>
  <c r="S20" i="21"/>
  <c r="I22" i="21"/>
  <c r="K22" i="21" s="1"/>
  <c r="L22" i="21" s="1"/>
  <c r="O21" i="21"/>
  <c r="P21" i="21" s="1"/>
  <c r="Q21" i="21" s="1"/>
  <c r="R21" i="21" s="1"/>
  <c r="S21" i="22"/>
  <c r="T21" i="22"/>
  <c r="I23" i="22"/>
  <c r="K23" i="22" s="1"/>
  <c r="L23" i="22" s="1"/>
  <c r="O22" i="22"/>
  <c r="P22" i="22" s="1"/>
  <c r="Q22" i="22" s="1"/>
  <c r="R22" i="22" s="1"/>
  <c r="T20" i="22"/>
  <c r="S20" i="22"/>
  <c r="D17" i="3"/>
  <c r="E16" i="3"/>
  <c r="F16" i="3" s="1"/>
  <c r="E5" i="12"/>
  <c r="I3" i="8"/>
  <c r="C6" i="5" l="1"/>
  <c r="E6" i="5" s="1"/>
  <c r="C6" i="6" s="1"/>
  <c r="E6" i="6" s="1"/>
  <c r="C6" i="7" s="1"/>
  <c r="D6" i="7" s="1"/>
  <c r="E6" i="7" s="1"/>
  <c r="D6" i="8"/>
  <c r="C11" i="8"/>
  <c r="U17" i="19"/>
  <c r="C7" i="5" s="1"/>
  <c r="E7" i="5" s="1"/>
  <c r="C7" i="6" s="1"/>
  <c r="E7" i="6" s="1"/>
  <c r="C7" i="7" s="1"/>
  <c r="D7" i="7" s="1"/>
  <c r="E7" i="7" s="1"/>
  <c r="U21" i="22"/>
  <c r="H14" i="5"/>
  <c r="N13" i="5"/>
  <c r="X13" i="5" s="1"/>
  <c r="AB13" i="5" s="1"/>
  <c r="I15" i="5"/>
  <c r="O14" i="5"/>
  <c r="Y14" i="5" s="1"/>
  <c r="U20" i="22"/>
  <c r="D6" i="12"/>
  <c r="F6" i="12" s="1"/>
  <c r="D7" i="12"/>
  <c r="F7" i="12" s="1"/>
  <c r="V16" i="19"/>
  <c r="D8" i="12" s="1"/>
  <c r="F8" i="12" s="1"/>
  <c r="U18" i="19"/>
  <c r="C13" i="12"/>
  <c r="AC13" i="5"/>
  <c r="D12" i="5" s="1"/>
  <c r="Z16" i="5"/>
  <c r="G16" i="3"/>
  <c r="U20" i="21"/>
  <c r="V20" i="21" s="1"/>
  <c r="T22" i="22"/>
  <c r="S22" i="22"/>
  <c r="I24" i="22"/>
  <c r="K24" i="22" s="1"/>
  <c r="L24" i="22" s="1"/>
  <c r="O23" i="22"/>
  <c r="P23" i="22" s="1"/>
  <c r="Q23" i="22" s="1"/>
  <c r="R23" i="22" s="1"/>
  <c r="T21" i="21"/>
  <c r="S21" i="21"/>
  <c r="I23" i="21"/>
  <c r="K23" i="21" s="1"/>
  <c r="L23" i="21" s="1"/>
  <c r="O22" i="21"/>
  <c r="V17" i="20"/>
  <c r="P19" i="20"/>
  <c r="Q19" i="20" s="1"/>
  <c r="R19" i="20" s="1"/>
  <c r="I21" i="20"/>
  <c r="K21" i="20" s="1"/>
  <c r="L21" i="20" s="1"/>
  <c r="O20" i="20"/>
  <c r="T18" i="20"/>
  <c r="S18" i="20"/>
  <c r="P19" i="19"/>
  <c r="Q19" i="19" s="1"/>
  <c r="R19" i="19" s="1"/>
  <c r="I21" i="19"/>
  <c r="K21" i="19" s="1"/>
  <c r="L21" i="19" s="1"/>
  <c r="O20" i="19"/>
  <c r="P20" i="19" s="1"/>
  <c r="Q20" i="19" s="1"/>
  <c r="R20" i="19" s="1"/>
  <c r="H6" i="8"/>
  <c r="F6" i="8"/>
  <c r="G5" i="12"/>
  <c r="D18" i="3"/>
  <c r="E17" i="3"/>
  <c r="F17" i="3" s="1"/>
  <c r="D7" i="8" l="1"/>
  <c r="F7" i="8" s="1"/>
  <c r="C12" i="8"/>
  <c r="I16" i="5"/>
  <c r="O15" i="5"/>
  <c r="Y15" i="5" s="1"/>
  <c r="H15" i="5"/>
  <c r="N14" i="5"/>
  <c r="X14" i="5" s="1"/>
  <c r="AB14" i="5" s="1"/>
  <c r="AC14" i="5" s="1"/>
  <c r="D13" i="5" s="1"/>
  <c r="E6" i="12"/>
  <c r="U18" i="20"/>
  <c r="U21" i="21"/>
  <c r="V21" i="21" s="1"/>
  <c r="V17" i="19"/>
  <c r="V18" i="19" s="1"/>
  <c r="V20" i="22"/>
  <c r="V21" i="22" s="1"/>
  <c r="C14" i="12"/>
  <c r="Z17" i="5"/>
  <c r="G6" i="12"/>
  <c r="H6" i="12" s="1"/>
  <c r="I6" i="12" s="1"/>
  <c r="I6" i="8"/>
  <c r="S20" i="19"/>
  <c r="T20" i="19"/>
  <c r="I22" i="19"/>
  <c r="K22" i="19" s="1"/>
  <c r="L22" i="19" s="1"/>
  <c r="O21" i="19"/>
  <c r="S19" i="19"/>
  <c r="T19" i="19"/>
  <c r="P20" i="20"/>
  <c r="Q20" i="20" s="1"/>
  <c r="R20" i="20" s="1"/>
  <c r="I22" i="20"/>
  <c r="K22" i="20" s="1"/>
  <c r="L22" i="20" s="1"/>
  <c r="O21" i="20"/>
  <c r="P21" i="20" s="1"/>
  <c r="Q21" i="20" s="1"/>
  <c r="R21" i="20" s="1"/>
  <c r="T19" i="20"/>
  <c r="S19" i="20"/>
  <c r="P22" i="21"/>
  <c r="Q22" i="21" s="1"/>
  <c r="R22" i="21" s="1"/>
  <c r="I24" i="21"/>
  <c r="K24" i="21" s="1"/>
  <c r="L24" i="21" s="1"/>
  <c r="O23" i="21"/>
  <c r="P23" i="21" s="1"/>
  <c r="Q23" i="21" s="1"/>
  <c r="R23" i="21" s="1"/>
  <c r="S23" i="22"/>
  <c r="T23" i="22"/>
  <c r="I25" i="22"/>
  <c r="K25" i="22" s="1"/>
  <c r="L25" i="22" s="1"/>
  <c r="O24" i="22"/>
  <c r="P24" i="22" s="1"/>
  <c r="Q24" i="22" s="1"/>
  <c r="R24" i="22" s="1"/>
  <c r="U22" i="22"/>
  <c r="G7" i="12"/>
  <c r="E7" i="12"/>
  <c r="H5" i="12"/>
  <c r="I5" i="12" s="1"/>
  <c r="D19" i="3"/>
  <c r="E18" i="3"/>
  <c r="F18" i="3" s="1"/>
  <c r="G17" i="3"/>
  <c r="H7" i="8" l="1"/>
  <c r="I7" i="8" s="1"/>
  <c r="C13" i="8"/>
  <c r="C8" i="5"/>
  <c r="E8" i="5" s="1"/>
  <c r="C8" i="6" s="1"/>
  <c r="E8" i="6" s="1"/>
  <c r="C8" i="7" s="1"/>
  <c r="D8" i="7" s="1"/>
  <c r="E8" i="7" s="1"/>
  <c r="D8" i="8"/>
  <c r="F8" i="8" s="1"/>
  <c r="V18" i="20"/>
  <c r="D10" i="12" s="1"/>
  <c r="H16" i="5"/>
  <c r="N15" i="5"/>
  <c r="X15" i="5" s="1"/>
  <c r="AB15" i="5" s="1"/>
  <c r="AC15" i="5" s="1"/>
  <c r="D14" i="5" s="1"/>
  <c r="C15" i="12"/>
  <c r="I17" i="5"/>
  <c r="O16" i="5"/>
  <c r="Y16" i="5" s="1"/>
  <c r="D9" i="12"/>
  <c r="F9" i="12" s="1"/>
  <c r="V22" i="22"/>
  <c r="Z18" i="5"/>
  <c r="U19" i="19"/>
  <c r="V19" i="19" s="1"/>
  <c r="G18" i="3"/>
  <c r="T24" i="22"/>
  <c r="S24" i="22"/>
  <c r="I26" i="22"/>
  <c r="K26" i="22" s="1"/>
  <c r="L26" i="22" s="1"/>
  <c r="O25" i="22"/>
  <c r="P25" i="22" s="1"/>
  <c r="Q25" i="22" s="1"/>
  <c r="R25" i="22" s="1"/>
  <c r="U23" i="22"/>
  <c r="T23" i="21"/>
  <c r="S23" i="21"/>
  <c r="I25" i="21"/>
  <c r="K25" i="21" s="1"/>
  <c r="L25" i="21" s="1"/>
  <c r="O24" i="21"/>
  <c r="P24" i="21" s="1"/>
  <c r="Q24" i="21" s="1"/>
  <c r="R24" i="21" s="1"/>
  <c r="S22" i="21"/>
  <c r="T22" i="21"/>
  <c r="U19" i="20"/>
  <c r="S21" i="20"/>
  <c r="T21" i="20"/>
  <c r="I23" i="20"/>
  <c r="K23" i="20" s="1"/>
  <c r="L23" i="20" s="1"/>
  <c r="O22" i="20"/>
  <c r="P22" i="20" s="1"/>
  <c r="Q22" i="20" s="1"/>
  <c r="R22" i="20" s="1"/>
  <c r="T20" i="20"/>
  <c r="S20" i="20"/>
  <c r="P21" i="19"/>
  <c r="Q21" i="19" s="1"/>
  <c r="R21" i="19" s="1"/>
  <c r="I23" i="19"/>
  <c r="K23" i="19" s="1"/>
  <c r="L23" i="19" s="1"/>
  <c r="O22" i="19"/>
  <c r="P22" i="19" s="1"/>
  <c r="Q22" i="19" s="1"/>
  <c r="R22" i="19" s="1"/>
  <c r="U20" i="19"/>
  <c r="E8" i="12"/>
  <c r="D20" i="3"/>
  <c r="E19" i="3"/>
  <c r="F19" i="3" s="1"/>
  <c r="H7" i="12"/>
  <c r="I7" i="12" s="1"/>
  <c r="U21" i="20" l="1"/>
  <c r="C14" i="8"/>
  <c r="C9" i="5"/>
  <c r="E9" i="5" s="1"/>
  <c r="C9" i="6" s="1"/>
  <c r="E9" i="6" s="1"/>
  <c r="C9" i="7" s="1"/>
  <c r="D9" i="7" s="1"/>
  <c r="E9" i="7" s="1"/>
  <c r="D9" i="8"/>
  <c r="U20" i="20"/>
  <c r="U22" i="21"/>
  <c r="V22" i="21" s="1"/>
  <c r="H8" i="8"/>
  <c r="I8" i="8" s="1"/>
  <c r="I18" i="5"/>
  <c r="O17" i="5"/>
  <c r="U23" i="21"/>
  <c r="H17" i="5"/>
  <c r="N16" i="5"/>
  <c r="X16" i="5" s="1"/>
  <c r="AB16" i="5" s="1"/>
  <c r="AC16" i="5" s="1"/>
  <c r="D15" i="5" s="1"/>
  <c r="V23" i="22"/>
  <c r="V20" i="19"/>
  <c r="Y17" i="5"/>
  <c r="Z19" i="5"/>
  <c r="C16" i="12"/>
  <c r="G19" i="3"/>
  <c r="U24" i="22"/>
  <c r="T22" i="19"/>
  <c r="S22" i="19"/>
  <c r="I24" i="19"/>
  <c r="K24" i="19" s="1"/>
  <c r="L24" i="19" s="1"/>
  <c r="O23" i="19"/>
  <c r="T21" i="19"/>
  <c r="S21" i="19"/>
  <c r="T22" i="20"/>
  <c r="S22" i="20"/>
  <c r="I24" i="20"/>
  <c r="K24" i="20" s="1"/>
  <c r="L24" i="20" s="1"/>
  <c r="O23" i="20"/>
  <c r="V19" i="20"/>
  <c r="S24" i="21"/>
  <c r="T24" i="21"/>
  <c r="U24" i="21" s="1"/>
  <c r="I26" i="21"/>
  <c r="K26" i="21" s="1"/>
  <c r="L26" i="21" s="1"/>
  <c r="O25" i="21"/>
  <c r="P25" i="21" s="1"/>
  <c r="Q25" i="21" s="1"/>
  <c r="R25" i="21" s="1"/>
  <c r="T25" i="22"/>
  <c r="S25" i="22"/>
  <c r="I27" i="22"/>
  <c r="K27" i="22" s="1"/>
  <c r="L27" i="22" s="1"/>
  <c r="O26" i="22"/>
  <c r="P26" i="22" s="1"/>
  <c r="Q26" i="22" s="1"/>
  <c r="R26" i="22" s="1"/>
  <c r="G9" i="12"/>
  <c r="E9" i="12"/>
  <c r="D21" i="3"/>
  <c r="E20" i="3"/>
  <c r="F20" i="3" s="1"/>
  <c r="G8" i="12"/>
  <c r="V23" i="21" l="1"/>
  <c r="V24" i="21" s="1"/>
  <c r="C15" i="8"/>
  <c r="C10" i="5"/>
  <c r="E10" i="5" s="1"/>
  <c r="C10" i="6" s="1"/>
  <c r="E10" i="6" s="1"/>
  <c r="C10" i="7" s="1"/>
  <c r="D10" i="7" s="1"/>
  <c r="E10" i="7" s="1"/>
  <c r="V20" i="20"/>
  <c r="V21" i="20" s="1"/>
  <c r="D10" i="8"/>
  <c r="H10" i="8" s="1"/>
  <c r="U22" i="19"/>
  <c r="H18" i="5"/>
  <c r="N17" i="5"/>
  <c r="X17" i="5" s="1"/>
  <c r="AB17" i="5" s="1"/>
  <c r="AC17" i="5" s="1"/>
  <c r="D16" i="5" s="1"/>
  <c r="I19" i="5"/>
  <c r="O18" i="5"/>
  <c r="Y18" i="5" s="1"/>
  <c r="V24" i="22"/>
  <c r="C17" i="12"/>
  <c r="Z20" i="5"/>
  <c r="G20" i="3"/>
  <c r="D11" i="12"/>
  <c r="U22" i="20"/>
  <c r="U21" i="19"/>
  <c r="C11" i="5" s="1"/>
  <c r="U25" i="22"/>
  <c r="T26" i="22"/>
  <c r="S26" i="22"/>
  <c r="I28" i="22"/>
  <c r="K28" i="22" s="1"/>
  <c r="L28" i="22" s="1"/>
  <c r="O27" i="22"/>
  <c r="P27" i="22" s="1"/>
  <c r="Q27" i="22" s="1"/>
  <c r="R27" i="22" s="1"/>
  <c r="T25" i="21"/>
  <c r="S25" i="21"/>
  <c r="I27" i="21"/>
  <c r="K27" i="21" s="1"/>
  <c r="L27" i="21" s="1"/>
  <c r="O26" i="21"/>
  <c r="P26" i="21" s="1"/>
  <c r="Q26" i="21" s="1"/>
  <c r="R26" i="21" s="1"/>
  <c r="H9" i="8"/>
  <c r="F9" i="8"/>
  <c r="P23" i="20"/>
  <c r="Q23" i="20" s="1"/>
  <c r="R23" i="20" s="1"/>
  <c r="I25" i="20"/>
  <c r="K25" i="20" s="1"/>
  <c r="L25" i="20" s="1"/>
  <c r="O24" i="20"/>
  <c r="P24" i="20" s="1"/>
  <c r="Q24" i="20" s="1"/>
  <c r="R24" i="20" s="1"/>
  <c r="P23" i="19"/>
  <c r="Q23" i="19" s="1"/>
  <c r="R23" i="19" s="1"/>
  <c r="I25" i="19"/>
  <c r="K25" i="19" s="1"/>
  <c r="L25" i="19" s="1"/>
  <c r="O24" i="19"/>
  <c r="H9" i="12"/>
  <c r="I9" i="12" s="1"/>
  <c r="H8" i="12"/>
  <c r="I8" i="12" s="1"/>
  <c r="F10" i="12"/>
  <c r="E10" i="12"/>
  <c r="D22" i="3"/>
  <c r="E21" i="3"/>
  <c r="F21" i="3" s="1"/>
  <c r="F10" i="8" l="1"/>
  <c r="I10" i="8" s="1"/>
  <c r="D12" i="12"/>
  <c r="C16" i="8"/>
  <c r="D11" i="8"/>
  <c r="F11" i="8" s="1"/>
  <c r="D12" i="8"/>
  <c r="C12" i="5"/>
  <c r="E12" i="5" s="1"/>
  <c r="C12" i="6" s="1"/>
  <c r="E12" i="6" s="1"/>
  <c r="C12" i="7" s="1"/>
  <c r="D12" i="7" s="1"/>
  <c r="E12" i="7" s="1"/>
  <c r="H19" i="5"/>
  <c r="N18" i="5"/>
  <c r="X18" i="5" s="1"/>
  <c r="I20" i="5"/>
  <c r="O19" i="5"/>
  <c r="U25" i="21"/>
  <c r="V25" i="21" s="1"/>
  <c r="V25" i="22"/>
  <c r="V21" i="19"/>
  <c r="V22" i="19" s="1"/>
  <c r="C18" i="12"/>
  <c r="E11" i="5"/>
  <c r="C11" i="6" s="1"/>
  <c r="E11" i="6" s="1"/>
  <c r="C11" i="7" s="1"/>
  <c r="D11" i="7" s="1"/>
  <c r="E11" i="7" s="1"/>
  <c r="Y19" i="5"/>
  <c r="Z21" i="5"/>
  <c r="U26" i="22"/>
  <c r="V22" i="20"/>
  <c r="P24" i="19"/>
  <c r="Q24" i="19" s="1"/>
  <c r="R24" i="19" s="1"/>
  <c r="I26" i="19"/>
  <c r="K26" i="19" s="1"/>
  <c r="L26" i="19" s="1"/>
  <c r="O25" i="19"/>
  <c r="T23" i="19"/>
  <c r="S23" i="19"/>
  <c r="T24" i="20"/>
  <c r="S24" i="20"/>
  <c r="I26" i="20"/>
  <c r="K26" i="20" s="1"/>
  <c r="L26" i="20" s="1"/>
  <c r="O25" i="20"/>
  <c r="P25" i="20" s="1"/>
  <c r="Q25" i="20" s="1"/>
  <c r="R25" i="20" s="1"/>
  <c r="T23" i="20"/>
  <c r="S23" i="20"/>
  <c r="I9" i="8"/>
  <c r="S26" i="21"/>
  <c r="T26" i="21"/>
  <c r="I28" i="21"/>
  <c r="K28" i="21" s="1"/>
  <c r="L28" i="21" s="1"/>
  <c r="O27" i="21"/>
  <c r="P27" i="21" s="1"/>
  <c r="Q27" i="21" s="1"/>
  <c r="R27" i="21" s="1"/>
  <c r="T27" i="22"/>
  <c r="S27" i="22"/>
  <c r="I29" i="22"/>
  <c r="K29" i="22" s="1"/>
  <c r="L29" i="22" s="1"/>
  <c r="O28" i="22"/>
  <c r="F11" i="12"/>
  <c r="E11" i="12"/>
  <c r="D23" i="3"/>
  <c r="E22" i="3"/>
  <c r="F22" i="3" s="1"/>
  <c r="G21" i="3"/>
  <c r="U26" i="21" l="1"/>
  <c r="V26" i="21" s="1"/>
  <c r="H11" i="8"/>
  <c r="I11" i="8" s="1"/>
  <c r="I21" i="5"/>
  <c r="O20" i="5"/>
  <c r="H20" i="5"/>
  <c r="N19" i="5"/>
  <c r="X19" i="5" s="1"/>
  <c r="AB19" i="5" s="1"/>
  <c r="AC19" i="5" s="1"/>
  <c r="D18" i="5" s="1"/>
  <c r="AB18" i="5"/>
  <c r="AC18" i="5" s="1"/>
  <c r="D17" i="5" s="1"/>
  <c r="D13" i="12"/>
  <c r="U24" i="20"/>
  <c r="V26" i="22"/>
  <c r="Y20" i="5"/>
  <c r="Z22" i="5"/>
  <c r="D14" i="12"/>
  <c r="U27" i="22"/>
  <c r="U23" i="20"/>
  <c r="F12" i="8"/>
  <c r="H12" i="8"/>
  <c r="U23" i="19"/>
  <c r="V23" i="19" s="1"/>
  <c r="P28" i="22"/>
  <c r="Q28" i="22" s="1"/>
  <c r="R28" i="22" s="1"/>
  <c r="I30" i="22"/>
  <c r="K30" i="22" s="1"/>
  <c r="L30" i="22" s="1"/>
  <c r="O29" i="22"/>
  <c r="T27" i="21"/>
  <c r="S27" i="21"/>
  <c r="I29" i="21"/>
  <c r="K29" i="21" s="1"/>
  <c r="L29" i="21" s="1"/>
  <c r="O28" i="21"/>
  <c r="P28" i="21" s="1"/>
  <c r="Q28" i="21" s="1"/>
  <c r="R28" i="21" s="1"/>
  <c r="T25" i="20"/>
  <c r="S25" i="20"/>
  <c r="I27" i="20"/>
  <c r="K27" i="20" s="1"/>
  <c r="L27" i="20" s="1"/>
  <c r="O26" i="20"/>
  <c r="P26" i="20" s="1"/>
  <c r="Q26" i="20" s="1"/>
  <c r="R26" i="20" s="1"/>
  <c r="P25" i="19"/>
  <c r="Q25" i="19" s="1"/>
  <c r="R25" i="19" s="1"/>
  <c r="I27" i="19"/>
  <c r="K27" i="19" s="1"/>
  <c r="L27" i="19" s="1"/>
  <c r="O26" i="19"/>
  <c r="P26" i="19" s="1"/>
  <c r="Q26" i="19" s="1"/>
  <c r="R26" i="19" s="1"/>
  <c r="T24" i="19"/>
  <c r="S24" i="19"/>
  <c r="D24" i="3"/>
  <c r="E23" i="3"/>
  <c r="F23" i="3" s="1"/>
  <c r="E12" i="12"/>
  <c r="F12" i="12"/>
  <c r="G22" i="3"/>
  <c r="C18" i="8" l="1"/>
  <c r="C17" i="8"/>
  <c r="C13" i="5"/>
  <c r="E13" i="5" s="1"/>
  <c r="C13" i="6" s="1"/>
  <c r="E13" i="6" s="1"/>
  <c r="C13" i="7" s="1"/>
  <c r="D13" i="7" s="1"/>
  <c r="E13" i="7" s="1"/>
  <c r="D13" i="8"/>
  <c r="H13" i="8" s="1"/>
  <c r="C19" i="12"/>
  <c r="C20" i="12" s="1"/>
  <c r="H21" i="5"/>
  <c r="N20" i="5"/>
  <c r="X20" i="5" s="1"/>
  <c r="AB20" i="5" s="1"/>
  <c r="AC20" i="5" s="1"/>
  <c r="D19" i="5" s="1"/>
  <c r="C19" i="8" s="1"/>
  <c r="I22" i="5"/>
  <c r="O21" i="5"/>
  <c r="Y21" i="5" s="1"/>
  <c r="U24" i="19"/>
  <c r="V27" i="22"/>
  <c r="V23" i="20"/>
  <c r="V24" i="20" s="1"/>
  <c r="I12" i="8"/>
  <c r="Z23" i="5"/>
  <c r="U25" i="20"/>
  <c r="U27" i="21"/>
  <c r="V27" i="21" s="1"/>
  <c r="T26" i="19"/>
  <c r="S26" i="19"/>
  <c r="I28" i="19"/>
  <c r="K28" i="19" s="1"/>
  <c r="L28" i="19" s="1"/>
  <c r="O27" i="19"/>
  <c r="T25" i="19"/>
  <c r="S25" i="19"/>
  <c r="U25" i="19" s="1"/>
  <c r="T26" i="20"/>
  <c r="S26" i="20"/>
  <c r="I28" i="20"/>
  <c r="K28" i="20" s="1"/>
  <c r="L28" i="20" s="1"/>
  <c r="O27" i="20"/>
  <c r="P27" i="20" s="1"/>
  <c r="Q27" i="20" s="1"/>
  <c r="R27" i="20" s="1"/>
  <c r="S28" i="21"/>
  <c r="T28" i="21"/>
  <c r="I30" i="21"/>
  <c r="K30" i="21" s="1"/>
  <c r="L30" i="21" s="1"/>
  <c r="O29" i="21"/>
  <c r="P29" i="21" s="1"/>
  <c r="Q29" i="21" s="1"/>
  <c r="R29" i="21" s="1"/>
  <c r="P29" i="22"/>
  <c r="Q29" i="22" s="1"/>
  <c r="R29" i="22" s="1"/>
  <c r="I31" i="22"/>
  <c r="K31" i="22" s="1"/>
  <c r="L31" i="22" s="1"/>
  <c r="O30" i="22"/>
  <c r="P30" i="22" s="1"/>
  <c r="Q30" i="22" s="1"/>
  <c r="R30" i="22" s="1"/>
  <c r="T28" i="22"/>
  <c r="S28" i="22"/>
  <c r="E13" i="12"/>
  <c r="F13" i="12"/>
  <c r="G23" i="3"/>
  <c r="D25" i="3"/>
  <c r="E24" i="3"/>
  <c r="F24" i="3" s="1"/>
  <c r="D15" i="8" l="1"/>
  <c r="C14" i="5"/>
  <c r="E14" i="5" s="1"/>
  <c r="C14" i="6" s="1"/>
  <c r="E14" i="6" s="1"/>
  <c r="C14" i="7" s="1"/>
  <c r="D14" i="7" s="1"/>
  <c r="E14" i="7" s="1"/>
  <c r="D14" i="8"/>
  <c r="H14" i="8" s="1"/>
  <c r="C15" i="5"/>
  <c r="E15" i="5" s="1"/>
  <c r="C15" i="6" s="1"/>
  <c r="E15" i="6" s="1"/>
  <c r="C15" i="7" s="1"/>
  <c r="D15" i="7" s="1"/>
  <c r="E15" i="7" s="1"/>
  <c r="U28" i="22"/>
  <c r="V28" i="22" s="1"/>
  <c r="V24" i="19"/>
  <c r="D16" i="12" s="1"/>
  <c r="I23" i="5"/>
  <c r="O22" i="5"/>
  <c r="H22" i="5"/>
  <c r="N21" i="5"/>
  <c r="X21" i="5" s="1"/>
  <c r="AB21" i="5" s="1"/>
  <c r="AC21" i="5" s="1"/>
  <c r="D20" i="5" s="1"/>
  <c r="V25" i="20"/>
  <c r="U26" i="20"/>
  <c r="F13" i="8"/>
  <c r="I13" i="8" s="1"/>
  <c r="D15" i="12"/>
  <c r="C21" i="12"/>
  <c r="Y22" i="5"/>
  <c r="Z25" i="5"/>
  <c r="AB25" i="5" s="1"/>
  <c r="Z24" i="5"/>
  <c r="U28" i="21"/>
  <c r="V28" i="21" s="1"/>
  <c r="U26" i="19"/>
  <c r="T30" i="22"/>
  <c r="S30" i="22"/>
  <c r="I32" i="22"/>
  <c r="K32" i="22" s="1"/>
  <c r="L32" i="22" s="1"/>
  <c r="O31" i="22"/>
  <c r="P31" i="22" s="1"/>
  <c r="Q31" i="22" s="1"/>
  <c r="R31" i="22" s="1"/>
  <c r="S29" i="22"/>
  <c r="T29" i="22"/>
  <c r="T29" i="21"/>
  <c r="S29" i="21"/>
  <c r="I31" i="21"/>
  <c r="K31" i="21" s="1"/>
  <c r="L31" i="21" s="1"/>
  <c r="O30" i="21"/>
  <c r="P30" i="21" s="1"/>
  <c r="Q30" i="21" s="1"/>
  <c r="R30" i="21" s="1"/>
  <c r="T27" i="20"/>
  <c r="S27" i="20"/>
  <c r="I29" i="20"/>
  <c r="K29" i="20" s="1"/>
  <c r="L29" i="20" s="1"/>
  <c r="O28" i="20"/>
  <c r="P27" i="19"/>
  <c r="Q27" i="19" s="1"/>
  <c r="R27" i="19" s="1"/>
  <c r="I29" i="19"/>
  <c r="K29" i="19" s="1"/>
  <c r="L29" i="19" s="1"/>
  <c r="O28" i="19"/>
  <c r="F14" i="12"/>
  <c r="E14" i="12"/>
  <c r="E25" i="3"/>
  <c r="F25" i="3" s="1"/>
  <c r="D26" i="3"/>
  <c r="G24" i="3"/>
  <c r="C20" i="8" l="1"/>
  <c r="C16" i="5"/>
  <c r="E16" i="5" s="1"/>
  <c r="C16" i="6" s="1"/>
  <c r="E16" i="6" s="1"/>
  <c r="C16" i="7" s="1"/>
  <c r="D16" i="7" s="1"/>
  <c r="E16" i="7" s="1"/>
  <c r="D16" i="8"/>
  <c r="F16" i="8" s="1"/>
  <c r="F14" i="8"/>
  <c r="I14" i="8" s="1"/>
  <c r="V25" i="19"/>
  <c r="D17" i="12" s="1"/>
  <c r="H23" i="5"/>
  <c r="N23" i="5" s="1"/>
  <c r="X23" i="5" s="1"/>
  <c r="N22" i="5"/>
  <c r="X22" i="5" s="1"/>
  <c r="U30" i="22"/>
  <c r="I24" i="5"/>
  <c r="O24" i="5" s="1"/>
  <c r="O23" i="5"/>
  <c r="U27" i="20"/>
  <c r="V26" i="20"/>
  <c r="C22" i="12"/>
  <c r="AC25" i="5"/>
  <c r="D24" i="5" s="1"/>
  <c r="AC26" i="5"/>
  <c r="D25" i="5" s="1"/>
  <c r="C26" i="8" s="1"/>
  <c r="Y24" i="5"/>
  <c r="Y23" i="5"/>
  <c r="G25" i="3"/>
  <c r="P28" i="19"/>
  <c r="Q28" i="19" s="1"/>
  <c r="R28" i="19" s="1"/>
  <c r="I30" i="19"/>
  <c r="K30" i="19" s="1"/>
  <c r="L30" i="19" s="1"/>
  <c r="O29" i="19"/>
  <c r="T27" i="19"/>
  <c r="S27" i="19"/>
  <c r="H15" i="8"/>
  <c r="F15" i="8"/>
  <c r="P28" i="20"/>
  <c r="Q28" i="20" s="1"/>
  <c r="R28" i="20" s="1"/>
  <c r="I30" i="20"/>
  <c r="K30" i="20" s="1"/>
  <c r="L30" i="20" s="1"/>
  <c r="O29" i="20"/>
  <c r="P29" i="20" s="1"/>
  <c r="Q29" i="20" s="1"/>
  <c r="R29" i="20" s="1"/>
  <c r="T30" i="21"/>
  <c r="S30" i="21"/>
  <c r="I32" i="21"/>
  <c r="K32" i="21" s="1"/>
  <c r="L32" i="21" s="1"/>
  <c r="O31" i="21"/>
  <c r="U29" i="21"/>
  <c r="V29" i="21" s="1"/>
  <c r="U29" i="22"/>
  <c r="T31" i="22"/>
  <c r="S31" i="22"/>
  <c r="I33" i="22"/>
  <c r="K33" i="22" s="1"/>
  <c r="L33" i="22" s="1"/>
  <c r="O32" i="22"/>
  <c r="P32" i="22" s="1"/>
  <c r="Q32" i="22" s="1"/>
  <c r="R32" i="22" s="1"/>
  <c r="D27" i="3"/>
  <c r="E26" i="3"/>
  <c r="F26" i="3" s="1"/>
  <c r="F15" i="12"/>
  <c r="E15" i="12"/>
  <c r="C25" i="8" l="1"/>
  <c r="V26" i="19"/>
  <c r="D18" i="12" s="1"/>
  <c r="V27" i="20"/>
  <c r="AB24" i="5"/>
  <c r="AC24" i="5" s="1"/>
  <c r="D23" i="5" s="1"/>
  <c r="C24" i="8" s="1"/>
  <c r="AB22" i="5"/>
  <c r="AC22" i="5" s="1"/>
  <c r="D21" i="5" s="1"/>
  <c r="AB23" i="5"/>
  <c r="AC23" i="5" s="1"/>
  <c r="D22" i="5" s="1"/>
  <c r="C23" i="8" s="1"/>
  <c r="V29" i="22"/>
  <c r="V30" i="22" s="1"/>
  <c r="H16" i="8"/>
  <c r="I16" i="8" s="1"/>
  <c r="U30" i="21"/>
  <c r="V30" i="21" s="1"/>
  <c r="T32" i="22"/>
  <c r="S32" i="22"/>
  <c r="I34" i="22"/>
  <c r="K34" i="22" s="1"/>
  <c r="L34" i="22" s="1"/>
  <c r="O33" i="22"/>
  <c r="U31" i="22"/>
  <c r="P31" i="21"/>
  <c r="Q31" i="21" s="1"/>
  <c r="R31" i="21" s="1"/>
  <c r="I33" i="21"/>
  <c r="K33" i="21" s="1"/>
  <c r="L33" i="21" s="1"/>
  <c r="O32" i="21"/>
  <c r="P32" i="21" s="1"/>
  <c r="Q32" i="21" s="1"/>
  <c r="R32" i="21" s="1"/>
  <c r="S29" i="20"/>
  <c r="T29" i="20"/>
  <c r="I31" i="20"/>
  <c r="K31" i="20" s="1"/>
  <c r="L31" i="20" s="1"/>
  <c r="O30" i="20"/>
  <c r="T28" i="20"/>
  <c r="S28" i="20"/>
  <c r="I15" i="8"/>
  <c r="U27" i="19"/>
  <c r="D17" i="8" s="1"/>
  <c r="P29" i="19"/>
  <c r="Q29" i="19" s="1"/>
  <c r="R29" i="19" s="1"/>
  <c r="I31" i="19"/>
  <c r="K31" i="19" s="1"/>
  <c r="L31" i="19" s="1"/>
  <c r="O30" i="19"/>
  <c r="T28" i="19"/>
  <c r="S28" i="19"/>
  <c r="D28" i="3"/>
  <c r="E27" i="3"/>
  <c r="F27" i="3" s="1"/>
  <c r="F16" i="12"/>
  <c r="E16" i="12"/>
  <c r="G26" i="3"/>
  <c r="C22" i="8" l="1"/>
  <c r="C21" i="8"/>
  <c r="C17" i="5"/>
  <c r="E17" i="5" s="1"/>
  <c r="C17" i="6" s="1"/>
  <c r="E17" i="6" s="1"/>
  <c r="C17" i="7" s="1"/>
  <c r="D17" i="7" s="1"/>
  <c r="E17" i="7" s="1"/>
  <c r="U28" i="19"/>
  <c r="U32" i="22"/>
  <c r="C23" i="12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V31" i="22"/>
  <c r="P30" i="19"/>
  <c r="Q30" i="19" s="1"/>
  <c r="R30" i="19" s="1"/>
  <c r="I32" i="19"/>
  <c r="K32" i="19" s="1"/>
  <c r="L32" i="19" s="1"/>
  <c r="O31" i="19"/>
  <c r="T29" i="19"/>
  <c r="S29" i="19"/>
  <c r="V27" i="19"/>
  <c r="U28" i="20"/>
  <c r="P30" i="20"/>
  <c r="Q30" i="20" s="1"/>
  <c r="R30" i="20" s="1"/>
  <c r="I32" i="20"/>
  <c r="K32" i="20" s="1"/>
  <c r="L32" i="20" s="1"/>
  <c r="O31" i="20"/>
  <c r="U29" i="20"/>
  <c r="T32" i="21"/>
  <c r="S32" i="21"/>
  <c r="U32" i="21" s="1"/>
  <c r="I34" i="21"/>
  <c r="K34" i="21" s="1"/>
  <c r="L34" i="21" s="1"/>
  <c r="O33" i="21"/>
  <c r="P33" i="21" s="1"/>
  <c r="Q33" i="21" s="1"/>
  <c r="R33" i="21" s="1"/>
  <c r="T31" i="21"/>
  <c r="S31" i="21"/>
  <c r="P33" i="22"/>
  <c r="Q33" i="22" s="1"/>
  <c r="R33" i="22" s="1"/>
  <c r="I35" i="22"/>
  <c r="K35" i="22" s="1"/>
  <c r="L35" i="22" s="1"/>
  <c r="O34" i="22"/>
  <c r="G27" i="3"/>
  <c r="D29" i="3"/>
  <c r="E28" i="3"/>
  <c r="F28" i="3" s="1"/>
  <c r="E17" i="12"/>
  <c r="F17" i="12"/>
  <c r="C18" i="5" l="1"/>
  <c r="E18" i="5" s="1"/>
  <c r="C18" i="6" s="1"/>
  <c r="E18" i="6" s="1"/>
  <c r="C18" i="7" s="1"/>
  <c r="D18" i="7" s="1"/>
  <c r="E18" i="7" s="1"/>
  <c r="D18" i="8"/>
  <c r="C34" i="8"/>
  <c r="C35" i="8" s="1"/>
  <c r="C36" i="8" s="1"/>
  <c r="V32" i="22"/>
  <c r="U29" i="19"/>
  <c r="C19" i="5" s="1"/>
  <c r="U31" i="21"/>
  <c r="V28" i="19"/>
  <c r="D19" i="12"/>
  <c r="P34" i="22"/>
  <c r="Q34" i="22" s="1"/>
  <c r="R34" i="22" s="1"/>
  <c r="I36" i="22"/>
  <c r="K36" i="22" s="1"/>
  <c r="L36" i="22" s="1"/>
  <c r="O35" i="22"/>
  <c r="P35" i="22" s="1"/>
  <c r="Q35" i="22" s="1"/>
  <c r="R35" i="22" s="1"/>
  <c r="S33" i="22"/>
  <c r="T33" i="22"/>
  <c r="T33" i="21"/>
  <c r="S33" i="21"/>
  <c r="I35" i="21"/>
  <c r="K35" i="21" s="1"/>
  <c r="L35" i="21" s="1"/>
  <c r="O34" i="21"/>
  <c r="P34" i="21" s="1"/>
  <c r="Q34" i="21" s="1"/>
  <c r="R34" i="21" s="1"/>
  <c r="P31" i="20"/>
  <c r="Q31" i="20" s="1"/>
  <c r="R31" i="20" s="1"/>
  <c r="I33" i="20"/>
  <c r="K33" i="20" s="1"/>
  <c r="L33" i="20" s="1"/>
  <c r="O32" i="20"/>
  <c r="P32" i="20" s="1"/>
  <c r="Q32" i="20" s="1"/>
  <c r="R32" i="20" s="1"/>
  <c r="T30" i="20"/>
  <c r="S30" i="20"/>
  <c r="V28" i="20"/>
  <c r="V29" i="20" s="1"/>
  <c r="H17" i="8"/>
  <c r="F17" i="8"/>
  <c r="P31" i="19"/>
  <c r="Q31" i="19" s="1"/>
  <c r="R31" i="19" s="1"/>
  <c r="I33" i="19"/>
  <c r="K33" i="19" s="1"/>
  <c r="L33" i="19" s="1"/>
  <c r="O32" i="19"/>
  <c r="P32" i="19" s="1"/>
  <c r="Q32" i="19" s="1"/>
  <c r="R32" i="19" s="1"/>
  <c r="T30" i="19"/>
  <c r="S30" i="19"/>
  <c r="F18" i="12"/>
  <c r="E18" i="12"/>
  <c r="D39" i="3"/>
  <c r="D37" i="3"/>
  <c r="D35" i="3"/>
  <c r="D33" i="3"/>
  <c r="D31" i="3"/>
  <c r="D38" i="3"/>
  <c r="D34" i="3"/>
  <c r="D30" i="3"/>
  <c r="E29" i="3"/>
  <c r="F29" i="3" s="1"/>
  <c r="D36" i="3"/>
  <c r="D32" i="3"/>
  <c r="G28" i="3"/>
  <c r="D19" i="8" l="1"/>
  <c r="F19" i="8" s="1"/>
  <c r="E19" i="5"/>
  <c r="C19" i="6" s="1"/>
  <c r="E19" i="6" s="1"/>
  <c r="C19" i="7" s="1"/>
  <c r="D19" i="7" s="1"/>
  <c r="E19" i="7" s="1"/>
  <c r="U30" i="19"/>
  <c r="V31" i="21"/>
  <c r="V32" i="21" s="1"/>
  <c r="V29" i="19"/>
  <c r="D21" i="12" s="1"/>
  <c r="D20" i="12"/>
  <c r="T32" i="19"/>
  <c r="S32" i="19"/>
  <c r="I34" i="19"/>
  <c r="K34" i="19" s="1"/>
  <c r="L34" i="19" s="1"/>
  <c r="O33" i="19"/>
  <c r="P33" i="19" s="1"/>
  <c r="Q33" i="19" s="1"/>
  <c r="R33" i="19" s="1"/>
  <c r="S31" i="19"/>
  <c r="T31" i="19"/>
  <c r="I17" i="8"/>
  <c r="H18" i="8"/>
  <c r="F18" i="8"/>
  <c r="U30" i="20"/>
  <c r="T32" i="20"/>
  <c r="S32" i="20"/>
  <c r="I34" i="20"/>
  <c r="K34" i="20" s="1"/>
  <c r="L34" i="20" s="1"/>
  <c r="O33" i="20"/>
  <c r="P33" i="20" s="1"/>
  <c r="Q33" i="20" s="1"/>
  <c r="R33" i="20" s="1"/>
  <c r="T31" i="20"/>
  <c r="S31" i="20"/>
  <c r="U31" i="20" s="1"/>
  <c r="T34" i="21"/>
  <c r="S34" i="21"/>
  <c r="I36" i="21"/>
  <c r="K36" i="21" s="1"/>
  <c r="L36" i="21" s="1"/>
  <c r="O35" i="21"/>
  <c r="P35" i="21" s="1"/>
  <c r="Q35" i="21" s="1"/>
  <c r="R35" i="21" s="1"/>
  <c r="U33" i="21"/>
  <c r="U33" i="22"/>
  <c r="S35" i="22"/>
  <c r="T35" i="22"/>
  <c r="I37" i="22"/>
  <c r="K37" i="22" s="1"/>
  <c r="L37" i="22" s="1"/>
  <c r="O36" i="22"/>
  <c r="T34" i="22"/>
  <c r="S34" i="22"/>
  <c r="F19" i="12"/>
  <c r="E19" i="12"/>
  <c r="G29" i="3"/>
  <c r="E39" i="3"/>
  <c r="F39" i="3" s="1"/>
  <c r="E37" i="3"/>
  <c r="F37" i="3" s="1"/>
  <c r="E38" i="3"/>
  <c r="F38" i="3" s="1"/>
  <c r="E34" i="3"/>
  <c r="F34" i="3" s="1"/>
  <c r="E31" i="3"/>
  <c r="F31" i="3" s="1"/>
  <c r="E30" i="3"/>
  <c r="F30" i="3" s="1"/>
  <c r="E36" i="3"/>
  <c r="F36" i="3" s="1"/>
  <c r="E33" i="3"/>
  <c r="F33" i="3" s="1"/>
  <c r="E32" i="3"/>
  <c r="F32" i="3" s="1"/>
  <c r="E35" i="3"/>
  <c r="F35" i="3" s="1"/>
  <c r="C20" i="5" l="1"/>
  <c r="E20" i="5" s="1"/>
  <c r="C20" i="6" s="1"/>
  <c r="E20" i="6" s="1"/>
  <c r="C20" i="7" s="1"/>
  <c r="D20" i="7" s="1"/>
  <c r="E20" i="7" s="1"/>
  <c r="D20" i="8"/>
  <c r="U32" i="19"/>
  <c r="H19" i="8"/>
  <c r="I19" i="8" s="1"/>
  <c r="V33" i="21"/>
  <c r="U34" i="22"/>
  <c r="U32" i="20"/>
  <c r="U34" i="21"/>
  <c r="V33" i="22"/>
  <c r="V30" i="19"/>
  <c r="G30" i="3"/>
  <c r="P36" i="22"/>
  <c r="Q36" i="22" s="1"/>
  <c r="R36" i="22" s="1"/>
  <c r="I38" i="22"/>
  <c r="K38" i="22" s="1"/>
  <c r="L38" i="22" s="1"/>
  <c r="O37" i="22"/>
  <c r="U35" i="22"/>
  <c r="T35" i="21"/>
  <c r="S35" i="21"/>
  <c r="I37" i="21"/>
  <c r="K37" i="21" s="1"/>
  <c r="L37" i="21" s="1"/>
  <c r="O36" i="21"/>
  <c r="P36" i="21" s="1"/>
  <c r="Q36" i="21" s="1"/>
  <c r="R36" i="21" s="1"/>
  <c r="T33" i="20"/>
  <c r="S33" i="20"/>
  <c r="I35" i="20"/>
  <c r="K35" i="20" s="1"/>
  <c r="L35" i="20" s="1"/>
  <c r="O34" i="20"/>
  <c r="V30" i="20"/>
  <c r="V31" i="20" s="1"/>
  <c r="I18" i="8"/>
  <c r="U31" i="19"/>
  <c r="D21" i="8" s="1"/>
  <c r="S33" i="19"/>
  <c r="T33" i="19"/>
  <c r="I35" i="19"/>
  <c r="K35" i="19" s="1"/>
  <c r="L35" i="19" s="1"/>
  <c r="O34" i="19"/>
  <c r="F20" i="12"/>
  <c r="E20" i="12"/>
  <c r="C21" i="5" l="1"/>
  <c r="E21" i="5" s="1"/>
  <c r="C21" i="6" s="1"/>
  <c r="E21" i="6" s="1"/>
  <c r="C21" i="7" s="1"/>
  <c r="D21" i="7" s="1"/>
  <c r="E21" i="7" s="1"/>
  <c r="D22" i="8"/>
  <c r="H22" i="8" s="1"/>
  <c r="C22" i="5"/>
  <c r="E22" i="5" s="1"/>
  <c r="C22" i="6" s="1"/>
  <c r="E22" i="6" s="1"/>
  <c r="C22" i="7" s="1"/>
  <c r="D22" i="7" s="1"/>
  <c r="E22" i="7" s="1"/>
  <c r="V34" i="21"/>
  <c r="V32" i="20"/>
  <c r="V34" i="22"/>
  <c r="V35" i="22" s="1"/>
  <c r="U33" i="20"/>
  <c r="U35" i="21"/>
  <c r="D22" i="12"/>
  <c r="G31" i="3"/>
  <c r="P34" i="19"/>
  <c r="Q34" i="19" s="1"/>
  <c r="R34" i="19" s="1"/>
  <c r="I36" i="19"/>
  <c r="K36" i="19" s="1"/>
  <c r="L36" i="19" s="1"/>
  <c r="O35" i="19"/>
  <c r="P35" i="19" s="1"/>
  <c r="Q35" i="19" s="1"/>
  <c r="R35" i="19" s="1"/>
  <c r="U33" i="19"/>
  <c r="V31" i="19"/>
  <c r="F20" i="8"/>
  <c r="H20" i="8"/>
  <c r="P34" i="20"/>
  <c r="Q34" i="20" s="1"/>
  <c r="R34" i="20" s="1"/>
  <c r="I36" i="20"/>
  <c r="K36" i="20" s="1"/>
  <c r="L36" i="20" s="1"/>
  <c r="O35" i="20"/>
  <c r="P35" i="20" s="1"/>
  <c r="Q35" i="20" s="1"/>
  <c r="R35" i="20" s="1"/>
  <c r="S36" i="21"/>
  <c r="T36" i="21"/>
  <c r="I38" i="21"/>
  <c r="K38" i="21" s="1"/>
  <c r="L38" i="21" s="1"/>
  <c r="O37" i="21"/>
  <c r="P37" i="22"/>
  <c r="Q37" i="22" s="1"/>
  <c r="R37" i="22" s="1"/>
  <c r="I39" i="22"/>
  <c r="K39" i="22" s="1"/>
  <c r="L39" i="22" s="1"/>
  <c r="O38" i="22"/>
  <c r="P38" i="22" s="1"/>
  <c r="Q38" i="22" s="1"/>
  <c r="R38" i="22" s="1"/>
  <c r="T36" i="22"/>
  <c r="S36" i="22"/>
  <c r="E21" i="12"/>
  <c r="F21" i="12"/>
  <c r="C23" i="5" l="1"/>
  <c r="E23" i="5" s="1"/>
  <c r="C23" i="6" s="1"/>
  <c r="E23" i="6" s="1"/>
  <c r="C23" i="7" s="1"/>
  <c r="D23" i="7" s="1"/>
  <c r="E23" i="7" s="1"/>
  <c r="D23" i="8"/>
  <c r="V35" i="21"/>
  <c r="U36" i="21"/>
  <c r="V33" i="20"/>
  <c r="F22" i="8"/>
  <c r="I22" i="8" s="1"/>
  <c r="U36" i="22"/>
  <c r="V36" i="22" s="1"/>
  <c r="I20" i="8"/>
  <c r="V32" i="19"/>
  <c r="D23" i="12"/>
  <c r="G32" i="3"/>
  <c r="S38" i="22"/>
  <c r="T38" i="22"/>
  <c r="I40" i="22"/>
  <c r="K40" i="22" s="1"/>
  <c r="L40" i="22" s="1"/>
  <c r="O39" i="22"/>
  <c r="P39" i="22" s="1"/>
  <c r="Q39" i="22" s="1"/>
  <c r="R39" i="22" s="1"/>
  <c r="T37" i="22"/>
  <c r="S37" i="22"/>
  <c r="P37" i="21"/>
  <c r="Q37" i="21" s="1"/>
  <c r="R37" i="21" s="1"/>
  <c r="I39" i="21"/>
  <c r="K39" i="21" s="1"/>
  <c r="L39" i="21" s="1"/>
  <c r="O38" i="21"/>
  <c r="P38" i="21" s="1"/>
  <c r="Q38" i="21" s="1"/>
  <c r="R38" i="21" s="1"/>
  <c r="S35" i="20"/>
  <c r="T35" i="20"/>
  <c r="I37" i="20"/>
  <c r="K37" i="20" s="1"/>
  <c r="L37" i="20" s="1"/>
  <c r="O36" i="20"/>
  <c r="P36" i="20" s="1"/>
  <c r="Q36" i="20" s="1"/>
  <c r="R36" i="20" s="1"/>
  <c r="T34" i="20"/>
  <c r="S34" i="20"/>
  <c r="H21" i="8"/>
  <c r="F21" i="8"/>
  <c r="T35" i="19"/>
  <c r="S35" i="19"/>
  <c r="I37" i="19"/>
  <c r="K37" i="19" s="1"/>
  <c r="L37" i="19" s="1"/>
  <c r="O36" i="19"/>
  <c r="P36" i="19" s="1"/>
  <c r="Q36" i="19" s="1"/>
  <c r="R36" i="19" s="1"/>
  <c r="T34" i="19"/>
  <c r="S34" i="19"/>
  <c r="F22" i="12"/>
  <c r="E22" i="12"/>
  <c r="U37" i="22" l="1"/>
  <c r="V37" i="22" s="1"/>
  <c r="V36" i="21"/>
  <c r="U34" i="19"/>
  <c r="U38" i="22"/>
  <c r="U35" i="19"/>
  <c r="V33" i="19"/>
  <c r="D25" i="12" s="1"/>
  <c r="D24" i="12"/>
  <c r="G33" i="3"/>
  <c r="U35" i="20"/>
  <c r="U34" i="20"/>
  <c r="T36" i="19"/>
  <c r="S36" i="19"/>
  <c r="I38" i="19"/>
  <c r="K38" i="19" s="1"/>
  <c r="L38" i="19" s="1"/>
  <c r="O37" i="19"/>
  <c r="H23" i="8"/>
  <c r="F23" i="8"/>
  <c r="I21" i="8"/>
  <c r="T36" i="20"/>
  <c r="S36" i="20"/>
  <c r="I38" i="20"/>
  <c r="K38" i="20" s="1"/>
  <c r="L38" i="20" s="1"/>
  <c r="O37" i="20"/>
  <c r="P37" i="20" s="1"/>
  <c r="Q37" i="20" s="1"/>
  <c r="R37" i="20" s="1"/>
  <c r="S38" i="21"/>
  <c r="T38" i="21"/>
  <c r="I40" i="21"/>
  <c r="K40" i="21" s="1"/>
  <c r="L40" i="21" s="1"/>
  <c r="O39" i="21"/>
  <c r="P39" i="21" s="1"/>
  <c r="Q39" i="21" s="1"/>
  <c r="R39" i="21" s="1"/>
  <c r="T37" i="21"/>
  <c r="S37" i="21"/>
  <c r="T39" i="22"/>
  <c r="S39" i="22"/>
  <c r="I41" i="22"/>
  <c r="K41" i="22" s="1"/>
  <c r="L41" i="22" s="1"/>
  <c r="O40" i="22"/>
  <c r="P40" i="22" s="1"/>
  <c r="Q40" i="22" s="1"/>
  <c r="R40" i="22" s="1"/>
  <c r="F23" i="12"/>
  <c r="E23" i="12"/>
  <c r="C25" i="5" l="1"/>
  <c r="E25" i="5" s="1"/>
  <c r="C25" i="6" s="1"/>
  <c r="E25" i="6" s="1"/>
  <c r="C25" i="7" s="1"/>
  <c r="D25" i="7" s="1"/>
  <c r="E25" i="7" s="1"/>
  <c r="D25" i="8"/>
  <c r="H25" i="8" s="1"/>
  <c r="C24" i="5"/>
  <c r="E24" i="5" s="1"/>
  <c r="C24" i="6" s="1"/>
  <c r="E24" i="6" s="1"/>
  <c r="C24" i="7" s="1"/>
  <c r="D24" i="7" s="1"/>
  <c r="E24" i="7" s="1"/>
  <c r="D24" i="8"/>
  <c r="F24" i="8" s="1"/>
  <c r="V38" i="22"/>
  <c r="U37" i="21"/>
  <c r="V37" i="21" s="1"/>
  <c r="U38" i="21"/>
  <c r="V34" i="19"/>
  <c r="V35" i="19" s="1"/>
  <c r="V34" i="20"/>
  <c r="V35" i="20" s="1"/>
  <c r="G34" i="3"/>
  <c r="U36" i="19"/>
  <c r="T40" i="22"/>
  <c r="S40" i="22"/>
  <c r="I42" i="22"/>
  <c r="K42" i="22" s="1"/>
  <c r="L42" i="22" s="1"/>
  <c r="O41" i="22"/>
  <c r="P41" i="22" s="1"/>
  <c r="Q41" i="22" s="1"/>
  <c r="R41" i="22" s="1"/>
  <c r="U39" i="22"/>
  <c r="T39" i="21"/>
  <c r="S39" i="21"/>
  <c r="I41" i="21"/>
  <c r="K41" i="21" s="1"/>
  <c r="L41" i="21" s="1"/>
  <c r="O40" i="21"/>
  <c r="P40" i="21" s="1"/>
  <c r="Q40" i="21" s="1"/>
  <c r="R40" i="21" s="1"/>
  <c r="T37" i="20"/>
  <c r="S37" i="20"/>
  <c r="I39" i="20"/>
  <c r="K39" i="20" s="1"/>
  <c r="L39" i="20" s="1"/>
  <c r="O38" i="20"/>
  <c r="U36" i="20"/>
  <c r="I23" i="8"/>
  <c r="P37" i="19"/>
  <c r="Q37" i="19" s="1"/>
  <c r="R37" i="19" s="1"/>
  <c r="I39" i="19"/>
  <c r="K39" i="19" s="1"/>
  <c r="L39" i="19" s="1"/>
  <c r="O38" i="19"/>
  <c r="P38" i="19" s="1"/>
  <c r="Q38" i="19" s="1"/>
  <c r="R38" i="19" s="1"/>
  <c r="F24" i="12"/>
  <c r="E24" i="12"/>
  <c r="C26" i="5" l="1"/>
  <c r="E26" i="5" s="1"/>
  <c r="C26" i="6" s="1"/>
  <c r="E26" i="6" s="1"/>
  <c r="C26" i="7" s="1"/>
  <c r="D26" i="7" s="1"/>
  <c r="E26" i="7" s="1"/>
  <c r="D26" i="8"/>
  <c r="V38" i="21"/>
  <c r="H24" i="8"/>
  <c r="I24" i="8" s="1"/>
  <c r="F25" i="8"/>
  <c r="I25" i="8" s="1"/>
  <c r="U39" i="21"/>
  <c r="V36" i="20"/>
  <c r="V36" i="19"/>
  <c r="D26" i="12"/>
  <c r="U37" i="20"/>
  <c r="D27" i="12"/>
  <c r="G35" i="3"/>
  <c r="U40" i="22"/>
  <c r="S38" i="19"/>
  <c r="T38" i="19"/>
  <c r="I40" i="19"/>
  <c r="K40" i="19" s="1"/>
  <c r="L40" i="19" s="1"/>
  <c r="O39" i="19"/>
  <c r="P39" i="19" s="1"/>
  <c r="Q39" i="19" s="1"/>
  <c r="R39" i="19" s="1"/>
  <c r="T37" i="19"/>
  <c r="S37" i="19"/>
  <c r="P38" i="20"/>
  <c r="Q38" i="20" s="1"/>
  <c r="R38" i="20" s="1"/>
  <c r="I40" i="20"/>
  <c r="K40" i="20" s="1"/>
  <c r="L40" i="20" s="1"/>
  <c r="O39" i="20"/>
  <c r="P39" i="20" s="1"/>
  <c r="Q39" i="20" s="1"/>
  <c r="R39" i="20" s="1"/>
  <c r="T40" i="21"/>
  <c r="S40" i="21"/>
  <c r="I42" i="21"/>
  <c r="K42" i="21" s="1"/>
  <c r="L42" i="21" s="1"/>
  <c r="O41" i="21"/>
  <c r="P41" i="21" s="1"/>
  <c r="Q41" i="21" s="1"/>
  <c r="R41" i="21" s="1"/>
  <c r="V39" i="22"/>
  <c r="T41" i="22"/>
  <c r="S41" i="22"/>
  <c r="O42" i="22"/>
  <c r="E25" i="12"/>
  <c r="F25" i="12"/>
  <c r="U40" i="21" l="1"/>
  <c r="D28" i="12"/>
  <c r="V39" i="21"/>
  <c r="U41" i="22"/>
  <c r="U37" i="19"/>
  <c r="D27" i="8" s="1"/>
  <c r="V37" i="20"/>
  <c r="G36" i="3"/>
  <c r="V40" i="22"/>
  <c r="P42" i="22"/>
  <c r="Q42" i="22" s="1"/>
  <c r="R42" i="22" s="1"/>
  <c r="T41" i="21"/>
  <c r="S41" i="21"/>
  <c r="O42" i="21"/>
  <c r="P42" i="21" s="1"/>
  <c r="Q42" i="21" s="1"/>
  <c r="R42" i="21" s="1"/>
  <c r="T39" i="20"/>
  <c r="S39" i="20"/>
  <c r="I41" i="20"/>
  <c r="K41" i="20" s="1"/>
  <c r="L41" i="20" s="1"/>
  <c r="O40" i="20"/>
  <c r="T38" i="20"/>
  <c r="S38" i="20"/>
  <c r="H26" i="8"/>
  <c r="F26" i="8"/>
  <c r="S39" i="19"/>
  <c r="T39" i="19"/>
  <c r="I41" i="19"/>
  <c r="K41" i="19" s="1"/>
  <c r="L41" i="19" s="1"/>
  <c r="O40" i="19"/>
  <c r="U38" i="19"/>
  <c r="F26" i="12"/>
  <c r="E26" i="12"/>
  <c r="V40" i="21" l="1"/>
  <c r="C27" i="5"/>
  <c r="E27" i="5" s="1"/>
  <c r="C27" i="6" s="1"/>
  <c r="E27" i="6" s="1"/>
  <c r="C27" i="7" s="1"/>
  <c r="D27" i="7" s="1"/>
  <c r="E27" i="7" s="1"/>
  <c r="U39" i="20"/>
  <c r="V41" i="22"/>
  <c r="U41" i="21"/>
  <c r="V41" i="21" s="1"/>
  <c r="V37" i="19"/>
  <c r="D29" i="12" s="1"/>
  <c r="U38" i="20"/>
  <c r="U39" i="19"/>
  <c r="G37" i="3"/>
  <c r="P40" i="19"/>
  <c r="Q40" i="19" s="1"/>
  <c r="R40" i="19" s="1"/>
  <c r="I42" i="19"/>
  <c r="K42" i="19" s="1"/>
  <c r="L42" i="19" s="1"/>
  <c r="O41" i="19"/>
  <c r="P41" i="19" s="1"/>
  <c r="Q41" i="19" s="1"/>
  <c r="R41" i="19" s="1"/>
  <c r="I26" i="8"/>
  <c r="P40" i="20"/>
  <c r="Q40" i="20" s="1"/>
  <c r="R40" i="20" s="1"/>
  <c r="I42" i="20"/>
  <c r="K42" i="20" s="1"/>
  <c r="L42" i="20" s="1"/>
  <c r="O41" i="20"/>
  <c r="P41" i="20" s="1"/>
  <c r="Q41" i="20" s="1"/>
  <c r="R41" i="20" s="1"/>
  <c r="T42" i="21"/>
  <c r="S42" i="21"/>
  <c r="T42" i="22"/>
  <c r="S42" i="22"/>
  <c r="F27" i="12"/>
  <c r="E27" i="12"/>
  <c r="D29" i="8" l="1"/>
  <c r="F29" i="8" s="1"/>
  <c r="C28" i="5"/>
  <c r="E28" i="5" s="1"/>
  <c r="C28" i="6" s="1"/>
  <c r="E28" i="6" s="1"/>
  <c r="C28" i="7" s="1"/>
  <c r="D28" i="7" s="1"/>
  <c r="E28" i="7" s="1"/>
  <c r="D28" i="8"/>
  <c r="H28" i="8" s="1"/>
  <c r="C29" i="5"/>
  <c r="V38" i="20"/>
  <c r="V39" i="20" s="1"/>
  <c r="E29" i="5"/>
  <c r="C29" i="6" s="1"/>
  <c r="E29" i="6" s="1"/>
  <c r="C29" i="7" s="1"/>
  <c r="D29" i="7" s="1"/>
  <c r="E29" i="7" s="1"/>
  <c r="V38" i="19"/>
  <c r="V39" i="19" s="1"/>
  <c r="F27" i="8"/>
  <c r="H27" i="8"/>
  <c r="U42" i="22"/>
  <c r="G38" i="3"/>
  <c r="U42" i="21"/>
  <c r="V42" i="21" s="1"/>
  <c r="T41" i="20"/>
  <c r="S41" i="20"/>
  <c r="U41" i="20" s="1"/>
  <c r="O42" i="20"/>
  <c r="P42" i="20" s="1"/>
  <c r="Q42" i="20" s="1"/>
  <c r="R42" i="20" s="1"/>
  <c r="T40" i="20"/>
  <c r="S40" i="20"/>
  <c r="T41" i="19"/>
  <c r="S41" i="19"/>
  <c r="O42" i="19"/>
  <c r="T40" i="19"/>
  <c r="S40" i="19"/>
  <c r="F28" i="12"/>
  <c r="E28" i="12"/>
  <c r="D31" i="12" l="1"/>
  <c r="I27" i="8"/>
  <c r="H29" i="8"/>
  <c r="I29" i="8" s="1"/>
  <c r="F28" i="8"/>
  <c r="I28" i="8" s="1"/>
  <c r="D30" i="12"/>
  <c r="U40" i="19"/>
  <c r="V40" i="19" s="1"/>
  <c r="V42" i="22"/>
  <c r="U40" i="20"/>
  <c r="G39" i="3"/>
  <c r="U41" i="19"/>
  <c r="C31" i="5" s="1"/>
  <c r="P42" i="19"/>
  <c r="Q42" i="19" s="1"/>
  <c r="R42" i="19" s="1"/>
  <c r="T42" i="20"/>
  <c r="S42" i="20"/>
  <c r="E29" i="12"/>
  <c r="F29" i="12"/>
  <c r="D31" i="8" l="1"/>
  <c r="H31" i="8" s="1"/>
  <c r="C30" i="5"/>
  <c r="E30" i="5" s="1"/>
  <c r="C30" i="6" s="1"/>
  <c r="E30" i="6" s="1"/>
  <c r="C30" i="7" s="1"/>
  <c r="D30" i="7" s="1"/>
  <c r="E30" i="7" s="1"/>
  <c r="D30" i="8"/>
  <c r="H30" i="8" s="1"/>
  <c r="V41" i="19"/>
  <c r="U42" i="20"/>
  <c r="E31" i="5"/>
  <c r="C31" i="6" s="1"/>
  <c r="E31" i="6" s="1"/>
  <c r="C31" i="7" s="1"/>
  <c r="D31" i="7" s="1"/>
  <c r="E31" i="7" s="1"/>
  <c r="V40" i="20"/>
  <c r="V41" i="20" s="1"/>
  <c r="T42" i="19"/>
  <c r="S42" i="19"/>
  <c r="F30" i="12"/>
  <c r="E30" i="12"/>
  <c r="V42" i="20" l="1"/>
  <c r="F30" i="8"/>
  <c r="I30" i="8" s="1"/>
  <c r="U42" i="19"/>
  <c r="V42" i="19" s="1"/>
  <c r="D32" i="12"/>
  <c r="F31" i="8"/>
  <c r="I31" i="8" s="1"/>
  <c r="D33" i="12"/>
  <c r="F31" i="12"/>
  <c r="E31" i="12"/>
  <c r="D32" i="8" l="1"/>
  <c r="F32" i="8" s="1"/>
  <c r="C32" i="5"/>
  <c r="E32" i="5" s="1"/>
  <c r="C32" i="6" s="1"/>
  <c r="E32" i="6" s="1"/>
  <c r="C32" i="7" s="1"/>
  <c r="D32" i="7" s="1"/>
  <c r="E32" i="7" s="1"/>
  <c r="D33" i="8"/>
  <c r="F33" i="8" s="1"/>
  <c r="D34" i="12"/>
  <c r="F32" i="12"/>
  <c r="E32" i="12"/>
  <c r="H33" i="8" l="1"/>
  <c r="I33" i="8" s="1"/>
  <c r="D34" i="8"/>
  <c r="D35" i="8" s="1"/>
  <c r="D36" i="8" s="1"/>
  <c r="H32" i="8"/>
  <c r="I32" i="8" s="1"/>
  <c r="F34" i="8"/>
  <c r="F35" i="8" s="1"/>
  <c r="F36" i="8" s="1"/>
  <c r="E33" i="12"/>
  <c r="F33" i="12"/>
  <c r="H34" i="8" l="1"/>
  <c r="H35" i="8" s="1"/>
  <c r="H36" i="8" s="1"/>
  <c r="I34" i="8"/>
  <c r="I35" i="8" s="1"/>
  <c r="I36" i="8" s="1"/>
  <c r="F34" i="12"/>
  <c r="F35" i="12" s="1"/>
  <c r="F36" i="12" s="1"/>
  <c r="G10" i="12" s="1"/>
  <c r="H10" i="12" s="1"/>
  <c r="I10" i="12" s="1"/>
  <c r="E34" i="12"/>
  <c r="H11" i="12" l="1"/>
  <c r="I11" i="12" s="1"/>
  <c r="J7" i="12" l="1"/>
  <c r="J6" i="12"/>
  <c r="J5" i="12" s="1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8" i="12"/>
  <c r="J9" i="12"/>
  <c r="H12" i="12" l="1"/>
  <c r="I1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>Infi IT Admin</author>
    <author>Rajat Singh</author>
    <author>Himanshu</author>
  </authors>
  <commentList>
    <comment ref="B5" authorId="0" shapeId="0" xr:uid="{08A6DE89-2490-4159-9FD1-740F35780CEC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As per CDM Tool 14</t>
        </r>
      </text>
    </comment>
    <comment ref="C5" authorId="1" shapeId="0" xr:uid="{72FA8F8A-A8E6-49C7-AF8C-60904EB32A18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As per the CDM Tool 14</t>
        </r>
      </text>
    </comment>
    <comment ref="D5" authorId="2" shapeId="0" xr:uid="{16B81B76-A345-4E4E-B1D3-1038C01D091F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Average annual rainfall is less than 1000 mm and elevation is also less than 1000m of Andra Pradesh</t>
        </r>
      </text>
    </comment>
    <comment ref="E5" authorId="2" shapeId="0" xr:uid="{8A9DC696-D547-4E7B-B9E1-80E6250BE99D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Average annual rainfall is less than 1000 mm and elevation is also less than 1000m  of Andra Pradesh</t>
        </r>
      </text>
    </comment>
    <comment ref="C10" authorId="3" shapeId="0" xr:uid="{7A222329-C27D-451E-88E9-7A0784AD818B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This represents the average number of clumps planted per hectare, based on the number of saplings distributed.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11</author>
    <author>Sahil Pathan</author>
  </authors>
  <commentList>
    <comment ref="E4" authorId="0" shapeId="0" xr:uid="{60E697FA-45FF-4922-B192-4CC24011209A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https://www.researchgate.net/publication/322222168_Degraded_and_Wastelands_of_India_Status_and_Spatial_Distribution</t>
        </r>
      </text>
    </comment>
    <comment ref="E6" authorId="1" shapeId="0" xr:uid="{6481892E-9113-48AA-8A9F-DDEC88653F7B}">
      <text>
        <r>
          <rPr>
            <b/>
            <sz val="9"/>
            <color indexed="81"/>
            <rFont val="Tahoma"/>
            <family val="2"/>
          </rPr>
          <t>Himanshu:</t>
        </r>
        <r>
          <rPr>
            <sz val="9"/>
            <color indexed="81"/>
            <rFont val="Tahoma"/>
            <family val="2"/>
          </rPr>
          <t xml:space="preserve">
Substantial soil disturbance with full inversion and/or frequent (within-year) tillage operations. At planting time, little (e.g. &lt;30%) of the surface is covered by residues</t>
        </r>
      </text>
    </comment>
    <comment ref="E7" authorId="1" shapeId="0" xr:uid="{8D2AA246-E305-4644-9ABC-94F6C0994FEA}">
      <text>
        <r>
          <rPr>
            <b/>
            <sz val="9"/>
            <color indexed="81"/>
            <rFont val="Tahoma"/>
            <family val="2"/>
          </rPr>
          <t xml:space="preserve">Himanshu: </t>
        </r>
        <r>
          <rPr>
            <sz val="9"/>
            <color indexed="81"/>
            <rFont val="Tahoma"/>
            <family val="2"/>
          </rPr>
          <t xml:space="preserve">
All crop residues are returned to the field. If residues are removed then supplemental organic matter (e.g. manure) is added. Additionally, mineral fertilization or N-fixing crop rotation is practised.</t>
        </r>
      </text>
    </comment>
  </commentList>
</comments>
</file>

<file path=xl/sharedStrings.xml><?xml version="1.0" encoding="utf-8"?>
<sst xmlns="http://schemas.openxmlformats.org/spreadsheetml/2006/main" count="334" uniqueCount="205">
  <si>
    <t>Species</t>
  </si>
  <si>
    <t>Botanical name</t>
  </si>
  <si>
    <t>Volumetric equation used</t>
  </si>
  <si>
    <t>Reference</t>
  </si>
  <si>
    <t>Root-shoot ratio</t>
  </si>
  <si>
    <t>Carbon fraction</t>
  </si>
  <si>
    <t>Litter</t>
  </si>
  <si>
    <t>Deadwood</t>
  </si>
  <si>
    <t>Tulda Bamboo</t>
  </si>
  <si>
    <t>Bambusa tulda</t>
  </si>
  <si>
    <t>Y=0.307*DBH^2.174</t>
  </si>
  <si>
    <t>Year of Plantation</t>
  </si>
  <si>
    <t>Plantation Model</t>
  </si>
  <si>
    <t>Grand Total</t>
  </si>
  <si>
    <t>CARBON SEQUESTRATION THROUGH BAMBOO PLANTATION.pdf (egranth.ac.in)</t>
  </si>
  <si>
    <t>Carbon Fraction</t>
  </si>
  <si>
    <t xml:space="preserve">AGB </t>
  </si>
  <si>
    <t xml:space="preserve">BGB </t>
  </si>
  <si>
    <t>Year</t>
  </si>
  <si>
    <t>Total tree planted each year</t>
  </si>
  <si>
    <t>Mortality (10%)</t>
  </si>
  <si>
    <t>Number of tree survie after the Mortality</t>
  </si>
  <si>
    <t>Growth model for Bamboo spp</t>
  </si>
  <si>
    <t>Age</t>
  </si>
  <si>
    <t>Average Culm Diameter (cm)</t>
  </si>
  <si>
    <t xml:space="preserve">Average Number of Culms </t>
  </si>
  <si>
    <t>Above Ground Biomass (kg/Clump)</t>
  </si>
  <si>
    <t>Change in AGB Biomass (kg/clump)</t>
  </si>
  <si>
    <t xml:space="preserve">Above Ground Biomass (tonnes) </t>
  </si>
  <si>
    <t xml:space="preserve">Below Ground Biomass (tonnes) </t>
  </si>
  <si>
    <t xml:space="preserve">Total  Biomass (tonnes) </t>
  </si>
  <si>
    <t>Assam</t>
  </si>
  <si>
    <t>Parameter</t>
  </si>
  <si>
    <t>Symbol</t>
  </si>
  <si>
    <t>Value</t>
  </si>
  <si>
    <t xml:space="preserve">Source (SOC estimation tool, V01.1.0) </t>
  </si>
  <si>
    <t>Reference SOC (tC/ha)</t>
  </si>
  <si>
    <t xml:space="preserve">Land use factor  </t>
  </si>
  <si>
    <t>Management factor</t>
  </si>
  <si>
    <t>1. Full tillage, Table 4</t>
  </si>
  <si>
    <t>Input factor</t>
  </si>
  <si>
    <t>Area (ha)</t>
  </si>
  <si>
    <t>2019-2020</t>
  </si>
  <si>
    <t>2020-2021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</si>
  <si>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</si>
  <si>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</si>
  <si>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</si>
  <si>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</si>
  <si>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</si>
  <si>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</si>
  <si>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</si>
  <si>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</si>
  <si>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</si>
  <si>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</si>
  <si>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</si>
  <si>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</si>
  <si>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2033-2034</t>
  </si>
  <si>
    <t>2034-2035</t>
  </si>
  <si>
    <t>2035-2036</t>
  </si>
  <si>
    <t>2036-2037</t>
  </si>
  <si>
    <t>2037-2038</t>
  </si>
  <si>
    <t>2038-2039</t>
  </si>
  <si>
    <t>2039-2040</t>
  </si>
  <si>
    <t>2040-2041</t>
  </si>
  <si>
    <t>2041-2042</t>
  </si>
  <si>
    <t>2042-2043</t>
  </si>
  <si>
    <t>2043-2044</t>
  </si>
  <si>
    <t>2044-2045</t>
  </si>
  <si>
    <t>2045-2046</t>
  </si>
  <si>
    <t>2046-2047</t>
  </si>
  <si>
    <t>2047-2048</t>
  </si>
  <si>
    <t>2048-2049</t>
  </si>
  <si>
    <t>NPR</t>
  </si>
  <si>
    <t>Vinatge Period</t>
  </si>
  <si>
    <t>Buffer pool allocation</t>
  </si>
  <si>
    <t>09-July-2019 to 31-December-2019</t>
  </si>
  <si>
    <t>01-January-2020 to 31-December-2020</t>
  </si>
  <si>
    <t>01-January-2021 to 31-December-2021</t>
  </si>
  <si>
    <t>01-January-2022 to 31-December-2022</t>
  </si>
  <si>
    <t>01-January-2023 to 31-December-2023</t>
  </si>
  <si>
    <t>01-January-2024 to 31-December-2024</t>
  </si>
  <si>
    <t>01-January-2025 to 31-December-2025</t>
  </si>
  <si>
    <t>01-January-2026 to 31-December-2026</t>
  </si>
  <si>
    <t>01-January-2027 to 31-December-2027</t>
  </si>
  <si>
    <t>01-January-2028 to 31-December-2028</t>
  </si>
  <si>
    <t>01-January-2029 to 31-December-2029</t>
  </si>
  <si>
    <t>01-January-2030 to 31-December-2030</t>
  </si>
  <si>
    <t>01-January-2031 to 31-December-2031</t>
  </si>
  <si>
    <t>01-January-2032 to 31-December-2032</t>
  </si>
  <si>
    <t>01-January-2033 to 31-December-2033</t>
  </si>
  <si>
    <t>01-January-2034 to 31-December-2034</t>
  </si>
  <si>
    <t>01-January-2035 to 31-December-2035</t>
  </si>
  <si>
    <t>01-January-2036 to 31-December-2036</t>
  </si>
  <si>
    <t>01-January-2037 to 31-December-2037</t>
  </si>
  <si>
    <t>01-January-2038 to 31-December-2038</t>
  </si>
  <si>
    <t>01-January-2039 to 31-December-2039</t>
  </si>
  <si>
    <t>01-January-2040 to 31-December-2040</t>
  </si>
  <si>
    <t>01-January-2041 to 31-December-2041</t>
  </si>
  <si>
    <t>01-January-2042 to 31-December-2042</t>
  </si>
  <si>
    <t>01-January-2043 to 31-December-2043</t>
  </si>
  <si>
    <t>01-January-2044 to 31-December-2044</t>
  </si>
  <si>
    <t>01-January-2045 to 31-December-2045</t>
  </si>
  <si>
    <t>01-January-2046 to 31-December-2046</t>
  </si>
  <si>
    <t>01-January-2047 to 31-December-2047</t>
  </si>
  <si>
    <t>01-January-2048 to 31-December-2048</t>
  </si>
  <si>
    <t>01-January-2049 to 08-July-2049</t>
  </si>
  <si>
    <t>Total</t>
  </si>
  <si>
    <t>Annual</t>
  </si>
  <si>
    <t>Annual ER/ha</t>
  </si>
  <si>
    <t>Total VCUs available each year (VCUs)</t>
  </si>
  <si>
    <t>LTA</t>
  </si>
  <si>
    <t>BE</t>
  </si>
  <si>
    <t>PE</t>
  </si>
  <si>
    <t>SUM</t>
  </si>
  <si>
    <r>
      <t>Annual Emission reductions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</si>
  <si>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Baseline emissions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</si>
  <si>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t>Carbon fraction of shrub biomass; t C (t.d.m.)-1</t>
  </si>
  <si>
    <t>Root-shoot ratio for shrubs; dimensionless</t>
  </si>
  <si>
    <t>Area of shrub biomass stratum i1 at a given point of time in year t;
ha (2019)</t>
  </si>
  <si>
    <t>Area of shrub biomass stratum i2 at a given point of time in year t;
ha (2020)</t>
  </si>
  <si>
    <t>Area of shrub biomass stratum i3 at a given point of time in year t;
ha (2021)</t>
  </si>
  <si>
    <t>t</t>
  </si>
  <si>
    <t>Area of shrub biomass stratum i4 at a given point of time in year t;
ha (2022)</t>
  </si>
  <si>
    <r>
      <t>Estimated Baseline emissions or removals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</si>
  <si>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GHG emission reductions or removals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</si>
  <si>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Leakage emissions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</si>
  <si>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reduction VCUs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</si>
  <si>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removal VCUs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</si>
  <si>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>Estimated total VCU issuance (tCO</t>
    </r>
    <r>
      <rPr>
        <b/>
        <vertAlign val="subscript"/>
        <sz val="11"/>
        <color theme="0"/>
        <rFont val="Times New Roman"/>
        <family val="1"/>
      </rPr>
      <t>2</t>
    </r>
    <r>
      <rPr>
        <b/>
        <sz val="11"/>
        <color theme="0"/>
        <rFont val="Times New Roman"/>
        <family val="1"/>
      </rPr>
      <t>e)</t>
    </r>
  </si>
  <si>
    <r>
      <t xml:space="preserve">General information about </t>
    </r>
    <r>
      <rPr>
        <b/>
        <i/>
        <sz val="11"/>
        <color theme="1"/>
        <rFont val="Times New Roman"/>
        <family val="1"/>
      </rPr>
      <t>Bambus tulda</t>
    </r>
  </si>
  <si>
    <r>
      <t>Total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</si>
  <si>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Annual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</si>
  <si>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Deadwood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</si>
  <si>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Litter ER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</si>
  <si>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t xml:space="preserve">Total Biomass (tonnes) </t>
  </si>
  <si>
    <r>
      <t>Annual change in SOC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</si>
  <si>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</si>
  <si>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r>
      <t>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/C</t>
    </r>
  </si>
  <si>
    <t xml:space="preserve">Short-term cultivated (&lt; 20 yrs) or set aside (&lt; 5 years), Table 4 </t>
  </si>
  <si>
    <r>
      <t>CC</t>
    </r>
    <r>
      <rPr>
        <b/>
        <i/>
        <vertAlign val="subscript"/>
        <sz val="11"/>
        <rFont val="Times New Roman"/>
        <family val="1"/>
      </rPr>
      <t>SHRUB_BSL,i</t>
    </r>
  </si>
  <si>
    <r>
      <t>b</t>
    </r>
    <r>
      <rPr>
        <b/>
        <i/>
        <vertAlign val="subscript"/>
        <sz val="11"/>
        <rFont val="Times New Roman"/>
        <family val="1"/>
      </rPr>
      <t>FOREST</t>
    </r>
  </si>
  <si>
    <r>
      <t>BDR</t>
    </r>
    <r>
      <rPr>
        <b/>
        <i/>
        <vertAlign val="subscript"/>
        <sz val="11"/>
        <rFont val="Times New Roman"/>
        <family val="1"/>
      </rPr>
      <t>SF</t>
    </r>
  </si>
  <si>
    <r>
      <t>b</t>
    </r>
    <r>
      <rPr>
        <b/>
        <i/>
        <vertAlign val="subscript"/>
        <sz val="11"/>
        <rFont val="Times New Roman"/>
        <family val="1"/>
      </rPr>
      <t>SHRUB_BSL,I,t</t>
    </r>
  </si>
  <si>
    <r>
      <t>CF</t>
    </r>
    <r>
      <rPr>
        <b/>
        <vertAlign val="subscript"/>
        <sz val="11"/>
        <rFont val="Times New Roman"/>
        <family val="1"/>
      </rPr>
      <t>s</t>
    </r>
  </si>
  <si>
    <r>
      <t>R</t>
    </r>
    <r>
      <rPr>
        <b/>
        <vertAlign val="subscript"/>
        <sz val="11"/>
        <rFont val="Times New Roman"/>
        <family val="1"/>
      </rPr>
      <t>s</t>
    </r>
  </si>
  <si>
    <r>
      <t>A</t>
    </r>
    <r>
      <rPr>
        <b/>
        <i/>
        <vertAlign val="subscript"/>
        <sz val="11"/>
        <rFont val="Times New Roman"/>
        <family val="1"/>
      </rPr>
      <t>SHRUB,i</t>
    </r>
  </si>
  <si>
    <r>
      <t>C</t>
    </r>
    <r>
      <rPr>
        <b/>
        <i/>
        <vertAlign val="subscript"/>
        <sz val="11"/>
        <rFont val="Times New Roman"/>
        <family val="1"/>
      </rPr>
      <t>SHRUB_BSL,t</t>
    </r>
  </si>
  <si>
    <r>
      <t>ΔC</t>
    </r>
    <r>
      <rPr>
        <b/>
        <vertAlign val="subscript"/>
        <sz val="11"/>
        <color theme="1"/>
        <rFont val="Times New Roman"/>
        <family val="1"/>
      </rPr>
      <t>SHRUB_BSL,t</t>
    </r>
  </si>
  <si>
    <r>
      <t>ΔC</t>
    </r>
    <r>
      <rPr>
        <b/>
        <vertAlign val="subscript"/>
        <sz val="11"/>
        <color theme="1"/>
        <rFont val="Times New Roman"/>
        <family val="1"/>
      </rPr>
      <t>BSL,t</t>
    </r>
  </si>
  <si>
    <r>
      <t>Annual Emission reductions/removals after baseline and leakage deductions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</si>
  <si>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Annual emission reductions after baseline deduction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</si>
  <si>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Annual Leakage emissions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</si>
  <si>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Annual Credits after baseline and leakage deduction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</si>
  <si>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Buffer credits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</si>
  <si>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r>
      <t>Net GHGs removal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</si>
  <si>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t xml:space="preserve">Annual increment in no of culms in each clump  </t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</si>
  <si>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/C Fraction </t>
    </r>
  </si>
  <si>
    <t>Average DBH</t>
  </si>
  <si>
    <t>1 (09-July-2019 to 08-July-2020)</t>
  </si>
  <si>
    <r>
      <t>Total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sequestered by Bamboo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</si>
  <si>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t>30 (09-July-2047 to 08-July-2048)</t>
  </si>
  <si>
    <r>
      <t>SOC</t>
    </r>
    <r>
      <rPr>
        <vertAlign val="subscript"/>
        <sz val="11"/>
        <rFont val="Times New Roman"/>
        <family val="1"/>
      </rPr>
      <t>REF,i</t>
    </r>
  </si>
  <si>
    <r>
      <t>f</t>
    </r>
    <r>
      <rPr>
        <vertAlign val="subscript"/>
        <sz val="11"/>
        <rFont val="Times New Roman"/>
        <family val="1"/>
      </rPr>
      <t>LU ,i</t>
    </r>
  </si>
  <si>
    <r>
      <t>f</t>
    </r>
    <r>
      <rPr>
        <vertAlign val="subscript"/>
        <sz val="11"/>
        <rFont val="Times New Roman"/>
        <family val="1"/>
      </rPr>
      <t>MG,i</t>
    </r>
  </si>
  <si>
    <r>
      <t>f</t>
    </r>
    <r>
      <rPr>
        <vertAlign val="subscript"/>
        <sz val="11"/>
        <rFont val="Times New Roman"/>
        <family val="1"/>
      </rPr>
      <t>IN,i</t>
    </r>
  </si>
  <si>
    <r>
      <t xml:space="preserve"> SOC</t>
    </r>
    <r>
      <rPr>
        <b/>
        <vertAlign val="subscript"/>
        <sz val="11"/>
        <rFont val="Times New Roman"/>
        <family val="1"/>
      </rPr>
      <t>INITIAL,i</t>
    </r>
  </si>
  <si>
    <r>
      <t xml:space="preserve"> SOC</t>
    </r>
    <r>
      <rPr>
        <b/>
        <vertAlign val="subscript"/>
        <sz val="11"/>
        <rFont val="Times New Roman"/>
        <family val="1"/>
      </rPr>
      <t>LOSS,i</t>
    </r>
    <r>
      <rPr>
        <b/>
        <sz val="11"/>
        <rFont val="Times New Roman"/>
        <family val="1"/>
      </rPr>
      <t xml:space="preserve"> </t>
    </r>
  </si>
  <si>
    <r>
      <t xml:space="preserve"> dSOC</t>
    </r>
    <r>
      <rPr>
        <b/>
        <vertAlign val="subscript"/>
        <sz val="11"/>
        <rFont val="Times New Roman"/>
        <family val="1"/>
      </rPr>
      <t>t,i</t>
    </r>
  </si>
  <si>
    <r>
      <t>dSOC</t>
    </r>
    <r>
      <rPr>
        <b/>
        <vertAlign val="subscript"/>
        <sz val="11"/>
        <color theme="1"/>
        <rFont val="Times New Roman"/>
        <family val="1"/>
      </rPr>
      <t>t,i</t>
    </r>
  </si>
  <si>
    <r>
      <t>Carbon stock in shrub biomass within the stratum i1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(2019)</t>
    </r>
  </si>
  <si>
    <r>
      <t>Carbon stock in shrub biomass within the stratum i2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(2020)</t>
    </r>
  </si>
  <si>
    <r>
      <t>Carbon stock in shrub biomass within the stratum i3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(2021)</t>
    </r>
  </si>
  <si>
    <r>
      <t>Carbon stock in shrub biomass within the stratum i4 at a
given point of time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(2022)</t>
    </r>
  </si>
  <si>
    <r>
      <t>Change in carbon stock in shrub biomass within the project
boundary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</si>
  <si>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r>
      <t>Baseline net GHG removals by sinks in year t;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</si>
  <si>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t>Crown cover of shrubs in shrub biomass stratum i1 at a given point of time in year t expressed as a fraction; dimensionless (2019)</t>
  </si>
  <si>
    <t>Crown cover of shrubs in shrub biomass stratum i2 at a given point of time in year t expressed as a fraction; dimensionless (2020)</t>
  </si>
  <si>
    <t>Crown cover of shrubs in shrub biomass stratum i4 at a given point of time in year t expressed as a fraction; dimensionless (2022)</t>
  </si>
  <si>
    <t>Crown cover of shrubs in shrub biomass stratum i3 at a given point of time in year t expressed as a fraction; dimensionless (2021)</t>
  </si>
  <si>
    <r>
      <t>Default above-ground biomass content in forest in the region/ country where the A/R CDM project is located; t d.m. ha</t>
    </r>
    <r>
      <rPr>
        <b/>
        <vertAlign val="superscript"/>
        <sz val="11"/>
        <color theme="1"/>
        <rFont val="Times New Roman"/>
        <family val="1"/>
      </rPr>
      <t>-1</t>
    </r>
  </si>
  <si>
    <t>Ratio of shrub biomass per hectare in land having a shrub crown cover of 1.0 and default above-ground biomass content per hectare in forest in the region/country where the A/R CDM project is located; dimensionless</t>
  </si>
  <si>
    <r>
      <t>Shrub biomass per hectare in shrub biomass stratum i1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(2019)</t>
    </r>
  </si>
  <si>
    <r>
      <t>Shrub biomass per hectare in shrub biomass stratum i2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(2020)</t>
    </r>
  </si>
  <si>
    <r>
      <t>Shrub biomass per hectare in shrub biomass stratum i3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(2021)</t>
    </r>
  </si>
  <si>
    <r>
      <t>Shrub biomass per hectare in shrub biomass stratum i4 at a given point of time in year t; t d.m. ha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 xml:space="preserve"> (2022)</t>
    </r>
  </si>
  <si>
    <r>
      <t>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</t>
    </r>
  </si>
  <si>
    <t xml:space="preserve">Total number of VCUs for issuance per year </t>
  </si>
  <si>
    <t>Buffer Pool Allocation per year</t>
  </si>
  <si>
    <r>
      <t>PE</t>
    </r>
    <r>
      <rPr>
        <b/>
        <vertAlign val="subscript"/>
        <sz val="11"/>
        <color rgb="FFFFFFFF"/>
        <rFont val="Times New Roman"/>
        <family val="1"/>
      </rPr>
      <t>t</t>
    </r>
    <r>
      <rPr>
        <b/>
        <sz val="11"/>
        <color rgb="FFFFFFFF"/>
        <rFont val="Times New Roman"/>
        <family val="1"/>
      </rPr>
      <t xml:space="preserve"> − PE</t>
    </r>
    <r>
      <rPr>
        <b/>
        <vertAlign val="subscript"/>
        <sz val="11"/>
        <color rgb="FFFFFFFF"/>
        <rFont val="Times New Roman"/>
        <family val="1"/>
      </rPr>
      <t>t-1</t>
    </r>
  </si>
  <si>
    <r>
      <t>PE</t>
    </r>
    <r>
      <rPr>
        <b/>
        <vertAlign val="subscript"/>
        <sz val="11"/>
        <color rgb="FFFFFFFF"/>
        <rFont val="Times New Roman"/>
        <family val="1"/>
      </rPr>
      <t>t</t>
    </r>
    <r>
      <rPr>
        <b/>
        <sz val="11"/>
        <color rgb="FFFFFFFF"/>
        <rFont val="Times New Roman"/>
        <family val="1"/>
      </rPr>
      <t>- BE</t>
    </r>
    <r>
      <rPr>
        <b/>
        <vertAlign val="subscript"/>
        <sz val="11"/>
        <color rgb="FFFFFFFF"/>
        <rFont val="Times New Roman"/>
        <family val="1"/>
      </rPr>
      <t>t</t>
    </r>
  </si>
  <si>
    <t>Avg. DBH</t>
  </si>
  <si>
    <t>Sr. No.</t>
  </si>
  <si>
    <r>
      <rPr>
        <sz val="11"/>
        <color rgb="FF000000"/>
        <rFont val="Times New Roman"/>
        <family val="1"/>
      </rPr>
      <t>Puangchit, L., Hnin, S.M. and Sungkaew, S., 2019. Allometric equations for estimating the aboveground biomass of a 14-Year-old bamboo plantation at moeswe research station, Myanmar. </t>
    </r>
    <r>
      <rPr>
        <i/>
        <sz val="11"/>
        <color rgb="FF222222"/>
        <rFont val="Arial"/>
        <family val="2"/>
      </rPr>
      <t>Journal of Tropical Forest Research</t>
    </r>
    <r>
      <rPr>
        <sz val="11"/>
        <color rgb="FF222222"/>
        <rFont val="Arial"/>
        <family val="2"/>
      </rPr>
      <t>, </t>
    </r>
    <r>
      <rPr>
        <i/>
        <sz val="11"/>
        <color rgb="FF222222"/>
        <rFont val="Arial"/>
        <family val="2"/>
      </rPr>
      <t>3</t>
    </r>
    <r>
      <rPr>
        <sz val="11"/>
        <color rgb="FF222222"/>
        <rFont val="Arial"/>
        <family val="2"/>
      </rPr>
      <t>(1), pp.1-19.</t>
    </r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</si>
  <si>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/C Fraction</t>
    </r>
  </si>
  <si>
    <r>
      <rPr>
        <b/>
        <i/>
        <sz val="11"/>
        <color theme="1"/>
        <rFont val="Times New Roman"/>
        <family val="1"/>
      </rPr>
      <t xml:space="preserve">B. tulda </t>
    </r>
    <r>
      <rPr>
        <b/>
        <sz val="11"/>
        <color theme="1"/>
        <rFont val="Times New Roman"/>
        <family val="1"/>
      </rPr>
      <t xml:space="preserve">(Area in ha) </t>
    </r>
  </si>
  <si>
    <t>Table 3: HAC soils, Tropical moist</t>
  </si>
  <si>
    <t>2. low , Table 5</t>
  </si>
  <si>
    <r>
      <t>Annual Emission reductions/ removals after baseline deductions in (tCO</t>
    </r>
    <r>
      <rPr>
        <b/>
        <vertAlign val="subscript"/>
        <sz val="11"/>
        <color rgb="FFFFFFFF"/>
        <rFont val="Times New Roman"/>
        <family val="1"/>
      </rPr>
      <t>2</t>
    </r>
    <r>
      <rPr>
        <b/>
        <sz val="11"/>
        <color rgb="FFFFFFFF"/>
        <rFont val="Times New Roman"/>
        <family val="1"/>
      </rPr>
      <t>e)</t>
    </r>
  </si>
  <si>
    <t xml:space="preserve">Baseline scenario: to date GHG emission reductions and removals at year t </t>
  </si>
  <si>
    <t xml:space="preserve">Project scenario: to date GHG emission reductions and removals at year t </t>
  </si>
  <si>
    <t xml:space="preserve">Annual change in GHG benefit  
</t>
  </si>
  <si>
    <t>Expected total GHG benefit to date</t>
  </si>
  <si>
    <t>Thinning per year (%)</t>
  </si>
  <si>
    <t xml:space="preserve">Thinning percentage per year (%) after the 5th year of the plantation </t>
  </si>
  <si>
    <t>https://www.bing.com/ck/a?!&amp;&amp;p=07c21af0487fa8692154afaf72f147348bd1156d391f329c62f050775eb6efd1JmltdHM9MTc1OTI3NjgwMA&amp;ptn=3&amp;ver=2&amp;hsh=4&amp;fclid=18478bda-6735-65d8-2601-9f9d6651643a&amp;psq=Puangchit%2c+L.%2c+Hnin%2c+S.M.+and+Sungkaew%2c+S.%2c+2019.+Allometric+equations+for+estimating+the+aboveground+biomass+of+a+14-Year-old+bamboo+plantation+at+moeswe+research+station%2c+Myanmar.+Journal+of+Tropical+Forest+Research%2c+3(1)%2c+pp.1-19.&amp;u=a1aHR0cHM6Ly9rdWtyLmxpYi5rdS5hYy50aC9rdWtyX2VzL2t1a3Ivc2VhcmNoX2RldGFpbC9kb3dsb2FkX2RpZ2l0YWxfZmlsZS8zOTUwMTgvMTMzMz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</si>
</sst>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Red][&lt;0]\-General;[Black]General;[Black]General"/>
    <numFmt numFmtId="165" formatCode="_(* #,##0_);_(* \(#,##0\);_(* &quot;-&quot;??_);_(@_)"/>
    <numFmt numFmtId="166" formatCode="0.0"/>
    <numFmt numFmtId="167" formatCode="#,##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sz val="8"/>
      <name val="Calibri"/>
      <family val="2"/>
      <scheme val="minor"/>
    </font>
    <font>
      <b/>
      <vertAlign val="subscript"/>
      <sz val="11"/>
      <color rgb="FFFFFFFF"/>
      <name val="Times New Roman"/>
      <family val="1"/>
    </font>
    <font>
      <b/>
      <sz val="11"/>
      <color theme="0"/>
      <name val="Times New Roman"/>
      <family val="1"/>
    </font>
    <font>
      <b/>
      <vertAlign val="subscript"/>
      <sz val="11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b/>
      <vertAlign val="subscript"/>
      <sz val="11"/>
      <name val="Times New Roman"/>
      <family val="1"/>
    </font>
    <font>
      <b/>
      <i/>
      <vertAlign val="subscript"/>
      <sz val="11"/>
      <name val="Times New Roman"/>
      <family val="1"/>
    </font>
    <font>
      <b/>
      <i/>
      <sz val="11"/>
      <name val="Times New Roman"/>
      <family val="1"/>
    </font>
    <font>
      <vertAlign val="sub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222222"/>
      <name val="Arial"/>
      <family val="2"/>
    </font>
    <font>
      <sz val="11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7" fillId="0" borderId="0"/>
    <xf numFmtId="164" fontId="7" fillId="8" borderId="17">
      <alignment wrapText="1"/>
      <protection locked="0"/>
    </xf>
  </cellStyleXfs>
  <cellXfs count="42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2" fontId="1" fillId="0" borderId="0" xfId="0" applyNumberFormat="1" applyFont="1"/>
    <xf numFmtId="0" fontId="11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2" fillId="0" borderId="0" xfId="0" applyFont="1" applyAlignment="1">
      <alignment vertical="center" wrapText="1"/>
    </xf>
    <xf numFmtId="0" fontId="10" fillId="0" borderId="0" xfId="5" applyFont="1" applyAlignment="1">
      <alignment horizontal="center" vertical="center" wrapText="1"/>
    </xf>
    <xf numFmtId="0" fontId="11" fillId="0" borderId="1" xfId="2" applyFont="1" applyBorder="1" applyAlignment="1">
      <alignment horizontal="center" vertical="top"/>
    </xf>
    <xf numFmtId="0" fontId="10" fillId="0" borderId="1" xfId="2" applyFont="1" applyBorder="1" applyAlignment="1">
      <alignment horizontal="center" vertical="top"/>
    </xf>
    <xf numFmtId="2" fontId="10" fillId="0" borderId="1" xfId="2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center"/>
    </xf>
    <xf numFmtId="0" fontId="10" fillId="0" borderId="29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top"/>
    </xf>
    <xf numFmtId="4" fontId="10" fillId="0" borderId="28" xfId="2" applyNumberFormat="1" applyFont="1" applyBorder="1" applyAlignment="1">
      <alignment horizontal="center" vertical="top"/>
    </xf>
    <xf numFmtId="0" fontId="10" fillId="0" borderId="28" xfId="2" applyFont="1" applyBorder="1" applyAlignment="1">
      <alignment horizontal="center" vertical="center"/>
    </xf>
    <xf numFmtId="0" fontId="10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top"/>
    </xf>
    <xf numFmtId="0" fontId="10" fillId="2" borderId="23" xfId="2" applyFont="1" applyFill="1" applyBorder="1" applyAlignment="1">
      <alignment horizontal="center" vertical="top"/>
    </xf>
    <xf numFmtId="0" fontId="10" fillId="2" borderId="27" xfId="2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14" fontId="1" fillId="0" borderId="0" xfId="0" applyNumberFormat="1" applyFont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32" xfId="0" applyNumberFormat="1" applyFont="1" applyBorder="1" applyAlignment="1">
      <alignment horizontal="center" wrapText="1"/>
    </xf>
    <xf numFmtId="1" fontId="1" fillId="0" borderId="2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" fillId="0" borderId="28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1" fillId="0" borderId="1" xfId="4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2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" fontId="1" fillId="0" borderId="11" xfId="0" applyNumberFormat="1" applyFont="1" applyBorder="1" applyAlignment="1">
      <alignment horizontal="center" wrapText="1"/>
    </xf>
    <xf numFmtId="1" fontId="1" fillId="0" borderId="31" xfId="0" applyNumberFormat="1" applyFont="1" applyBorder="1" applyAlignment="1">
      <alignment horizontal="center" wrapText="1"/>
    </xf>
    <xf numFmtId="2" fontId="11" fillId="0" borderId="32" xfId="4" applyNumberFormat="1" applyFont="1" applyBorder="1" applyAlignment="1">
      <alignment horizontal="center" wrapText="1"/>
    </xf>
    <xf numFmtId="2" fontId="1" fillId="0" borderId="32" xfId="0" applyNumberFormat="1" applyFont="1" applyBorder="1" applyAlignment="1">
      <alignment horizontal="center" wrapText="1"/>
    </xf>
    <xf numFmtId="2" fontId="1" fillId="0" borderId="21" xfId="0" applyNumberFormat="1" applyFont="1" applyBorder="1" applyAlignment="1">
      <alignment horizontal="center" wrapText="1"/>
    </xf>
    <xf numFmtId="2" fontId="11" fillId="0" borderId="7" xfId="4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9" fontId="1" fillId="0" borderId="28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2" fontId="1" fillId="0" borderId="43" xfId="0" applyNumberFormat="1" applyFont="1" applyBorder="1" applyAlignment="1">
      <alignment horizontal="center" wrapText="1"/>
    </xf>
    <xf numFmtId="2" fontId="1" fillId="0" borderId="44" xfId="0" applyNumberFormat="1" applyFont="1" applyBorder="1" applyAlignment="1">
      <alignment horizontal="center" wrapText="1"/>
    </xf>
    <xf numFmtId="2" fontId="1" fillId="0" borderId="4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" fontId="1" fillId="0" borderId="32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1" fillId="0" borderId="1" xfId="4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54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3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1" fontId="1" fillId="0" borderId="43" xfId="0" applyNumberFormat="1" applyFont="1" applyBorder="1" applyAlignment="1">
      <alignment horizontal="center" wrapText="1"/>
    </xf>
    <xf numFmtId="1" fontId="1" fillId="0" borderId="57" xfId="0" applyNumberFormat="1" applyFont="1" applyBorder="1" applyAlignment="1">
      <alignment horizontal="center" wrapText="1"/>
    </xf>
    <xf numFmtId="1" fontId="1" fillId="0" borderId="54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11" fillId="0" borderId="32" xfId="4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1" fillId="0" borderId="7" xfId="4" applyNumberFormat="1" applyFont="1" applyBorder="1" applyAlignment="1">
      <alignment horizontal="center"/>
    </xf>
    <xf numFmtId="0" fontId="5" fillId="0" borderId="3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9" fontId="1" fillId="0" borderId="28" xfId="0" applyNumberFormat="1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2" fontId="1" fillId="0" borderId="57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0" fontId="1" fillId="0" borderId="46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/>
    </xf>
    <xf numFmtId="2" fontId="1" fillId="0" borderId="64" xfId="0" applyNumberFormat="1" applyFont="1" applyBorder="1" applyAlignment="1">
      <alignment horizontal="center" wrapText="1"/>
    </xf>
    <xf numFmtId="2" fontId="1" fillId="0" borderId="61" xfId="0" applyNumberFormat="1" applyFont="1" applyBorder="1" applyAlignment="1">
      <alignment horizontal="center" wrapText="1"/>
    </xf>
    <xf numFmtId="2" fontId="1" fillId="0" borderId="62" xfId="0" applyNumberFormat="1" applyFont="1" applyBorder="1" applyAlignment="1">
      <alignment horizontal="center" wrapText="1"/>
    </xf>
    <xf numFmtId="2" fontId="1" fillId="0" borderId="52" xfId="0" applyNumberFormat="1" applyFont="1" applyBorder="1" applyAlignment="1">
      <alignment horizontal="center" wrapText="1"/>
    </xf>
    <xf numFmtId="2" fontId="1" fillId="0" borderId="46" xfId="0" applyNumberFormat="1" applyFont="1" applyBorder="1" applyAlignment="1">
      <alignment horizontal="center" wrapText="1"/>
    </xf>
    <xf numFmtId="2" fontId="1" fillId="0" borderId="56" xfId="0" applyNumberFormat="1" applyFont="1" applyBorder="1" applyAlignment="1">
      <alignment horizontal="center" wrapText="1"/>
    </xf>
    <xf numFmtId="2" fontId="1" fillId="0" borderId="64" xfId="0" applyNumberFormat="1" applyFont="1" applyBorder="1" applyAlignment="1">
      <alignment horizontal="center"/>
    </xf>
    <xf numFmtId="2" fontId="1" fillId="0" borderId="61" xfId="0" applyNumberFormat="1" applyFont="1" applyBorder="1" applyAlignment="1">
      <alignment horizontal="center"/>
    </xf>
    <xf numFmtId="2" fontId="1" fillId="0" borderId="62" xfId="0" applyNumberFormat="1" applyFont="1" applyBorder="1" applyAlignment="1">
      <alignment horizontal="center"/>
    </xf>
    <xf numFmtId="2" fontId="1" fillId="0" borderId="52" xfId="0" applyNumberFormat="1" applyFont="1" applyBorder="1" applyAlignment="1">
      <alignment horizontal="center"/>
    </xf>
    <xf numFmtId="2" fontId="1" fillId="0" borderId="46" xfId="0" applyNumberFormat="1" applyFont="1" applyBorder="1" applyAlignment="1">
      <alignment horizontal="center"/>
    </xf>
    <xf numFmtId="2" fontId="1" fillId="0" borderId="56" xfId="0" applyNumberFormat="1" applyFont="1" applyBorder="1" applyAlignment="1">
      <alignment horizontal="center"/>
    </xf>
    <xf numFmtId="2" fontId="1" fillId="0" borderId="63" xfId="0" applyNumberFormat="1" applyFont="1" applyBorder="1" applyAlignment="1">
      <alignment horizontal="center"/>
    </xf>
    <xf numFmtId="2" fontId="1" fillId="0" borderId="48" xfId="0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49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2" fontId="10" fillId="0" borderId="7" xfId="2" applyNumberFormat="1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39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0" borderId="40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1" fontId="1" fillId="0" borderId="0" xfId="0" applyNumberFormat="1" applyFont="1"/>
    <xf numFmtId="165" fontId="1" fillId="0" borderId="0" xfId="3" applyNumberFormat="1" applyFont="1" applyAlignment="1">
      <alignment horizontal="center" vertical="center"/>
    </xf>
    <xf numFmtId="0" fontId="5" fillId="9" borderId="12" xfId="0" applyFont="1" applyFill="1" applyBorder="1" applyAlignment="1">
      <alignment horizontal="center"/>
    </xf>
    <xf numFmtId="1" fontId="5" fillId="0" borderId="39" xfId="3" applyNumberFormat="1" applyFont="1" applyFill="1" applyBorder="1" applyAlignment="1">
      <alignment horizontal="center"/>
    </xf>
    <xf numFmtId="1" fontId="5" fillId="0" borderId="23" xfId="3" applyNumberFormat="1" applyFont="1" applyFill="1" applyBorder="1" applyAlignment="1">
      <alignment horizontal="center" vertical="center"/>
    </xf>
    <xf numFmtId="1" fontId="5" fillId="0" borderId="41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/>
    </xf>
    <xf numFmtId="0" fontId="5" fillId="9" borderId="45" xfId="0" applyFont="1" applyFill="1" applyBorder="1" applyAlignment="1">
      <alignment horizontal="center"/>
    </xf>
    <xf numFmtId="1" fontId="5" fillId="0" borderId="66" xfId="3" applyNumberFormat="1" applyFont="1" applyFill="1" applyBorder="1" applyAlignment="1">
      <alignment horizontal="center" vertical="center"/>
    </xf>
    <xf numFmtId="1" fontId="5" fillId="0" borderId="62" xfId="0" applyNumberFormat="1" applyFont="1" applyBorder="1" applyAlignment="1">
      <alignment horizontal="center" vertical="center"/>
    </xf>
    <xf numFmtId="1" fontId="5" fillId="0" borderId="12" xfId="3" applyNumberFormat="1" applyFont="1" applyFill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2" fillId="7" borderId="7" xfId="3" applyNumberFormat="1" applyFont="1" applyFill="1" applyBorder="1" applyAlignment="1">
      <alignment horizontal="center" vertical="center" wrapText="1"/>
    </xf>
    <xf numFmtId="0" fontId="12" fillId="7" borderId="55" xfId="3" applyNumberFormat="1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/>
    </xf>
    <xf numFmtId="0" fontId="5" fillId="3" borderId="52" xfId="0" applyFont="1" applyFill="1" applyBorder="1"/>
    <xf numFmtId="0" fontId="5" fillId="3" borderId="56" xfId="0" applyFont="1" applyFill="1" applyBorder="1"/>
    <xf numFmtId="0" fontId="12" fillId="7" borderId="57" xfId="3" applyNumberFormat="1" applyFont="1" applyFill="1" applyBorder="1" applyAlignment="1">
      <alignment horizontal="center" vertical="center" wrapText="1"/>
    </xf>
    <xf numFmtId="0" fontId="12" fillId="7" borderId="11" xfId="3" applyNumberFormat="1" applyFont="1" applyFill="1" applyBorder="1" applyAlignment="1">
      <alignment horizontal="center" vertical="center" wrapText="1"/>
    </xf>
    <xf numFmtId="0" fontId="12" fillId="7" borderId="26" xfId="3" applyNumberFormat="1" applyFont="1" applyFill="1" applyBorder="1" applyAlignment="1">
      <alignment horizontal="center" vertical="center" wrapText="1"/>
    </xf>
    <xf numFmtId="0" fontId="12" fillId="7" borderId="23" xfId="3" applyNumberFormat="1" applyFont="1" applyFill="1" applyBorder="1" applyAlignment="1">
      <alignment horizontal="center" vertical="center" wrapText="1"/>
    </xf>
    <xf numFmtId="0" fontId="12" fillId="7" borderId="27" xfId="3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1" fontId="1" fillId="0" borderId="47" xfId="0" applyNumberFormat="1" applyFont="1" applyBorder="1" applyAlignment="1">
      <alignment horizontal="center" vertical="center"/>
    </xf>
    <xf numFmtId="1" fontId="1" fillId="0" borderId="48" xfId="0" applyNumberFormat="1" applyFont="1" applyBorder="1" applyAlignment="1">
      <alignment horizontal="center" vertical="center"/>
    </xf>
    <xf numFmtId="2" fontId="5" fillId="3" borderId="49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3" borderId="31" xfId="0" applyNumberFormat="1" applyFont="1" applyFill="1" applyBorder="1" applyAlignment="1">
      <alignment horizontal="center" vertical="center"/>
    </xf>
    <xf numFmtId="2" fontId="5" fillId="3" borderId="63" xfId="0" applyNumberFormat="1" applyFont="1" applyFill="1" applyBorder="1" applyAlignment="1">
      <alignment horizontal="center" vertical="center"/>
    </xf>
    <xf numFmtId="1" fontId="1" fillId="0" borderId="49" xfId="0" applyNumberFormat="1" applyFont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2" fontId="5" fillId="3" borderId="57" xfId="0" applyNumberFormat="1" applyFont="1" applyFill="1" applyBorder="1" applyAlignment="1">
      <alignment horizontal="center" vertical="center"/>
    </xf>
    <xf numFmtId="2" fontId="5" fillId="3" borderId="55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50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0" fontId="12" fillId="7" borderId="41" xfId="3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2" fontId="11" fillId="0" borderId="11" xfId="4" applyNumberFormat="1" applyFont="1" applyBorder="1" applyAlignment="1">
      <alignment horizontal="center"/>
    </xf>
    <xf numFmtId="0" fontId="12" fillId="7" borderId="12" xfId="0" applyFont="1" applyFill="1" applyBorder="1" applyAlignment="1">
      <alignment horizontal="center" vertical="center" wrapText="1"/>
    </xf>
    <xf numFmtId="1" fontId="1" fillId="0" borderId="52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2" fontId="5" fillId="0" borderId="23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21" fillId="0" borderId="23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6" fontId="1" fillId="0" borderId="32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2" fillId="7" borderId="32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/>
    <xf numFmtId="10" fontId="1" fillId="0" borderId="0" xfId="0" applyNumberFormat="1" applyFont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5" fillId="3" borderId="52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2" fontId="1" fillId="0" borderId="4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2" fontId="1" fillId="0" borderId="48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53" xfId="0" applyNumberFormat="1" applyFont="1" applyBorder="1" applyAlignment="1">
      <alignment horizontal="center" wrapText="1"/>
    </xf>
    <xf numFmtId="0" fontId="5" fillId="11" borderId="22" xfId="0" applyFont="1" applyFill="1" applyBorder="1" applyAlignment="1">
      <alignment horizontal="left" wrapText="1"/>
    </xf>
    <xf numFmtId="2" fontId="5" fillId="11" borderId="23" xfId="0" applyNumberFormat="1" applyFont="1" applyFill="1" applyBorder="1" applyAlignment="1">
      <alignment horizontal="center" wrapText="1"/>
    </xf>
    <xf numFmtId="2" fontId="5" fillId="11" borderId="24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66" fontId="1" fillId="0" borderId="0" xfId="0" applyNumberFormat="1" applyFont="1" applyAlignment="1">
      <alignment horizontal="center"/>
    </xf>
    <xf numFmtId="2" fontId="0" fillId="0" borderId="0" xfId="0" applyNumberFormat="1"/>
    <xf numFmtId="167" fontId="10" fillId="0" borderId="28" xfId="2" applyNumberFormat="1" applyFont="1" applyBorder="1" applyAlignment="1">
      <alignment horizontal="center" vertical="top"/>
    </xf>
    <xf numFmtId="166" fontId="10" fillId="6" borderId="8" xfId="2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9" fontId="10" fillId="0" borderId="24" xfId="0" applyNumberFormat="1" applyFont="1" applyBorder="1" applyAlignment="1">
      <alignment horizontal="center" vertical="center"/>
    </xf>
    <xf numFmtId="1" fontId="1" fillId="0" borderId="25" xfId="3" applyNumberFormat="1" applyFont="1" applyBorder="1" applyAlignment="1">
      <alignment horizontal="center" vertical="center"/>
    </xf>
    <xf numFmtId="1" fontId="1" fillId="0" borderId="32" xfId="3" applyNumberFormat="1" applyFont="1" applyBorder="1" applyAlignment="1">
      <alignment horizontal="center"/>
    </xf>
    <xf numFmtId="1" fontId="1" fillId="0" borderId="21" xfId="3" applyNumberFormat="1" applyFont="1" applyBorder="1" applyAlignment="1">
      <alignment horizontal="center"/>
    </xf>
    <xf numFmtId="1" fontId="1" fillId="0" borderId="29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/>
    </xf>
    <xf numFmtId="1" fontId="1" fillId="0" borderId="28" xfId="3" applyNumberFormat="1" applyFont="1" applyBorder="1" applyAlignment="1">
      <alignment horizontal="center"/>
    </xf>
    <xf numFmtId="1" fontId="1" fillId="0" borderId="14" xfId="3" applyNumberFormat="1" applyFont="1" applyBorder="1" applyAlignment="1">
      <alignment horizontal="center" vertical="center"/>
    </xf>
    <xf numFmtId="1" fontId="1" fillId="0" borderId="7" xfId="3" applyNumberFormat="1" applyFont="1" applyBorder="1" applyAlignment="1">
      <alignment horizontal="center"/>
    </xf>
    <xf numFmtId="1" fontId="1" fillId="0" borderId="8" xfId="3" applyNumberFormat="1" applyFont="1" applyBorder="1" applyAlignment="1">
      <alignment horizontal="center"/>
    </xf>
    <xf numFmtId="1" fontId="1" fillId="0" borderId="30" xfId="3" applyNumberFormat="1" applyFont="1" applyFill="1" applyBorder="1" applyAlignment="1">
      <alignment horizont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61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/>
    </xf>
    <xf numFmtId="1" fontId="1" fillId="0" borderId="29" xfId="3" applyNumberFormat="1" applyFont="1" applyFill="1" applyBorder="1" applyAlignment="1">
      <alignment horizontal="center"/>
    </xf>
    <xf numFmtId="1" fontId="1" fillId="0" borderId="1" xfId="3" applyNumberFormat="1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>
      <alignment horizontal="center" vertical="center"/>
    </xf>
    <xf numFmtId="1" fontId="1" fillId="0" borderId="46" xfId="3" applyNumberFormat="1" applyFont="1" applyFill="1" applyBorder="1" applyAlignment="1">
      <alignment horizontal="center" vertical="center"/>
    </xf>
    <xf numFmtId="1" fontId="1" fillId="0" borderId="14" xfId="3" applyNumberFormat="1" applyFont="1" applyFill="1" applyBorder="1" applyAlignment="1">
      <alignment horizontal="center"/>
    </xf>
    <xf numFmtId="1" fontId="1" fillId="0" borderId="7" xfId="3" applyNumberFormat="1" applyFont="1" applyFill="1" applyBorder="1" applyAlignment="1">
      <alignment horizontal="center" vertical="center"/>
    </xf>
    <xf numFmtId="1" fontId="1" fillId="0" borderId="65" xfId="3" applyNumberFormat="1" applyFont="1" applyFill="1" applyBorder="1" applyAlignment="1">
      <alignment horizontal="center" vertical="center"/>
    </xf>
    <xf numFmtId="1" fontId="1" fillId="0" borderId="56" xfId="3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164" fontId="0" fillId="0" borderId="0" xfId="0" applyNumberFormat="1" applyFont="1" applyAlignment="1">
      <alignment wrapText="1"/>
    </xf>
    <xf numFmtId="0" fontId="5" fillId="10" borderId="46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" fillId="0" borderId="27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1" fontId="5" fillId="0" borderId="41" xfId="3" applyNumberFormat="1" applyFont="1" applyBorder="1" applyAlignment="1">
      <alignment horizontal="center" vertical="center"/>
    </xf>
    <xf numFmtId="1" fontId="0" fillId="0" borderId="0" xfId="0" applyNumberFormat="1"/>
    <xf numFmtId="2" fontId="1" fillId="0" borderId="0" xfId="0" applyNumberFormat="1" applyFont="1" applyBorder="1" applyAlignment="1">
      <alignment horizontal="center" vertical="center"/>
    </xf>
    <xf numFmtId="0" fontId="2" fillId="0" borderId="23" xfId="1" applyBorder="1" applyAlignment="1">
      <alignment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5" fillId="10" borderId="45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5" fillId="10" borderId="51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1" fontId="5" fillId="4" borderId="43" xfId="0" applyNumberFormat="1" applyFont="1" applyFill="1" applyBorder="1" applyAlignment="1">
      <alignment horizontal="center" vertical="center" wrapText="1"/>
    </xf>
    <xf numFmtId="1" fontId="5" fillId="4" borderId="54" xfId="0" applyNumberFormat="1" applyFont="1" applyFill="1" applyBorder="1" applyAlignment="1">
      <alignment horizontal="center" vertical="center" wrapText="1"/>
    </xf>
    <xf numFmtId="1" fontId="5" fillId="4" borderId="55" xfId="0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5" borderId="5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12" fillId="7" borderId="10" xfId="3" applyNumberFormat="1" applyFont="1" applyFill="1" applyBorder="1" applyAlignment="1">
      <alignment horizontal="center" vertical="center" wrapText="1"/>
    </xf>
    <xf numFmtId="0" fontId="12" fillId="7" borderId="41" xfId="3" applyNumberFormat="1" applyFont="1" applyFill="1" applyBorder="1" applyAlignment="1">
      <alignment horizontal="center" vertical="center" wrapText="1"/>
    </xf>
    <xf numFmtId="0" fontId="12" fillId="7" borderId="2" xfId="3" applyNumberFormat="1" applyFont="1" applyFill="1" applyBorder="1" applyAlignment="1">
      <alignment horizontal="center" vertical="center" wrapText="1"/>
    </xf>
    <xf numFmtId="0" fontId="12" fillId="7" borderId="38" xfId="3" applyNumberFormat="1" applyFont="1" applyFill="1" applyBorder="1" applyAlignment="1">
      <alignment horizontal="center" vertical="center" wrapText="1"/>
    </xf>
    <xf numFmtId="0" fontId="12" fillId="7" borderId="45" xfId="3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dar Data Entry non-negative" xfId="6" xr:uid="{DC00E8C1-0165-48CB-A512-19CF356A0064}"/>
    <cellStyle name="Excel Built-in Normal 1" xfId="2" xr:uid="{2CF1FD59-6C23-4C55-9776-684456B371B4}"/>
    <cellStyle name="Hyperlink" xfId="1" builtinId="8"/>
    <cellStyle name="Normal" xfId="0" builtinId="0"/>
    <cellStyle name="Normal 2" xfId="5" xr:uid="{6F38C300-B660-4548-9B8A-2A0D4C67F0CC}"/>
    <cellStyle name="Normal 214" xfId="4" xr:uid="{ADD3EAFE-451B-44C4-B264-3526DC760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perations%20-%20NBS\Pankaj%20Tomar\Pankaj\1.%20Verra,%20CDM,%20CCB,%20Plan%20VIVO,%20GS\CDM\Methodologies\ARWG30_SOC_Tool_Multizones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i%20IT%20Admin\Downloads\ARWG30_SOC_Tool_Multiz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Calculator"/>
      <sheetName val="IPCC Major Climate Zones"/>
      <sheetName val="IPCC Tables"/>
      <sheetName val="Notes"/>
    </sheetNames>
    <sheetDataSet>
      <sheetData sheetId="0"/>
      <sheetData sheetId="1"/>
      <sheetData sheetId="2"/>
      <sheetData sheetId="3"/>
      <sheetData sheetId="4">
        <row r="2">
          <cell r="K2" t="str">
            <v>1. Long-term cultivated cropland</v>
          </cell>
          <cell r="L2" t="str">
            <v>2. Short-term or set aside cropland</v>
          </cell>
          <cell r="M2" t="str">
            <v>3. Grassland</v>
          </cell>
        </row>
        <row r="15">
          <cell r="C15" t="str">
            <v>1. Low</v>
          </cell>
          <cell r="D15" t="str">
            <v>2. Medium</v>
          </cell>
          <cell r="E15" t="str">
            <v>3. High without manure</v>
          </cell>
          <cell r="F15" t="str">
            <v>4. High with manure</v>
          </cell>
          <cell r="K15" t="str">
            <v>1. Low</v>
          </cell>
          <cell r="L15" t="str">
            <v>2. Medium</v>
          </cell>
          <cell r="M15" t="str">
            <v>3. High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Calculator"/>
      <sheetName val="IPCC Major Climate Zones"/>
      <sheetName val="IPCC Tables"/>
      <sheetName val="Notes"/>
    </sheetNames>
    <sheetDataSet>
      <sheetData sheetId="0"/>
      <sheetData sheetId="1"/>
      <sheetData sheetId="2"/>
      <sheetData sheetId="3"/>
      <sheetData sheetId="4">
        <row r="2">
          <cell r="Q2" t="str">
            <v>1. Full tillage</v>
          </cell>
          <cell r="R2" t="str">
            <v>2. Reduced tillage</v>
          </cell>
          <cell r="S2" t="str">
            <v>3. No-till</v>
          </cell>
          <cell r="W2" t="str">
            <v>1. Improved</v>
          </cell>
          <cell r="X2" t="str">
            <v>2. Nominal</v>
          </cell>
          <cell r="Y2" t="str">
            <v>3. Moderately degraded</v>
          </cell>
          <cell r="Z2" t="str">
            <v>4. Severely degraded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ng.com/ck/a?!&amp;&amp;p=07c21af0487fa8692154afaf72f147348bd1156d391f329c62f050775eb6efd1JmltdHM9MTc1OTI3NjgwMA&amp;ptn=3&amp;ver=2&amp;hsh=4&amp;fclid=18478bda-6735-65d8-2601-9f9d6651643a&amp;psq=Puangchit%2c+L.%2c+Hnin%2c+S.M.+and+Sungkaew%2c+S.%2c+2019.+Allometric+equations+for+estimating+the+aboveground+biomass+of+a+14-Year-old+bamboo+plantation+at+moeswe+research+station%2c+Myanmar.+Journal+of+Tropical+Forest+Research%2c+3(1)%2c+pp.1-19.&amp;u=a1aHR0cHM6Ly9rdWtyLmxpYi5rdS5hYy50aC9rdWtyX2VzL2t1a3Ivc2VhcmNoX2RldGFpbC9kb3dsb2FkX2RpZ2l0YWxfZmlsZS8zOTUwMTgvMTMzMzkz" TargetMode="External"/><Relationship Id="rId1" Type="http://schemas.openxmlformats.org/officeDocument/2006/relationships/hyperlink" Target="https://krishikosh.egranth.ac.in/assets/pdfjs/web/viewer.html?file=https%3A%2F%2Fkrishikosh.egranth.ac.in%2Fserver%2Fapi%2Fcore%2Fbitstreams%2Fc498c960-a718-4a55-964d-925bfd76204f%2Fcont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6"/>
  <sheetViews>
    <sheetView tabSelected="1" topLeftCell="B1" zoomScaleNormal="100" workbookViewId="0">
      <selection activeCell="E10" sqref="E10"/>
    </sheetView>
  </sheetViews>
  <sheetFormatPr defaultColWidth="8.85546875" defaultRowHeight="15" x14ac:dyDescent="0.25"/>
  <cols>
    <col min="1" max="1" width="8.85546875" style="42"/>
    <col min="2" max="2" width="16.7109375" style="42" bestFit="1" customWidth="1"/>
    <col min="3" max="3" width="21.85546875" style="42" customWidth="1"/>
    <col min="4" max="4" width="15.85546875" style="42" bestFit="1" customWidth="1"/>
    <col min="5" max="5" width="25.7109375" style="42" bestFit="1" customWidth="1"/>
    <col min="6" max="6" width="44.140625" style="42" bestFit="1" customWidth="1"/>
    <col min="7" max="7" width="85.7109375" style="42" customWidth="1"/>
    <col min="8" max="8" width="16.7109375" style="42" bestFit="1" customWidth="1"/>
    <col min="9" max="9" width="25" style="42" customWidth="1"/>
    <col min="10" max="10" width="21.85546875" style="42" bestFit="1" customWidth="1"/>
    <col min="11" max="11" width="33.85546875" style="42" customWidth="1"/>
    <col min="12" max="12" width="11" style="42" bestFit="1" customWidth="1"/>
    <col min="13" max="13" width="15.85546875" style="42" bestFit="1" customWidth="1"/>
    <col min="14" max="14" width="12.42578125" style="42" bestFit="1" customWidth="1"/>
    <col min="15" max="15" width="14.28515625" style="42" bestFit="1" customWidth="1"/>
    <col min="16" max="16" width="12.42578125" style="42" bestFit="1" customWidth="1"/>
    <col min="17" max="18" width="14.28515625" style="42" bestFit="1" customWidth="1"/>
    <col min="19" max="22" width="12.42578125" style="42" bestFit="1" customWidth="1"/>
    <col min="23" max="23" width="11.5703125" style="42" bestFit="1" customWidth="1"/>
    <col min="24" max="29" width="9.140625" style="42" bestFit="1" customWidth="1"/>
    <col min="30" max="16384" width="8.85546875" style="42"/>
  </cols>
  <sheetData>
    <row r="1" spans="2:13" ht="15.75" thickBot="1" x14ac:dyDescent="0.3"/>
    <row r="2" spans="2:13" ht="29.25" thickBot="1" x14ac:dyDescent="0.3">
      <c r="B2" s="256" t="s">
        <v>191</v>
      </c>
      <c r="C2" s="257" t="s">
        <v>0</v>
      </c>
      <c r="D2" s="258" t="s">
        <v>1</v>
      </c>
      <c r="E2" s="258" t="s">
        <v>2</v>
      </c>
      <c r="F2" s="339" t="s">
        <v>3</v>
      </c>
      <c r="G2" s="340"/>
      <c r="H2" s="258" t="s">
        <v>157</v>
      </c>
      <c r="I2" s="259" t="s">
        <v>155</v>
      </c>
      <c r="J2" s="258" t="s">
        <v>3</v>
      </c>
      <c r="K2" s="326" t="s">
        <v>203</v>
      </c>
    </row>
    <row r="3" spans="2:13" ht="135.75" thickBot="1" x14ac:dyDescent="0.3">
      <c r="B3" s="260">
        <v>1</v>
      </c>
      <c r="C3" s="261" t="s">
        <v>8</v>
      </c>
      <c r="D3" s="262" t="s">
        <v>9</v>
      </c>
      <c r="E3" s="263" t="s">
        <v>10</v>
      </c>
      <c r="F3" s="264" t="s">
        <v>192</v>
      </c>
      <c r="G3" s="332" t="s">
        <v>204</v>
      </c>
      <c r="H3" s="230">
        <v>6.46</v>
      </c>
      <c r="I3" s="230">
        <v>6.92</v>
      </c>
      <c r="J3" s="325" t="s">
        <v>14</v>
      </c>
      <c r="K3" s="327">
        <v>0.2</v>
      </c>
    </row>
    <row r="4" spans="2:13" ht="15.75" thickBot="1" x14ac:dyDescent="0.3">
      <c r="B4" s="7"/>
      <c r="C4" s="7"/>
      <c r="D4" s="265"/>
      <c r="E4" s="266"/>
      <c r="F4" s="267"/>
      <c r="G4" s="267"/>
      <c r="H4" s="268"/>
      <c r="I4" s="268"/>
      <c r="J4" s="268"/>
      <c r="K4" s="269"/>
      <c r="L4" s="270"/>
      <c r="M4" s="268"/>
    </row>
    <row r="5" spans="2:13" ht="15" customHeight="1" thickBot="1" x14ac:dyDescent="0.3">
      <c r="B5" s="271" t="s">
        <v>4</v>
      </c>
      <c r="C5" s="272" t="s">
        <v>5</v>
      </c>
      <c r="D5" s="272" t="s">
        <v>6</v>
      </c>
      <c r="E5" s="273" t="s">
        <v>7</v>
      </c>
      <c r="F5" s="274" t="s">
        <v>193</v>
      </c>
      <c r="G5"/>
      <c r="H5" s="55"/>
      <c r="I5" s="55"/>
      <c r="J5" s="55"/>
      <c r="K5" s="275"/>
    </row>
    <row r="6" spans="2:13" ht="15" customHeight="1" thickBot="1" x14ac:dyDescent="0.3">
      <c r="B6" s="261">
        <v>0.25</v>
      </c>
      <c r="C6" s="276">
        <v>0.47</v>
      </c>
      <c r="D6" s="277">
        <v>0</v>
      </c>
      <c r="E6" s="277">
        <v>0</v>
      </c>
      <c r="F6" s="278">
        <f>44/12</f>
        <v>3.6666666666666665</v>
      </c>
      <c r="G6" s="331"/>
      <c r="H6" s="55"/>
      <c r="I6" s="275"/>
      <c r="J6" s="275"/>
    </row>
    <row r="7" spans="2:13" s="267" customFormat="1" ht="15.75" thickBot="1" x14ac:dyDescent="0.3">
      <c r="E7" s="279"/>
      <c r="F7" s="279"/>
      <c r="G7" s="279"/>
      <c r="H7" s="279"/>
      <c r="I7" s="280"/>
      <c r="J7" s="280"/>
    </row>
    <row r="8" spans="2:13" x14ac:dyDescent="0.25">
      <c r="B8" s="333" t="s">
        <v>11</v>
      </c>
      <c r="C8" s="281" t="s">
        <v>12</v>
      </c>
      <c r="D8" s="336" t="s">
        <v>13</v>
      </c>
      <c r="E8" s="279"/>
      <c r="F8" s="279"/>
      <c r="G8" s="279"/>
      <c r="H8" s="279"/>
      <c r="I8" s="279"/>
      <c r="J8" s="279"/>
    </row>
    <row r="9" spans="2:13" x14ac:dyDescent="0.25">
      <c r="B9" s="334"/>
      <c r="C9" s="324" t="s">
        <v>194</v>
      </c>
      <c r="D9" s="337"/>
      <c r="E9" s="279"/>
      <c r="F9" s="279"/>
      <c r="G9" s="279"/>
      <c r="H9" s="279"/>
      <c r="I9" s="279"/>
      <c r="J9" s="279"/>
    </row>
    <row r="10" spans="2:13" ht="15.75" thickBot="1" x14ac:dyDescent="0.3">
      <c r="B10" s="335"/>
      <c r="C10" s="282">
        <v>250</v>
      </c>
      <c r="D10" s="338"/>
      <c r="E10" s="279"/>
      <c r="F10" s="279"/>
      <c r="G10" s="279"/>
      <c r="H10" s="323"/>
      <c r="I10" s="279"/>
      <c r="J10" s="279"/>
    </row>
    <row r="11" spans="2:13" x14ac:dyDescent="0.25">
      <c r="B11" s="283">
        <v>2019</v>
      </c>
      <c r="C11" s="53">
        <v>540.47999999999979</v>
      </c>
      <c r="D11" s="284">
        <f>SUM(C11)</f>
        <v>540.47999999999979</v>
      </c>
      <c r="E11" s="279"/>
      <c r="F11" s="322"/>
      <c r="G11" s="322"/>
      <c r="H11" s="323"/>
      <c r="I11" s="279"/>
      <c r="J11" s="279"/>
      <c r="K11" s="279"/>
    </row>
    <row r="12" spans="2:13" x14ac:dyDescent="0.25">
      <c r="B12" s="285">
        <v>2020</v>
      </c>
      <c r="C12" s="51">
        <v>223.1699999999999</v>
      </c>
      <c r="D12" s="286">
        <f>SUM(C12)</f>
        <v>223.1699999999999</v>
      </c>
      <c r="E12" s="279"/>
      <c r="F12" s="322"/>
      <c r="G12" s="322"/>
      <c r="H12" s="323"/>
      <c r="I12" s="279"/>
      <c r="J12" s="279"/>
      <c r="K12" s="279"/>
    </row>
    <row r="13" spans="2:13" x14ac:dyDescent="0.25">
      <c r="B13" s="285">
        <v>2021</v>
      </c>
      <c r="C13" s="51">
        <v>59.950000000000024</v>
      </c>
      <c r="D13" s="286">
        <f>SUM(C13)</f>
        <v>59.950000000000024</v>
      </c>
      <c r="E13" s="279"/>
      <c r="F13" s="322"/>
      <c r="G13" s="322"/>
      <c r="H13" s="323"/>
      <c r="I13" s="279"/>
      <c r="J13" s="279"/>
    </row>
    <row r="14" spans="2:13" ht="15.75" thickBot="1" x14ac:dyDescent="0.3">
      <c r="B14" s="287">
        <v>2022</v>
      </c>
      <c r="C14" s="288">
        <v>10.73</v>
      </c>
      <c r="D14" s="289">
        <f>SUM(C14)</f>
        <v>10.73</v>
      </c>
      <c r="E14" s="279"/>
      <c r="F14" s="322"/>
      <c r="G14" s="322"/>
      <c r="H14" s="279"/>
      <c r="I14" s="279"/>
      <c r="J14" s="279"/>
    </row>
    <row r="15" spans="2:13" ht="15.75" thickBot="1" x14ac:dyDescent="0.3">
      <c r="B15" s="290" t="s">
        <v>13</v>
      </c>
      <c r="C15" s="291">
        <f>SUM(C11:C14)</f>
        <v>834.3299999999997</v>
      </c>
      <c r="D15" s="292">
        <f>SUM(D11:D14)</f>
        <v>834.3299999999997</v>
      </c>
      <c r="E15" s="279"/>
      <c r="F15" s="279"/>
      <c r="G15" s="279"/>
      <c r="H15" s="279"/>
      <c r="I15" s="279"/>
      <c r="J15" s="279"/>
    </row>
    <row r="16" spans="2:13" x14ac:dyDescent="0.25">
      <c r="B16" s="293"/>
      <c r="D16" s="279"/>
      <c r="E16" s="279"/>
      <c r="F16" s="279"/>
      <c r="G16" s="279"/>
      <c r="H16" s="279"/>
      <c r="I16" s="279"/>
      <c r="J16" s="279"/>
    </row>
    <row r="17" spans="2:10" x14ac:dyDescent="0.25">
      <c r="B17" s="293"/>
      <c r="D17" s="279"/>
      <c r="E17" s="279"/>
      <c r="F17" s="279"/>
      <c r="G17" s="279"/>
      <c r="H17" s="279"/>
      <c r="I17" s="279"/>
      <c r="J17" s="279"/>
    </row>
    <row r="18" spans="2:10" x14ac:dyDescent="0.25">
      <c r="B18" s="293"/>
      <c r="D18" s="279"/>
      <c r="E18" s="279"/>
      <c r="F18" s="279"/>
      <c r="G18" s="279"/>
      <c r="H18" s="279"/>
      <c r="I18" s="279"/>
      <c r="J18" s="279"/>
    </row>
    <row r="19" spans="2:10" x14ac:dyDescent="0.25">
      <c r="B19" s="293"/>
      <c r="D19" s="279"/>
      <c r="E19" s="279"/>
      <c r="F19" s="279"/>
      <c r="G19" s="279"/>
      <c r="H19" s="279"/>
      <c r="I19" s="279"/>
      <c r="J19" s="279"/>
    </row>
    <row r="20" spans="2:10" x14ac:dyDescent="0.25">
      <c r="D20" s="279"/>
      <c r="E20" s="279"/>
      <c r="F20" s="279"/>
      <c r="G20" s="279"/>
      <c r="H20" s="279"/>
      <c r="I20" s="279"/>
      <c r="J20" s="279"/>
    </row>
    <row r="21" spans="2:10" x14ac:dyDescent="0.25">
      <c r="D21" s="279"/>
      <c r="E21" s="279"/>
      <c r="F21" s="279"/>
      <c r="G21" s="279"/>
      <c r="H21" s="279"/>
      <c r="I21" s="279"/>
      <c r="J21" s="279"/>
    </row>
    <row r="22" spans="2:10" x14ac:dyDescent="0.25">
      <c r="D22" s="279"/>
      <c r="E22" s="279"/>
      <c r="F22" s="279"/>
      <c r="G22" s="279"/>
      <c r="H22" s="279"/>
      <c r="I22" s="279"/>
      <c r="J22" s="279"/>
    </row>
    <row r="23" spans="2:10" x14ac:dyDescent="0.25">
      <c r="D23" s="279"/>
      <c r="E23" s="279"/>
      <c r="F23" s="279"/>
      <c r="G23" s="279"/>
      <c r="H23" s="279"/>
      <c r="I23" s="279"/>
      <c r="J23" s="279"/>
    </row>
    <row r="24" spans="2:10" x14ac:dyDescent="0.25">
      <c r="D24" s="279"/>
      <c r="E24" s="279"/>
      <c r="F24" s="279"/>
      <c r="G24" s="279"/>
      <c r="H24" s="279"/>
      <c r="I24" s="279"/>
      <c r="J24" s="279"/>
    </row>
    <row r="25" spans="2:10" x14ac:dyDescent="0.25">
      <c r="D25" s="279"/>
      <c r="E25" s="279"/>
      <c r="F25" s="279"/>
      <c r="G25" s="279"/>
      <c r="H25" s="279"/>
      <c r="I25" s="279"/>
      <c r="J25" s="279"/>
    </row>
    <row r="26" spans="2:10" x14ac:dyDescent="0.25">
      <c r="D26" s="279"/>
      <c r="E26" s="279"/>
      <c r="F26" s="279"/>
      <c r="G26" s="279"/>
      <c r="H26" s="279"/>
      <c r="I26" s="279"/>
      <c r="J26" s="279"/>
    </row>
  </sheetData>
  <mergeCells count="3">
    <mergeCell ref="B8:B10"/>
    <mergeCell ref="D8:D10"/>
    <mergeCell ref="F2:G2"/>
  </mergeCells>
  <phoneticPr fontId="13" type="noConversion"/>
  <hyperlinks>
    <hyperlink ref="J3" r:id="rId1" display="https://krishikosh.egranth.ac.in/assets/pdfjs/web/viewer.html?file=https%3A%2F%2Fkrishikosh.egranth.ac.in%2Fserver%2Fapi%2Fcore%2Fbitstreams%2Fc498c960-a718-4a55-964d-925bfd76204f%2Fcontent" xr:uid="{9EE2A5D5-0FB5-4B12-ADD2-E9DE8EE6D7B4}"/>
    <hyperlink ref="G3" r:id="rId2" display="https://www.bing.com/ck/a?!&amp;&amp;p=07c21af0487fa8692154afaf72f147348bd1156d391f329c62f050775eb6efd1JmltdHM9MTc1OTI3NjgwMA&amp;ptn=3&amp;ver=2&amp;hsh=4&amp;fclid=18478bda-6735-65d8-2601-9f9d6651643a&amp;psq=Puangchit%2c+L.%2c+Hnin%2c+S.M.+and+Sungkaew%2c+S.%2c+2019.+Allometric+equations+for+estimating+the+aboveground+biomass+of+a+14-Year-old+bamboo+plantation+at+moeswe+research+station%2c+Myanmar.+Journal+of+Tropical+Forest+Research%2c+3(1)%2c+pp.1-19.&amp;u=a1aHR0cHM6Ly9rdWtyLmxpYi5rdS5hYy50aC9rdWtyX2VzL2t1a3Ivc2VhcmNoX2RldGFpbC9kb3dsb2FkX2RpZ2l0YWxfZmlsZS8zOTUwMTgvMTMzMzkz" xr:uid="{5B3C6746-F6DB-4752-89FA-0C1F7558B199}"/>
  </hyperlinks>
  <pageMargins left="0.7" right="0.7" top="0.75" bottom="0.75" header="0.3" footer="0.3"/>
  <pageSetup orientation="portrait" horizontalDpi="300" verticalDpi="300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FFE0-1534-4FF4-B61D-777E1218BA2B}">
  <dimension ref="A1:Z36"/>
  <sheetViews>
    <sheetView zoomScaleNormal="100" workbookViewId="0">
      <selection activeCell="N4" sqref="N4"/>
    </sheetView>
  </sheetViews>
  <sheetFormatPr defaultRowHeight="15" x14ac:dyDescent="0.25"/>
  <cols>
    <col min="1" max="1" width="9.140625" style="1"/>
    <col min="2" max="2" width="34.85546875" style="1" bestFit="1" customWidth="1"/>
    <col min="3" max="3" width="18.28515625" style="1" bestFit="1" customWidth="1"/>
    <col min="4" max="4" width="18.5703125" style="1" bestFit="1" customWidth="1"/>
    <col min="5" max="5" width="12.85546875" style="1" bestFit="1" customWidth="1"/>
    <col min="6" max="6" width="17.42578125" style="1" bestFit="1" customWidth="1"/>
    <col min="7" max="7" width="12.140625" style="1" customWidth="1"/>
    <col min="8" max="9" width="18.5703125" style="1" bestFit="1" customWidth="1"/>
    <col min="10" max="11" width="9.140625" style="1"/>
    <col min="12" max="12" width="11.5703125" style="1" bestFit="1" customWidth="1"/>
    <col min="13" max="13" width="11.7109375" style="1" bestFit="1" customWidth="1"/>
    <col min="14" max="19" width="9.140625" style="1"/>
    <col min="20" max="20" width="11.7109375" style="1" bestFit="1" customWidth="1"/>
    <col min="21" max="21" width="11.5703125" style="1" bestFit="1" customWidth="1"/>
    <col min="22" max="22" width="9.28515625" style="1" bestFit="1" customWidth="1"/>
    <col min="23" max="23" width="11.5703125" style="1" bestFit="1" customWidth="1"/>
    <col min="24" max="24" width="9.28515625" style="1" bestFit="1" customWidth="1"/>
    <col min="25" max="26" width="11.5703125" style="1" bestFit="1" customWidth="1"/>
    <col min="27" max="16384" width="9.140625" style="1"/>
  </cols>
  <sheetData>
    <row r="1" spans="1:26" ht="15.75" thickBot="1" x14ac:dyDescent="0.3"/>
    <row r="2" spans="1:26" ht="60.75" customHeight="1" thickBot="1" x14ac:dyDescent="0.3">
      <c r="A2" s="9"/>
      <c r="B2" s="194" t="s">
        <v>73</v>
      </c>
      <c r="C2" s="195" t="s">
        <v>123</v>
      </c>
      <c r="D2" s="196" t="s">
        <v>124</v>
      </c>
      <c r="E2" s="196" t="s">
        <v>125</v>
      </c>
      <c r="F2" s="197" t="s">
        <v>74</v>
      </c>
      <c r="G2" s="196" t="s">
        <v>126</v>
      </c>
      <c r="H2" s="198" t="s">
        <v>127</v>
      </c>
      <c r="I2" s="199" t="s">
        <v>128</v>
      </c>
      <c r="M2" s="40"/>
    </row>
    <row r="3" spans="1:26" x14ac:dyDescent="0.25">
      <c r="B3" s="98" t="s">
        <v>75</v>
      </c>
      <c r="C3" s="310">
        <f>(Baseline!D3*176/365)</f>
        <v>529.72649331738069</v>
      </c>
      <c r="D3" s="311">
        <f>('Tulda 2019'!U13+'Tulda 2020'!U13+'Tulda 2021'!U13+'Tulda 2022'!U13+SOC!F10)*176/365</f>
        <v>16256.310522023838</v>
      </c>
      <c r="E3" s="311">
        <f>(Leakage!D3*176/365)</f>
        <v>0</v>
      </c>
      <c r="F3" s="311">
        <f>D3*NPR!$I$2</f>
        <v>3088.6989991845294</v>
      </c>
      <c r="G3" s="311">
        <v>0</v>
      </c>
      <c r="H3" s="312">
        <f>D3-C3-E3</f>
        <v>15726.584028706457</v>
      </c>
      <c r="I3" s="313">
        <f>H3-F3</f>
        <v>12637.885029521927</v>
      </c>
      <c r="K3" s="182"/>
      <c r="L3" s="182"/>
      <c r="M3"/>
      <c r="N3"/>
      <c r="O3"/>
      <c r="P3"/>
      <c r="Q3"/>
      <c r="R3"/>
      <c r="T3"/>
      <c r="U3"/>
      <c r="V3"/>
      <c r="W3"/>
      <c r="X3"/>
      <c r="Y3"/>
      <c r="Z3"/>
    </row>
    <row r="4" spans="1:26" x14ac:dyDescent="0.25">
      <c r="B4" s="98" t="s">
        <v>76</v>
      </c>
      <c r="C4" s="314">
        <f>(Baseline!D3*189/365)+(Baseline!D4*176/365)</f>
        <v>1321.5354665352129</v>
      </c>
      <c r="D4" s="315">
        <f>(('Tulda 2019'!U13+'Tulda 2020'!U13+'Tulda 2021'!U13+'Tulda 2022'!U13+SOC!F10)*189/365)+('Tulda 2019'!U14+'Tulda 2020'!U14+'Tulda 2021'!U14+'Tulda 2022'!U14+SOC!F11)*176/365</f>
        <v>40425.776557975056</v>
      </c>
      <c r="E4" s="315">
        <f>(Leakage!D3*189/365)+(Leakage!D4*176/365)</f>
        <v>0</v>
      </c>
      <c r="F4" s="315">
        <f>D4*NPR!$I$2</f>
        <v>7680.8975460152606</v>
      </c>
      <c r="G4" s="315">
        <v>0</v>
      </c>
      <c r="H4" s="316">
        <f t="shared" ref="H4:H33" si="0">D4-C4-E4</f>
        <v>39104.241091439842</v>
      </c>
      <c r="I4" s="317">
        <f t="shared" ref="I4:I33" si="1">H4-F4</f>
        <v>31423.343545424581</v>
      </c>
      <c r="M4"/>
      <c r="N4"/>
      <c r="O4"/>
      <c r="P4"/>
      <c r="Q4"/>
      <c r="R4"/>
      <c r="T4"/>
      <c r="U4"/>
      <c r="V4"/>
      <c r="W4"/>
      <c r="X4"/>
      <c r="Y4"/>
      <c r="Z4"/>
    </row>
    <row r="5" spans="1:26" x14ac:dyDescent="0.25">
      <c r="B5" s="98" t="s">
        <v>77</v>
      </c>
      <c r="C5" s="314">
        <f>(Baseline!D4*189/365)+(Baseline!D5*176/365)</f>
        <v>1621.7313285751457</v>
      </c>
      <c r="D5" s="315">
        <f>(('Tulda 2019'!U14+'Tulda 2020'!U14+'Tulda 2021'!U14+'Tulda 2022'!U14+SOC!F11)*189/365)+('Tulda 2019'!U15+'Tulda 2020'!U15+'Tulda 2021'!U15+'Tulda 2022'!U15+SOC!F12)*176/365</f>
        <v>49437.133239333933</v>
      </c>
      <c r="E5" s="315">
        <f>(Leakage!D4*189/365)+(Leakage!D5*176/365)</f>
        <v>0</v>
      </c>
      <c r="F5" s="315">
        <f>D5*NPR!$I$2</f>
        <v>9393.055315473448</v>
      </c>
      <c r="G5" s="315">
        <v>0</v>
      </c>
      <c r="H5" s="316">
        <f t="shared" si="0"/>
        <v>47815.401910758788</v>
      </c>
      <c r="I5" s="317">
        <f t="shared" si="1"/>
        <v>38422.346595285344</v>
      </c>
      <c r="K5" s="182"/>
      <c r="L5" s="182"/>
      <c r="M5"/>
      <c r="N5"/>
      <c r="O5"/>
      <c r="P5"/>
      <c r="Q5"/>
      <c r="R5"/>
      <c r="T5"/>
      <c r="U5"/>
      <c r="V5"/>
      <c r="W5"/>
      <c r="X5"/>
      <c r="Y5"/>
      <c r="Z5"/>
    </row>
    <row r="6" spans="1:26" x14ac:dyDescent="0.25">
      <c r="B6" s="98" t="s">
        <v>78</v>
      </c>
      <c r="C6" s="314">
        <f>(Baseline!D5*189/365)+(Baseline!D6*176/365)</f>
        <v>1698.3805977778516</v>
      </c>
      <c r="D6" s="315">
        <f>(('Tulda 2019'!U15+'Tulda 2020'!U15+'Tulda 2021'!U15+'Tulda 2022'!U15+SOC!F12)*189/365)+('Tulda 2019'!U16+'Tulda 2020'!U16+'Tulda 2021'!U16+'Tulda 2022'!U16+SOC!F13)*176/365</f>
        <v>51696.201109980379</v>
      </c>
      <c r="E6" s="315">
        <f>(Leakage!D5*189/365)+(Leakage!D6*176/365)</f>
        <v>0</v>
      </c>
      <c r="F6" s="315">
        <f>D6*NPR!$I$2</f>
        <v>9822.2782108962729</v>
      </c>
      <c r="G6" s="315">
        <v>0</v>
      </c>
      <c r="H6" s="316">
        <f t="shared" si="0"/>
        <v>49997.820512202525</v>
      </c>
      <c r="I6" s="317">
        <f t="shared" si="1"/>
        <v>40175.542301306254</v>
      </c>
      <c r="M6"/>
      <c r="N6"/>
      <c r="O6"/>
      <c r="P6"/>
      <c r="Q6"/>
      <c r="R6"/>
      <c r="T6"/>
      <c r="U6"/>
      <c r="V6"/>
      <c r="W6"/>
      <c r="X6"/>
      <c r="Y6"/>
      <c r="Z6"/>
    </row>
    <row r="7" spans="1:26" x14ac:dyDescent="0.25">
      <c r="B7" s="98" t="s">
        <v>79</v>
      </c>
      <c r="C7" s="314">
        <f>(Baseline!D6*189/365)+(Baseline!D7*176/365)</f>
        <v>1710.6094747182206</v>
      </c>
      <c r="D7" s="315">
        <f>(('Tulda 2019'!U16+'Tulda 2020'!U16+'Tulda 2021'!U16+'Tulda 2022'!U16+SOC!F13)*189/365)+('Tulda 2019'!U17+'Tulda 2020'!U17+'Tulda 2021'!U17+'Tulda 2022'!U17+SOC!F14)*176/365</f>
        <v>52042.771309884229</v>
      </c>
      <c r="E7" s="315">
        <f>(Leakage!D6*189/365)+(Leakage!D7*176/365)</f>
        <v>0</v>
      </c>
      <c r="F7" s="315">
        <f>D7*NPR!$I$2</f>
        <v>9888.1265488780027</v>
      </c>
      <c r="G7" s="315">
        <v>0</v>
      </c>
      <c r="H7" s="316">
        <f t="shared" si="0"/>
        <v>50332.161835166007</v>
      </c>
      <c r="I7" s="317">
        <f t="shared" si="1"/>
        <v>40444.035286288003</v>
      </c>
      <c r="M7"/>
      <c r="N7"/>
      <c r="O7"/>
      <c r="P7"/>
      <c r="Q7"/>
      <c r="R7"/>
      <c r="T7"/>
      <c r="U7"/>
      <c r="V7"/>
      <c r="W7"/>
      <c r="X7"/>
      <c r="Y7"/>
      <c r="Z7"/>
    </row>
    <row r="8" spans="1:26" x14ac:dyDescent="0.25">
      <c r="B8" s="98" t="s">
        <v>80</v>
      </c>
      <c r="C8" s="314">
        <f>(Baseline!D7*189/365)+(Baseline!D8*176/365)</f>
        <v>1710.6094747182206</v>
      </c>
      <c r="D8" s="315">
        <f>(('Tulda 2019'!U17+'Tulda 2020'!U17+'Tulda 2021'!U17+'Tulda 2022'!U17+SOC!F14)*189/365)+('Tulda 2019'!U18+'Tulda 2020'!U18+'Tulda 2021'!U18+'Tulda 2022'!U18+SOC!F15)*176/365</f>
        <v>48944.059335031241</v>
      </c>
      <c r="E8" s="315">
        <f>(Leakage!D7*189/365)+(Leakage!D8*176/365)</f>
        <v>0</v>
      </c>
      <c r="F8" s="315">
        <f>D8*NPR!$I$2</f>
        <v>9299.3712736559355</v>
      </c>
      <c r="G8" s="315">
        <v>0</v>
      </c>
      <c r="H8" s="316">
        <f t="shared" si="0"/>
        <v>47233.44986031302</v>
      </c>
      <c r="I8" s="317">
        <f t="shared" si="1"/>
        <v>37934.07858665708</v>
      </c>
      <c r="L8"/>
      <c r="M8"/>
      <c r="N8"/>
      <c r="O8"/>
      <c r="P8"/>
      <c r="Q8"/>
      <c r="R8"/>
      <c r="T8"/>
      <c r="U8"/>
      <c r="V8"/>
      <c r="W8"/>
      <c r="X8"/>
      <c r="Y8"/>
      <c r="Z8"/>
    </row>
    <row r="9" spans="1:26" x14ac:dyDescent="0.25">
      <c r="B9" s="98" t="s">
        <v>81</v>
      </c>
      <c r="C9" s="314">
        <f>(Baseline!D8*189/365)+(Baseline!D9*176/365)</f>
        <v>1710.6094747182206</v>
      </c>
      <c r="D9" s="315">
        <f>(('Tulda 2019'!U18+'Tulda 2020'!U18+'Tulda 2021'!U18+'Tulda 2022'!U18+SOC!F15)*189/365)+('Tulda 2019'!U19+'Tulda 2020'!U19+'Tulda 2021'!U19+'Tulda 2022'!U19+SOC!F16)*176/365</f>
        <v>31942.125853073427</v>
      </c>
      <c r="E9" s="315">
        <f>(Leakage!D8*189/365)+(Leakage!D9*176/365)</f>
        <v>0</v>
      </c>
      <c r="F9" s="315">
        <f>D9*NPR!$I$2</f>
        <v>6069.003912083951</v>
      </c>
      <c r="G9" s="315">
        <v>0</v>
      </c>
      <c r="H9" s="316">
        <f t="shared" si="0"/>
        <v>30231.516378355205</v>
      </c>
      <c r="I9" s="317">
        <f t="shared" si="1"/>
        <v>24162.512466271255</v>
      </c>
      <c r="L9"/>
      <c r="M9"/>
      <c r="N9"/>
      <c r="O9"/>
      <c r="P9"/>
      <c r="Q9"/>
      <c r="R9"/>
      <c r="S9" s="40"/>
      <c r="T9"/>
      <c r="U9"/>
      <c r="V9"/>
      <c r="W9"/>
      <c r="X9"/>
      <c r="Y9"/>
      <c r="Z9"/>
    </row>
    <row r="10" spans="1:26" x14ac:dyDescent="0.25">
      <c r="B10" s="98" t="s">
        <v>82</v>
      </c>
      <c r="C10" s="314">
        <f>(Baseline!D9*189/365)+(Baseline!D10*176/365)</f>
        <v>1710.6094747182206</v>
      </c>
      <c r="D10" s="315">
        <f>(('Tulda 2019'!U19+'Tulda 2020'!U19+'Tulda 2021'!U19+'Tulda 2022'!U19+SOC!F16)*189/365)+('Tulda 2019'!U20+'Tulda 2020'!U20+'Tulda 2021'!U20+'Tulda 2022'!U20+SOC!F17)*176/365</f>
        <v>11796.075263050343</v>
      </c>
      <c r="E10" s="315">
        <f>(Leakage!D9*189/365)+(Leakage!D10*176/365)</f>
        <v>0</v>
      </c>
      <c r="F10" s="315">
        <f>D10*NPR!$I$2</f>
        <v>2241.2542999795651</v>
      </c>
      <c r="G10" s="315">
        <v>0</v>
      </c>
      <c r="H10" s="316">
        <f t="shared" si="0"/>
        <v>10085.465788332123</v>
      </c>
      <c r="I10" s="317">
        <f t="shared" si="1"/>
        <v>7844.2114883525583</v>
      </c>
      <c r="L10" s="330"/>
      <c r="M10"/>
      <c r="N10"/>
      <c r="O10"/>
      <c r="P10"/>
      <c r="Q10"/>
      <c r="R10"/>
      <c r="T10"/>
      <c r="U10"/>
      <c r="V10"/>
      <c r="W10"/>
      <c r="X10"/>
      <c r="Y10"/>
      <c r="Z10"/>
    </row>
    <row r="11" spans="1:26" x14ac:dyDescent="0.25">
      <c r="B11" s="98" t="s">
        <v>83</v>
      </c>
      <c r="C11" s="314">
        <f>(Baseline!D10*189/365)+(Baseline!D11*176/365)</f>
        <v>1710.6094747182206</v>
      </c>
      <c r="D11" s="315">
        <f>(('Tulda 2019'!U20+'Tulda 2020'!U20+'Tulda 2021'!U20+'Tulda 2022'!U20+SOC!F17)*189/365)+('Tulda 2019'!U21+'Tulda 2020'!U21+'Tulda 2021'!U21+'Tulda 2022'!U21+SOC!F18)*176/365</f>
        <v>4494.6278691435382</v>
      </c>
      <c r="E11" s="315">
        <f>(Leakage!D10*189/365)+(Leakage!D11*176/365)</f>
        <v>0</v>
      </c>
      <c r="F11" s="315">
        <f>D11*NPR!$I$2</f>
        <v>853.97929513727229</v>
      </c>
      <c r="G11" s="315">
        <v>0</v>
      </c>
      <c r="H11" s="316">
        <f t="shared" si="0"/>
        <v>2784.0183944253176</v>
      </c>
      <c r="I11" s="317">
        <f t="shared" si="1"/>
        <v>1930.0390992880452</v>
      </c>
      <c r="L11"/>
      <c r="M11"/>
      <c r="N11"/>
      <c r="O11"/>
      <c r="P11"/>
      <c r="Q11"/>
      <c r="R11"/>
      <c r="T11"/>
      <c r="U11"/>
      <c r="V11"/>
      <c r="W11"/>
      <c r="X11"/>
      <c r="Y11"/>
      <c r="Z11"/>
    </row>
    <row r="12" spans="1:26" x14ac:dyDescent="0.25">
      <c r="B12" s="98" t="s">
        <v>84</v>
      </c>
      <c r="C12" s="314">
        <f>(Baseline!D11*189/365)+(Baseline!D12*176/365)</f>
        <v>1710.6094747182206</v>
      </c>
      <c r="D12" s="315">
        <f>(('Tulda 2019'!U21+'Tulda 2020'!U21+'Tulda 2021'!U21+'Tulda 2022'!U21+SOC!F18)*189/365)+('Tulda 2019'!U22+'Tulda 2020'!U22+'Tulda 2021'!U22+'Tulda 2022'!U22+SOC!F19)*176/365</f>
        <v>2706.1086451603296</v>
      </c>
      <c r="E12" s="315">
        <f>(Leakage!D11*189/365)+(Leakage!D12*176/365)</f>
        <v>0</v>
      </c>
      <c r="F12" s="315">
        <f>D12*NPR!$I$2</f>
        <v>514.16064258046265</v>
      </c>
      <c r="G12" s="315">
        <v>0</v>
      </c>
      <c r="H12" s="316">
        <f t="shared" si="0"/>
        <v>995.49917044210906</v>
      </c>
      <c r="I12" s="317">
        <f t="shared" si="1"/>
        <v>481.33852786164641</v>
      </c>
      <c r="L12"/>
      <c r="M12"/>
      <c r="N12"/>
      <c r="O12"/>
      <c r="P12"/>
      <c r="Q12"/>
      <c r="R12"/>
      <c r="T12"/>
      <c r="U12"/>
      <c r="V12"/>
      <c r="W12"/>
      <c r="X12"/>
      <c r="Y12"/>
      <c r="Z12"/>
    </row>
    <row r="13" spans="1:26" x14ac:dyDescent="0.25">
      <c r="B13" s="98" t="s">
        <v>85</v>
      </c>
      <c r="C13" s="314">
        <f>(Baseline!D12*189/365)+(Baseline!D13*176/365)</f>
        <v>1710.6094747182206</v>
      </c>
      <c r="D13" s="315">
        <f>(('Tulda 2019'!U22+'Tulda 2020'!U22+'Tulda 2021'!U22+'Tulda 2022'!U22+SOC!F19)*189/365)+('Tulda 2019'!U23+'Tulda 2020'!U23+'Tulda 2021'!U23+'Tulda 2022'!U23+SOC!F20)*176/365</f>
        <v>2441.8614219999986</v>
      </c>
      <c r="E13" s="315">
        <f>(Leakage!D12*189/365)+(Leakage!D13*176/365)</f>
        <v>0</v>
      </c>
      <c r="F13" s="315">
        <f>D13*NPR!$I$2</f>
        <v>463.95367017999973</v>
      </c>
      <c r="G13" s="315">
        <v>0</v>
      </c>
      <c r="H13" s="316">
        <f t="shared" si="0"/>
        <v>731.25194728177803</v>
      </c>
      <c r="I13" s="317">
        <f t="shared" si="1"/>
        <v>267.2982771017783</v>
      </c>
      <c r="L13"/>
      <c r="M13"/>
      <c r="N13"/>
      <c r="O13"/>
      <c r="P13"/>
      <c r="Q13"/>
      <c r="R13"/>
      <c r="T13"/>
      <c r="U13"/>
      <c r="V13"/>
      <c r="W13"/>
      <c r="X13"/>
      <c r="Y13"/>
      <c r="Z13"/>
    </row>
    <row r="14" spans="1:26" x14ac:dyDescent="0.25">
      <c r="B14" s="98" t="s">
        <v>86</v>
      </c>
      <c r="C14" s="314">
        <f>(Baseline!D13*189/365)+(Baseline!D14*176/365)</f>
        <v>1710.6094747182206</v>
      </c>
      <c r="D14" s="315">
        <f>(('Tulda 2019'!U23+'Tulda 2020'!U23+'Tulda 2021'!U23+'Tulda 2022'!U23+SOC!F20)*189/365)+('Tulda 2019'!U24+'Tulda 2020'!U24+'Tulda 2021'!U24+'Tulda 2022'!U24+SOC!F21)*176/365</f>
        <v>2441.8614219999986</v>
      </c>
      <c r="E14" s="315">
        <f>(Leakage!D13*189/365)+(Leakage!D14*176/365)</f>
        <v>0</v>
      </c>
      <c r="F14" s="315">
        <f>D14*NPR!$I$2</f>
        <v>463.95367017999973</v>
      </c>
      <c r="G14" s="315">
        <v>0</v>
      </c>
      <c r="H14" s="316">
        <f t="shared" si="0"/>
        <v>731.25194728177803</v>
      </c>
      <c r="I14" s="317">
        <f t="shared" si="1"/>
        <v>267.2982771017783</v>
      </c>
      <c r="L14"/>
      <c r="M14"/>
      <c r="N14"/>
      <c r="O14"/>
      <c r="P14"/>
      <c r="Q14"/>
      <c r="R14"/>
      <c r="T14"/>
      <c r="U14"/>
      <c r="V14"/>
      <c r="W14"/>
      <c r="X14"/>
      <c r="Y14"/>
      <c r="Z14"/>
    </row>
    <row r="15" spans="1:26" x14ac:dyDescent="0.25">
      <c r="B15" s="98" t="s">
        <v>87</v>
      </c>
      <c r="C15" s="314">
        <f>(Baseline!D14*189/365)+(Baseline!D15*176/365)</f>
        <v>1710.6094747182206</v>
      </c>
      <c r="D15" s="315">
        <f>(('Tulda 2019'!U24+'Tulda 2020'!U24+'Tulda 2021'!U24+'Tulda 2022'!U24+SOC!F21)*189/365)+('Tulda 2019'!U25+'Tulda 2020'!U25+'Tulda 2021'!U25+'Tulda 2022'!U25+SOC!F22)*176/365</f>
        <v>2441.8614219999986</v>
      </c>
      <c r="E15" s="315">
        <f>(Leakage!D14*189/365)+(Leakage!D15*176/365)</f>
        <v>0</v>
      </c>
      <c r="F15" s="315">
        <f>D15*NPR!$I$2</f>
        <v>463.95367017999973</v>
      </c>
      <c r="G15" s="315">
        <v>0</v>
      </c>
      <c r="H15" s="316">
        <f t="shared" si="0"/>
        <v>731.25194728177803</v>
      </c>
      <c r="I15" s="317">
        <f t="shared" si="1"/>
        <v>267.2982771017783</v>
      </c>
      <c r="L15"/>
      <c r="M15"/>
      <c r="N15"/>
      <c r="O15"/>
      <c r="P15"/>
      <c r="Q15"/>
      <c r="R15"/>
      <c r="T15"/>
      <c r="U15"/>
      <c r="V15"/>
      <c r="W15"/>
      <c r="X15"/>
      <c r="Y15"/>
      <c r="Z15"/>
    </row>
    <row r="16" spans="1:26" x14ac:dyDescent="0.25">
      <c r="B16" s="98" t="s">
        <v>88</v>
      </c>
      <c r="C16" s="314">
        <f>(Baseline!D15*189/365)+(Baseline!D16*176/365)</f>
        <v>1710.6094747182206</v>
      </c>
      <c r="D16" s="315">
        <f>(('Tulda 2019'!U25+'Tulda 2020'!U25+'Tulda 2021'!U25+'Tulda 2022'!U25+SOC!F22)*189/365)+('Tulda 2019'!U26+'Tulda 2020'!U26+'Tulda 2021'!U26+'Tulda 2022'!U26+SOC!F23)*176/365</f>
        <v>2441.8614219999986</v>
      </c>
      <c r="E16" s="315">
        <f>(Leakage!D15*189/365)+(Leakage!D16*176/365)</f>
        <v>0</v>
      </c>
      <c r="F16" s="315">
        <f>D16*NPR!$I$2</f>
        <v>463.95367017999973</v>
      </c>
      <c r="G16" s="315">
        <v>0</v>
      </c>
      <c r="H16" s="316">
        <f t="shared" si="0"/>
        <v>731.25194728177803</v>
      </c>
      <c r="I16" s="317">
        <f t="shared" si="1"/>
        <v>267.2982771017783</v>
      </c>
      <c r="L16"/>
      <c r="M16"/>
      <c r="N16"/>
      <c r="O16"/>
      <c r="P16"/>
      <c r="Q16"/>
      <c r="R16"/>
      <c r="T16"/>
      <c r="U16"/>
      <c r="V16"/>
      <c r="W16"/>
      <c r="X16"/>
      <c r="Y16"/>
      <c r="Z16"/>
    </row>
    <row r="17" spans="2:26" x14ac:dyDescent="0.25">
      <c r="B17" s="98" t="s">
        <v>89</v>
      </c>
      <c r="C17" s="314">
        <f>(Baseline!D16*189/365)+(Baseline!D17*176/365)</f>
        <v>1710.6094747182206</v>
      </c>
      <c r="D17" s="315">
        <f>(('Tulda 2019'!U26+'Tulda 2020'!U26+'Tulda 2021'!U26+'Tulda 2022'!U26+SOC!F23)*189/365)+('Tulda 2019'!U27+'Tulda 2020'!U27+'Tulda 2021'!U27+'Tulda 2022'!U27+SOC!F24)*176/365</f>
        <v>2441.8614219999986</v>
      </c>
      <c r="E17" s="315">
        <f>(Leakage!D16*189/365)+(Leakage!D17*176/365)</f>
        <v>0</v>
      </c>
      <c r="F17" s="315">
        <f>D17*NPR!$I$2</f>
        <v>463.95367017999973</v>
      </c>
      <c r="G17" s="315">
        <v>0</v>
      </c>
      <c r="H17" s="316">
        <f t="shared" si="0"/>
        <v>731.25194728177803</v>
      </c>
      <c r="I17" s="317">
        <f t="shared" si="1"/>
        <v>267.2982771017783</v>
      </c>
      <c r="L17"/>
      <c r="M17"/>
      <c r="N17"/>
      <c r="O17"/>
      <c r="P17"/>
      <c r="Q17"/>
      <c r="R17"/>
      <c r="T17"/>
      <c r="U17"/>
      <c r="V17"/>
      <c r="W17"/>
      <c r="X17"/>
      <c r="Y17"/>
      <c r="Z17"/>
    </row>
    <row r="18" spans="2:26" x14ac:dyDescent="0.25">
      <c r="B18" s="98" t="s">
        <v>90</v>
      </c>
      <c r="C18" s="314">
        <f>(Baseline!D17*189/365)+(Baseline!D18*176/365)</f>
        <v>1710.6094747182206</v>
      </c>
      <c r="D18" s="315">
        <f>(('Tulda 2019'!U27+'Tulda 2020'!U27+'Tulda 2021'!U27+'Tulda 2022'!U27+SOC!F24)*189/365)+('Tulda 2019'!U28+'Tulda 2020'!U28+'Tulda 2021'!U28+'Tulda 2022'!U28+SOC!F25)*176/365</f>
        <v>2441.8614219999986</v>
      </c>
      <c r="E18" s="315">
        <f>(Leakage!D17*189/365)+(Leakage!D18*176/365)</f>
        <v>0</v>
      </c>
      <c r="F18" s="315">
        <f>D18*NPR!$I$2</f>
        <v>463.95367017999973</v>
      </c>
      <c r="G18" s="315">
        <v>0</v>
      </c>
      <c r="H18" s="316">
        <f t="shared" si="0"/>
        <v>731.25194728177803</v>
      </c>
      <c r="I18" s="317">
        <f t="shared" si="1"/>
        <v>267.2982771017783</v>
      </c>
      <c r="L18"/>
      <c r="M18"/>
      <c r="N18"/>
      <c r="O18"/>
      <c r="P18"/>
      <c r="Q18"/>
      <c r="R18"/>
      <c r="T18"/>
      <c r="U18"/>
      <c r="V18"/>
      <c r="W18"/>
      <c r="X18"/>
      <c r="Y18"/>
      <c r="Z18"/>
    </row>
    <row r="19" spans="2:26" x14ac:dyDescent="0.25">
      <c r="B19" s="98" t="s">
        <v>91</v>
      </c>
      <c r="C19" s="314">
        <f>(Baseline!D18*189/365)+(Baseline!D19*176/365)</f>
        <v>1710.6094747182206</v>
      </c>
      <c r="D19" s="315">
        <f>(('Tulda 2019'!U28+'Tulda 2020'!U28+'Tulda 2021'!U28+'Tulda 2022'!U28+SOC!F25)*189/365)+('Tulda 2019'!U29+'Tulda 2020'!U29+'Tulda 2021'!U29+'Tulda 2022'!U29+SOC!F26)*176/365</f>
        <v>2441.8614219999986</v>
      </c>
      <c r="E19" s="315">
        <f>(Leakage!D18*189/365)+(Leakage!D19*176/365)</f>
        <v>0</v>
      </c>
      <c r="F19" s="315">
        <f>D19*NPR!$I$2</f>
        <v>463.95367017999973</v>
      </c>
      <c r="G19" s="315">
        <v>0</v>
      </c>
      <c r="H19" s="316">
        <f t="shared" si="0"/>
        <v>731.25194728177803</v>
      </c>
      <c r="I19" s="317">
        <f t="shared" si="1"/>
        <v>267.2982771017783</v>
      </c>
      <c r="L19"/>
      <c r="M19"/>
      <c r="N19"/>
      <c r="O19"/>
      <c r="P19"/>
      <c r="Q19"/>
      <c r="R19"/>
      <c r="T19"/>
      <c r="U19"/>
      <c r="V19"/>
      <c r="W19"/>
      <c r="X19"/>
      <c r="Y19"/>
      <c r="Z19"/>
    </row>
    <row r="20" spans="2:26" x14ac:dyDescent="0.25">
      <c r="B20" s="98" t="s">
        <v>92</v>
      </c>
      <c r="C20" s="314">
        <f>(Baseline!D19*189/365)+(Baseline!D20*176/365)</f>
        <v>1710.6094747182206</v>
      </c>
      <c r="D20" s="315">
        <f>(('Tulda 2019'!U29+'Tulda 2020'!U29+'Tulda 2021'!U29+'Tulda 2022'!U29+SOC!F26)*189/365)+('Tulda 2019'!U30+'Tulda 2020'!U30+'Tulda 2021'!U30+'Tulda 2022'!U30+SOC!F27)*176/365</f>
        <v>2441.8614219999986</v>
      </c>
      <c r="E20" s="315">
        <f>(Leakage!D19*189/365)+(Leakage!D20*176/365)</f>
        <v>0</v>
      </c>
      <c r="F20" s="315">
        <f>D20*NPR!$I$2</f>
        <v>463.95367017999973</v>
      </c>
      <c r="G20" s="315">
        <v>0</v>
      </c>
      <c r="H20" s="316">
        <f t="shared" si="0"/>
        <v>731.25194728177803</v>
      </c>
      <c r="I20" s="317">
        <f t="shared" si="1"/>
        <v>267.2982771017783</v>
      </c>
      <c r="L20"/>
      <c r="M20"/>
      <c r="N20"/>
      <c r="O20"/>
      <c r="P20"/>
      <c r="Q20"/>
      <c r="R20"/>
      <c r="T20"/>
      <c r="U20"/>
      <c r="V20"/>
      <c r="W20"/>
      <c r="X20"/>
      <c r="Y20"/>
      <c r="Z20"/>
    </row>
    <row r="21" spans="2:26" x14ac:dyDescent="0.25">
      <c r="B21" s="98" t="s">
        <v>93</v>
      </c>
      <c r="C21" s="314">
        <f>(Baseline!D20*189/365)+(Baseline!D21*176/365)</f>
        <v>1710.6094747182206</v>
      </c>
      <c r="D21" s="315">
        <f>(('Tulda 2019'!U30+'Tulda 2020'!U30+'Tulda 2021'!U30+'Tulda 2022'!U30+SOC!F27)*189/365)+('Tulda 2019'!U31+'Tulda 2020'!U31+'Tulda 2021'!U31+'Tulda 2022'!U31+SOC!F28)*176/365</f>
        <v>2441.8614219999986</v>
      </c>
      <c r="E21" s="315">
        <f>(Leakage!D20*189/365)+(Leakage!D21*176/365)</f>
        <v>0</v>
      </c>
      <c r="F21" s="315">
        <f>D21*NPR!$I$2</f>
        <v>463.95367017999973</v>
      </c>
      <c r="G21" s="315">
        <v>0</v>
      </c>
      <c r="H21" s="316">
        <f t="shared" si="0"/>
        <v>731.25194728177803</v>
      </c>
      <c r="I21" s="317">
        <f t="shared" si="1"/>
        <v>267.2982771017783</v>
      </c>
      <c r="L21"/>
      <c r="M21"/>
      <c r="N21"/>
      <c r="O21"/>
      <c r="P21"/>
      <c r="Q21"/>
      <c r="R21"/>
      <c r="T21"/>
      <c r="U21"/>
      <c r="V21"/>
      <c r="W21"/>
      <c r="X21"/>
      <c r="Y21"/>
      <c r="Z21"/>
    </row>
    <row r="22" spans="2:26" x14ac:dyDescent="0.25">
      <c r="B22" s="98" t="s">
        <v>94</v>
      </c>
      <c r="C22" s="314">
        <f>(Baseline!D21*189/365)+(Baseline!D22*176/365)</f>
        <v>1710.6094747182206</v>
      </c>
      <c r="D22" s="315">
        <f>(('Tulda 2019'!U31+'Tulda 2020'!U31+'Tulda 2021'!U31+'Tulda 2022'!U31+SOC!F28)*189/365)+('Tulda 2019'!U32+'Tulda 2020'!U32+'Tulda 2021'!U32+'Tulda 2022'!U32+SOC!F29)*176/365</f>
        <v>2441.8614219999986</v>
      </c>
      <c r="E22" s="315">
        <f>(Leakage!D21*189/365)+(Leakage!D22*176/365)</f>
        <v>0</v>
      </c>
      <c r="F22" s="315">
        <f>D22*NPR!$I$2</f>
        <v>463.95367017999973</v>
      </c>
      <c r="G22" s="315">
        <v>0</v>
      </c>
      <c r="H22" s="316">
        <f t="shared" si="0"/>
        <v>731.25194728177803</v>
      </c>
      <c r="I22" s="317">
        <f t="shared" si="1"/>
        <v>267.2982771017783</v>
      </c>
      <c r="L22"/>
      <c r="M22"/>
      <c r="N22"/>
      <c r="O22"/>
      <c r="P22"/>
      <c r="Q22"/>
      <c r="R22"/>
      <c r="T22"/>
      <c r="U22"/>
      <c r="V22"/>
      <c r="W22"/>
      <c r="X22"/>
      <c r="Y22"/>
      <c r="Z22"/>
    </row>
    <row r="23" spans="2:26" x14ac:dyDescent="0.25">
      <c r="B23" s="98" t="s">
        <v>95</v>
      </c>
      <c r="C23" s="314">
        <f>(Baseline!D22*189/365)+(Baseline!D23*176/365)</f>
        <v>1180.88298140084</v>
      </c>
      <c r="D23" s="315">
        <f>(('Tulda 2019'!U32+'Tulda 2020'!U32+'Tulda 2021'!U32+'Tulda 2022'!U32+SOC!F29)*189/365)+('Tulda 2019'!U33+'Tulda 2020'!U33+'Tulda 2021'!U33+'Tulda 2022'!U33+SOC!F30)*176/365</f>
        <v>1679.1107742410952</v>
      </c>
      <c r="E23" s="315">
        <f>(Leakage!D22*189/365)+(Leakage!D23*176/365)</f>
        <v>0</v>
      </c>
      <c r="F23" s="315">
        <f>D23*NPR!$I$2</f>
        <v>319.03104710580811</v>
      </c>
      <c r="G23" s="315">
        <v>0</v>
      </c>
      <c r="H23" s="316">
        <f t="shared" si="0"/>
        <v>498.22779284025523</v>
      </c>
      <c r="I23" s="317">
        <f t="shared" si="1"/>
        <v>179.19674573444712</v>
      </c>
      <c r="L23"/>
      <c r="M23"/>
      <c r="N23"/>
      <c r="O23"/>
      <c r="P23"/>
      <c r="Q23"/>
      <c r="R23"/>
      <c r="T23"/>
      <c r="U23"/>
      <c r="V23"/>
      <c r="W23"/>
      <c r="X23"/>
      <c r="Y23"/>
      <c r="Z23"/>
    </row>
    <row r="24" spans="2:26" x14ac:dyDescent="0.25">
      <c r="B24" s="98" t="s">
        <v>96</v>
      </c>
      <c r="C24" s="314">
        <f>(Baseline!D23*189/365)+(Baseline!D24*176/365)</f>
        <v>389.07400818300778</v>
      </c>
      <c r="D24" s="315">
        <f>(('Tulda 2019'!U33+'Tulda 2020'!U33+'Tulda 2021'!U33+'Tulda 2022'!U33+SOC!F30)*189/365)+('Tulda 2019'!U34+'Tulda 2020'!U34+'Tulda 2021'!U34+'Tulda 2022'!U34+SOC!F31)*176/365</f>
        <v>545.07265101917801</v>
      </c>
      <c r="E24" s="315">
        <f>(Leakage!D23*189/365)+(Leakage!D24*176/365)</f>
        <v>0</v>
      </c>
      <c r="F24" s="315">
        <f>D24*NPR!$I$2</f>
        <v>103.56380369364382</v>
      </c>
      <c r="G24" s="315">
        <v>0</v>
      </c>
      <c r="H24" s="316">
        <f t="shared" si="0"/>
        <v>155.99864283617023</v>
      </c>
      <c r="I24" s="317">
        <f t="shared" si="1"/>
        <v>52.434839142526414</v>
      </c>
      <c r="L24"/>
      <c r="M24"/>
      <c r="N24"/>
      <c r="O24"/>
      <c r="P24"/>
      <c r="Q24"/>
      <c r="R24"/>
      <c r="T24"/>
      <c r="U24"/>
      <c r="V24"/>
      <c r="W24"/>
      <c r="X24"/>
      <c r="Y24"/>
      <c r="Z24"/>
    </row>
    <row r="25" spans="2:26" x14ac:dyDescent="0.25">
      <c r="B25" s="98" t="s">
        <v>97</v>
      </c>
      <c r="C25" s="314">
        <f>(Baseline!D24*189/365)+(Baseline!D25*176/365)</f>
        <v>88.878146143075</v>
      </c>
      <c r="D25" s="315">
        <f>(('Tulda 2019'!U34+'Tulda 2020'!U34+'Tulda 2021'!U34+'Tulda 2022'!U34+SOC!F31)*189/365)+('Tulda 2019'!U35+'Tulda 2020'!U35+'Tulda 2021'!U35+'Tulda 2022'!U35+SOC!F32)*176/365</f>
        <v>122.25726885844762</v>
      </c>
      <c r="E25" s="315">
        <f>(Leakage!D24*189/365)+(Leakage!D25*176/365)</f>
        <v>0</v>
      </c>
      <c r="F25" s="315">
        <f>D25*NPR!$I$2</f>
        <v>23.228881083105048</v>
      </c>
      <c r="G25" s="315">
        <v>0</v>
      </c>
      <c r="H25" s="316">
        <f t="shared" si="0"/>
        <v>33.379122715372617</v>
      </c>
      <c r="I25" s="317">
        <f t="shared" si="1"/>
        <v>10.150241632267569</v>
      </c>
      <c r="L25"/>
      <c r="M25"/>
      <c r="N25"/>
      <c r="O25"/>
      <c r="P25"/>
      <c r="Q25"/>
      <c r="R25"/>
      <c r="T25"/>
      <c r="U25"/>
      <c r="V25"/>
      <c r="W25"/>
      <c r="X25"/>
      <c r="Y25"/>
      <c r="Z25"/>
    </row>
    <row r="26" spans="2:26" x14ac:dyDescent="0.25">
      <c r="B26" s="98" t="s">
        <v>98</v>
      </c>
      <c r="C26" s="314">
        <f>(Baseline!D25*189/365)+(Baseline!D26*176/365)</f>
        <v>12.228876940369044</v>
      </c>
      <c r="D26" s="315">
        <f>(('Tulda 2019'!U35+'Tulda 2020'!U35+'Tulda 2021'!U35+'Tulda 2022'!U35+SOC!F32)*189/365)+('Tulda 2019'!U36+'Tulda 2020'!U36+'Tulda 2021'!U36+'Tulda 2022'!U36+SOC!F33)*176/365</f>
        <v>16.261170953424752</v>
      </c>
      <c r="E26" s="315">
        <f>(Leakage!D25*189/365)+(Leakage!D26*176/365)</f>
        <v>0</v>
      </c>
      <c r="F26" s="315">
        <f>D26*NPR!$I$2</f>
        <v>3.0896224811507031</v>
      </c>
      <c r="G26" s="315">
        <v>0</v>
      </c>
      <c r="H26" s="316">
        <f t="shared" si="0"/>
        <v>4.0322940130557079</v>
      </c>
      <c r="I26" s="317">
        <f t="shared" si="1"/>
        <v>0.94267153190500474</v>
      </c>
      <c r="L26"/>
      <c r="M26"/>
      <c r="N26"/>
      <c r="O26"/>
      <c r="P26"/>
      <c r="Q26"/>
      <c r="R26"/>
      <c r="T26"/>
      <c r="U26"/>
      <c r="V26"/>
      <c r="W26"/>
      <c r="X26"/>
      <c r="Y26"/>
      <c r="Z26"/>
    </row>
    <row r="27" spans="2:26" x14ac:dyDescent="0.25">
      <c r="B27" s="98" t="s">
        <v>99</v>
      </c>
      <c r="C27" s="314">
        <f>(Baseline!D26*189/365)+(Baseline!D27*176/365)</f>
        <v>0</v>
      </c>
      <c r="D27" s="315">
        <f>(('Tulda 2019'!U36+'Tulda 2020'!U36+'Tulda 2021'!U36+'Tulda 2022'!U36+SOC!F33)*189/365)+('Tulda 2019'!U37+'Tulda 2020'!U37+'Tulda 2021'!U37+'Tulda 2022'!U37+SOC!F34)*176/365</f>
        <v>0</v>
      </c>
      <c r="E27" s="315">
        <f>(Leakage!D26*189/365)+(Leakage!D27*176/365)</f>
        <v>0</v>
      </c>
      <c r="F27" s="315">
        <f>D27*NPR!$I$2</f>
        <v>0</v>
      </c>
      <c r="G27" s="315">
        <v>0</v>
      </c>
      <c r="H27" s="316">
        <f t="shared" si="0"/>
        <v>0</v>
      </c>
      <c r="I27" s="317">
        <f t="shared" si="1"/>
        <v>0</v>
      </c>
      <c r="L27"/>
      <c r="M27"/>
      <c r="N27"/>
      <c r="O27"/>
      <c r="P27"/>
      <c r="Q27"/>
      <c r="R27"/>
      <c r="T27"/>
      <c r="U27"/>
      <c r="V27"/>
      <c r="W27"/>
      <c r="X27"/>
      <c r="Y27"/>
      <c r="Z27"/>
    </row>
    <row r="28" spans="2:26" x14ac:dyDescent="0.25">
      <c r="B28" s="98" t="s">
        <v>100</v>
      </c>
      <c r="C28" s="314">
        <f>(Baseline!D27*189/365)+(Baseline!D28*176/365)</f>
        <v>0</v>
      </c>
      <c r="D28" s="315">
        <f>(('Tulda 2019'!U37+'Tulda 2020'!U37+'Tulda 2021'!U37+'Tulda 2022'!U37+SOC!F34)*189/365)+('Tulda 2019'!U38+'Tulda 2020'!U38+'Tulda 2021'!U38+'Tulda 2022'!U38+SOC!F35)*176/365</f>
        <v>0</v>
      </c>
      <c r="E28" s="315">
        <f>(Leakage!D27*189/365)+(Leakage!D28*176/365)</f>
        <v>0</v>
      </c>
      <c r="F28" s="315">
        <f>D28*NPR!$I$2</f>
        <v>0</v>
      </c>
      <c r="G28" s="315">
        <v>0</v>
      </c>
      <c r="H28" s="316">
        <f t="shared" si="0"/>
        <v>0</v>
      </c>
      <c r="I28" s="317">
        <f t="shared" si="1"/>
        <v>0</v>
      </c>
      <c r="L28"/>
      <c r="M28"/>
      <c r="N28"/>
      <c r="O28"/>
      <c r="P28"/>
      <c r="Q28"/>
      <c r="R28"/>
      <c r="T28"/>
      <c r="U28"/>
      <c r="V28"/>
      <c r="W28"/>
      <c r="X28"/>
      <c r="Y28"/>
      <c r="Z28"/>
    </row>
    <row r="29" spans="2:26" x14ac:dyDescent="0.25">
      <c r="B29" s="98" t="s">
        <v>101</v>
      </c>
      <c r="C29" s="314">
        <f>(Baseline!D28*189/365)+(Baseline!D29*176/365)</f>
        <v>0</v>
      </c>
      <c r="D29" s="315">
        <f>(('Tulda 2019'!U38+'Tulda 2020'!U38+'Tulda 2021'!U38+'Tulda 2022'!U38+SOC!F35)*189/365)+('Tulda 2019'!U39+'Tulda 2020'!U39+'Tulda 2021'!U39+'Tulda 2022'!U39+SOC!F36)*176/365</f>
        <v>0</v>
      </c>
      <c r="E29" s="315">
        <f>(Leakage!D28*189/365)+(Leakage!D29*176/365)</f>
        <v>0</v>
      </c>
      <c r="F29" s="315">
        <f>D29*NPR!$I$2</f>
        <v>0</v>
      </c>
      <c r="G29" s="315">
        <v>0</v>
      </c>
      <c r="H29" s="316">
        <f t="shared" si="0"/>
        <v>0</v>
      </c>
      <c r="I29" s="317">
        <f t="shared" si="1"/>
        <v>0</v>
      </c>
      <c r="L29"/>
      <c r="M29"/>
      <c r="N29"/>
      <c r="O29"/>
      <c r="P29"/>
      <c r="Q29"/>
      <c r="R29"/>
      <c r="T29"/>
      <c r="U29"/>
      <c r="V29"/>
      <c r="W29"/>
      <c r="X29"/>
      <c r="Y29"/>
      <c r="Z29"/>
    </row>
    <row r="30" spans="2:26" x14ac:dyDescent="0.25">
      <c r="B30" s="98" t="s">
        <v>102</v>
      </c>
      <c r="C30" s="314">
        <f>(Baseline!D29*189/365)+(Baseline!D30*176/365)</f>
        <v>0</v>
      </c>
      <c r="D30" s="315">
        <f>(('Tulda 2019'!U39+'Tulda 2020'!U39+'Tulda 2021'!U39+'Tulda 2022'!U39+SOC!F36)*189/365)+('Tulda 2019'!U40+'Tulda 2020'!U40+'Tulda 2021'!U40+'Tulda 2022'!U40+SOC!F37)*176/365</f>
        <v>0</v>
      </c>
      <c r="E30" s="315">
        <f>(Leakage!D29*189/365)+(Leakage!D30*176/365)</f>
        <v>0</v>
      </c>
      <c r="F30" s="315">
        <f>D30*NPR!$I$2</f>
        <v>0</v>
      </c>
      <c r="G30" s="315">
        <v>0</v>
      </c>
      <c r="H30" s="316">
        <f t="shared" si="0"/>
        <v>0</v>
      </c>
      <c r="I30" s="317">
        <f t="shared" si="1"/>
        <v>0</v>
      </c>
      <c r="L30"/>
      <c r="M30"/>
      <c r="N30"/>
      <c r="O30"/>
      <c r="P30"/>
      <c r="Q30"/>
      <c r="R30"/>
      <c r="T30"/>
      <c r="U30"/>
      <c r="V30"/>
      <c r="W30"/>
      <c r="X30"/>
      <c r="Y30"/>
      <c r="Z30"/>
    </row>
    <row r="31" spans="2:26" x14ac:dyDescent="0.25">
      <c r="B31" s="98" t="s">
        <v>103</v>
      </c>
      <c r="C31" s="314">
        <f>(Baseline!D30*189/365)+(Baseline!D31*176/365)</f>
        <v>0</v>
      </c>
      <c r="D31" s="315">
        <f>(('Tulda 2019'!U40+'Tulda 2020'!U40+'Tulda 2021'!U40+'Tulda 2022'!U40+SOC!F37)*189/365)+('Tulda 2019'!U41+'Tulda 2020'!U41+'Tulda 2021'!U41+'Tulda 2022'!U41+SOC!F38)*176/365</f>
        <v>0</v>
      </c>
      <c r="E31" s="315">
        <f>(Leakage!D30*189/365)+(Leakage!D31*176/365)</f>
        <v>0</v>
      </c>
      <c r="F31" s="315">
        <f>D31*NPR!$I$2</f>
        <v>0</v>
      </c>
      <c r="G31" s="315">
        <v>0</v>
      </c>
      <c r="H31" s="316">
        <f t="shared" si="0"/>
        <v>0</v>
      </c>
      <c r="I31" s="317">
        <f t="shared" si="1"/>
        <v>0</v>
      </c>
      <c r="L31"/>
      <c r="M31"/>
      <c r="N31"/>
      <c r="O31"/>
      <c r="P31"/>
      <c r="Q31"/>
      <c r="R31"/>
      <c r="T31"/>
      <c r="U31"/>
      <c r="V31"/>
      <c r="W31"/>
      <c r="X31"/>
      <c r="Y31"/>
      <c r="Z31"/>
    </row>
    <row r="32" spans="2:26" x14ac:dyDescent="0.25">
      <c r="B32" s="181" t="s">
        <v>104</v>
      </c>
      <c r="C32" s="314">
        <f>(Baseline!D31*189/365)+(Baseline!D32*176/365)</f>
        <v>0</v>
      </c>
      <c r="D32" s="315">
        <f>(('Tulda 2019'!U41+'Tulda 2020'!U41+'Tulda 2021'!U41+'Tulda 2022'!U41+SOC!F38)*189/365)+('Tulda 2019'!U42+'Tulda 2020'!U42+'Tulda 2021'!U42+'Tulda 2022'!U42+SOC!F39)*176/365</f>
        <v>0</v>
      </c>
      <c r="E32" s="315">
        <f>(Leakage!D31*189/365)+(Leakage!D32*176/365)</f>
        <v>0</v>
      </c>
      <c r="F32" s="315">
        <f>D32*NPR!$I$2</f>
        <v>0</v>
      </c>
      <c r="G32" s="315">
        <v>0</v>
      </c>
      <c r="H32" s="316">
        <f t="shared" si="0"/>
        <v>0</v>
      </c>
      <c r="I32" s="317">
        <f t="shared" si="1"/>
        <v>0</v>
      </c>
      <c r="L32"/>
      <c r="M32"/>
      <c r="N32"/>
      <c r="O32"/>
      <c r="P32"/>
      <c r="Q32"/>
      <c r="R32"/>
      <c r="T32"/>
      <c r="U32"/>
      <c r="V32"/>
      <c r="W32"/>
      <c r="X32"/>
      <c r="Y32"/>
      <c r="Z32"/>
    </row>
    <row r="33" spans="2:26" ht="15.75" thickBot="1" x14ac:dyDescent="0.3">
      <c r="B33" s="99" t="s">
        <v>105</v>
      </c>
      <c r="C33" s="318">
        <f>(Baseline!D32*189/365)</f>
        <v>0</v>
      </c>
      <c r="D33" s="319">
        <f>(('Tulda 2019'!U42+'Tulda 2020'!U42+'Tulda 2021'!U42+'Tulda 2022'!U42+SOC!F39)*189/365)</f>
        <v>0</v>
      </c>
      <c r="E33" s="319">
        <f>(Leakage!D32*189/365)</f>
        <v>0</v>
      </c>
      <c r="F33" s="319">
        <f>D33*NPR!$I$2</f>
        <v>0</v>
      </c>
      <c r="G33" s="319">
        <v>0</v>
      </c>
      <c r="H33" s="320">
        <f t="shared" si="0"/>
        <v>0</v>
      </c>
      <c r="I33" s="321">
        <f t="shared" si="1"/>
        <v>0</v>
      </c>
      <c r="L33"/>
      <c r="M33"/>
      <c r="N33"/>
      <c r="O33"/>
      <c r="P33"/>
      <c r="Q33"/>
      <c r="R33"/>
      <c r="T33"/>
      <c r="U33"/>
      <c r="V33"/>
      <c r="W33"/>
      <c r="X33"/>
      <c r="Y33"/>
      <c r="Z33"/>
    </row>
    <row r="34" spans="2:26" ht="15.75" thickBot="1" x14ac:dyDescent="0.3">
      <c r="B34" s="184" t="s">
        <v>106</v>
      </c>
      <c r="C34" s="185">
        <f t="shared" ref="C34:I34" si="2">SUM(C3:C33)</f>
        <v>34212.189494364422</v>
      </c>
      <c r="D34" s="186">
        <f t="shared" si="2"/>
        <v>336522.50578972831</v>
      </c>
      <c r="E34" s="186">
        <f t="shared" si="2"/>
        <v>0</v>
      </c>
      <c r="F34" s="186">
        <f t="shared" si="2"/>
        <v>63939.276100048439</v>
      </c>
      <c r="G34" s="186">
        <f t="shared" si="2"/>
        <v>0</v>
      </c>
      <c r="H34" s="190">
        <f t="shared" si="2"/>
        <v>302310.31629536394</v>
      </c>
      <c r="I34" s="192">
        <f t="shared" si="2"/>
        <v>238371.04019531558</v>
      </c>
      <c r="L34"/>
      <c r="M34"/>
      <c r="N34"/>
      <c r="O34"/>
      <c r="P34"/>
      <c r="Q34"/>
      <c r="R34"/>
      <c r="S34" s="183"/>
      <c r="T34" s="183"/>
      <c r="U34" s="183"/>
      <c r="V34" s="183"/>
      <c r="W34" s="183"/>
      <c r="X34" s="183"/>
      <c r="Y34" s="183"/>
      <c r="Z34" s="183"/>
    </row>
    <row r="35" spans="2:26" ht="15.75" thickBot="1" x14ac:dyDescent="0.3">
      <c r="B35" s="189" t="s">
        <v>107</v>
      </c>
      <c r="C35" s="188">
        <f t="shared" ref="C35:I35" si="3">C34/30</f>
        <v>1140.406316478814</v>
      </c>
      <c r="D35" s="329">
        <f t="shared" si="3"/>
        <v>11217.416859657611</v>
      </c>
      <c r="E35" s="187">
        <f t="shared" si="3"/>
        <v>0</v>
      </c>
      <c r="F35" s="187">
        <f t="shared" si="3"/>
        <v>2131.3092033349481</v>
      </c>
      <c r="G35" s="187">
        <f t="shared" si="3"/>
        <v>0</v>
      </c>
      <c r="H35" s="191">
        <f t="shared" si="3"/>
        <v>10077.010543178798</v>
      </c>
      <c r="I35" s="193">
        <f t="shared" si="3"/>
        <v>7945.701339843853</v>
      </c>
      <c r="L35" s="183"/>
      <c r="T35" s="328"/>
      <c r="U35" s="328"/>
      <c r="V35" s="328"/>
      <c r="W35" s="328"/>
      <c r="X35" s="328"/>
      <c r="Y35" s="328"/>
      <c r="Z35" s="328"/>
    </row>
    <row r="36" spans="2:26" ht="15.75" thickBot="1" x14ac:dyDescent="0.3">
      <c r="B36" s="189" t="s">
        <v>108</v>
      </c>
      <c r="C36" s="188">
        <f>C35/'General Information'!$D$15</f>
        <v>1.3668528237973157</v>
      </c>
      <c r="D36" s="187">
        <f>D35/'General Information'!$D$15</f>
        <v>13.444820226598127</v>
      </c>
      <c r="E36" s="187">
        <f>E35/'General Information'!$D$15</f>
        <v>0</v>
      </c>
      <c r="F36" s="187">
        <f>F35/'General Information'!$D$15</f>
        <v>2.5545158430536463</v>
      </c>
      <c r="G36" s="187">
        <f>G35/'General Information'!$D$15</f>
        <v>0</v>
      </c>
      <c r="H36" s="191">
        <f>H35/'General Information'!$D$15</f>
        <v>12.077967402800812</v>
      </c>
      <c r="I36" s="193">
        <f>I35/'General Information'!$D$15</f>
        <v>9.5234515597471692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B9F5-CA08-4FE5-8CF9-D81203752B8B}">
  <dimension ref="B1:T36"/>
  <sheetViews>
    <sheetView zoomScaleNormal="100" workbookViewId="0">
      <selection activeCell="K7" sqref="K7"/>
    </sheetView>
  </sheetViews>
  <sheetFormatPr defaultColWidth="9.140625" defaultRowHeight="15" x14ac:dyDescent="0.25"/>
  <cols>
    <col min="1" max="1" width="10" style="1" customWidth="1"/>
    <col min="2" max="2" width="20.5703125" style="1" customWidth="1"/>
    <col min="3" max="3" width="21.5703125" style="7" bestFit="1" customWidth="1"/>
    <col min="4" max="4" width="22" style="7" bestFit="1" customWidth="1"/>
    <col min="5" max="5" width="12.85546875" style="7" bestFit="1" customWidth="1"/>
    <col min="6" max="6" width="14.5703125" style="7" bestFit="1" customWidth="1"/>
    <col min="7" max="7" width="14.140625" style="7" bestFit="1" customWidth="1"/>
    <col min="8" max="8" width="14.28515625" style="7" bestFit="1" customWidth="1"/>
    <col min="9" max="9" width="13.7109375" style="7" bestFit="1" customWidth="1"/>
    <col min="10" max="10" width="11.85546875" style="1" bestFit="1" customWidth="1"/>
    <col min="11" max="11" width="20.42578125" style="7" bestFit="1" customWidth="1"/>
    <col min="12" max="19" width="9.140625" style="1"/>
    <col min="20" max="20" width="11.42578125" style="1" bestFit="1" customWidth="1"/>
    <col min="21" max="16384" width="9.140625" style="1"/>
  </cols>
  <sheetData>
    <row r="1" spans="2:20" ht="15.75" thickBot="1" x14ac:dyDescent="0.3">
      <c r="C1" s="10"/>
      <c r="D1" s="10"/>
      <c r="E1" s="10"/>
      <c r="F1" s="12"/>
      <c r="G1" s="12"/>
      <c r="H1" s="12"/>
      <c r="I1" s="12"/>
      <c r="J1" s="12"/>
      <c r="K1" s="12"/>
      <c r="L1" s="12"/>
      <c r="M1" s="12"/>
      <c r="N1" s="13"/>
    </row>
    <row r="2" spans="2:20" ht="57.75" thickBot="1" x14ac:dyDescent="0.3">
      <c r="B2" s="421" t="s">
        <v>18</v>
      </c>
      <c r="C2" s="207" t="s">
        <v>198</v>
      </c>
      <c r="D2" s="208" t="s">
        <v>199</v>
      </c>
      <c r="E2" s="208" t="s">
        <v>200</v>
      </c>
      <c r="F2" s="208" t="s">
        <v>201</v>
      </c>
      <c r="G2" s="208" t="s">
        <v>109</v>
      </c>
      <c r="H2" s="208" t="s">
        <v>187</v>
      </c>
      <c r="I2" s="208" t="s">
        <v>186</v>
      </c>
      <c r="J2" s="209" t="s">
        <v>110</v>
      </c>
      <c r="K2" s="10"/>
      <c r="L2" s="8"/>
      <c r="M2" s="8"/>
      <c r="N2" s="3"/>
      <c r="T2" s="3"/>
    </row>
    <row r="3" spans="2:20" ht="17.25" x14ac:dyDescent="0.25">
      <c r="B3" s="422"/>
      <c r="C3" s="205" t="s">
        <v>185</v>
      </c>
      <c r="D3" s="206" t="s">
        <v>185</v>
      </c>
      <c r="E3" s="206" t="s">
        <v>185</v>
      </c>
      <c r="F3" s="255" t="s">
        <v>185</v>
      </c>
      <c r="G3" s="419" t="s">
        <v>185</v>
      </c>
      <c r="H3" s="419" t="s">
        <v>185</v>
      </c>
      <c r="I3" s="419" t="s">
        <v>185</v>
      </c>
      <c r="J3" s="419" t="s">
        <v>185</v>
      </c>
      <c r="K3" s="8"/>
      <c r="L3" s="8"/>
      <c r="M3" s="8"/>
      <c r="N3" s="3"/>
      <c r="T3" s="3"/>
    </row>
    <row r="4" spans="2:20" ht="18" thickBot="1" x14ac:dyDescent="0.3">
      <c r="B4" s="423"/>
      <c r="C4" s="201" t="s">
        <v>111</v>
      </c>
      <c r="D4" s="200" t="s">
        <v>112</v>
      </c>
      <c r="E4" s="200" t="s">
        <v>188</v>
      </c>
      <c r="F4" s="229" t="s">
        <v>189</v>
      </c>
      <c r="G4" s="420"/>
      <c r="H4" s="420"/>
      <c r="I4" s="420"/>
      <c r="J4" s="420"/>
      <c r="K4" s="8"/>
      <c r="L4" s="8"/>
      <c r="M4" s="8"/>
      <c r="N4" s="3"/>
      <c r="T4" s="3"/>
    </row>
    <row r="5" spans="2:20" x14ac:dyDescent="0.25">
      <c r="B5" s="111">
        <v>1</v>
      </c>
      <c r="C5" s="301">
        <f>Baseline!D3</f>
        <v>1098.5805117093407</v>
      </c>
      <c r="D5" s="302">
        <f>'Tulda 2019'!V13+'Tulda 2020'!V13+'Tulda 2021'!V13+'Tulda 2022'!V13+SOC!G10</f>
        <v>33713.371253060803</v>
      </c>
      <c r="E5" s="302">
        <f>D5</f>
        <v>33713.371253060803</v>
      </c>
      <c r="F5" s="302">
        <f>D5-C5</f>
        <v>32614.790741351462</v>
      </c>
      <c r="G5" s="302">
        <f>F5</f>
        <v>32614.790741351462</v>
      </c>
      <c r="H5" s="302">
        <f>G5*NPR!$I$2</f>
        <v>6196.8102408567775</v>
      </c>
      <c r="I5" s="303">
        <f>G5-H5</f>
        <v>26417.980500494683</v>
      </c>
      <c r="J5" s="213">
        <f>$J$6</f>
        <v>270010.1903545697</v>
      </c>
      <c r="K5" s="8"/>
      <c r="L5" s="8"/>
      <c r="M5" s="8"/>
      <c r="N5" s="3"/>
      <c r="T5" s="3"/>
    </row>
    <row r="6" spans="2:20" x14ac:dyDescent="0.25">
      <c r="B6" s="111">
        <v>2</v>
      </c>
      <c r="C6" s="304">
        <f>C5+Baseline!D4</f>
        <v>2659.5391967791547</v>
      </c>
      <c r="D6" s="305">
        <f>'Tulda 2019'!V14+'Tulda 2020'!V14+'Tulda 2021'!V14+'Tulda 2022'!V14+SOC!G11</f>
        <v>81347.355780517653</v>
      </c>
      <c r="E6" s="305">
        <f>D6-D5</f>
        <v>47633.984527456851</v>
      </c>
      <c r="F6" s="305">
        <f t="shared" ref="F6:F34" si="0">D6-C6</f>
        <v>78687.816583738502</v>
      </c>
      <c r="G6" s="305">
        <f>F6-F5</f>
        <v>46073.02584238704</v>
      </c>
      <c r="H6" s="305">
        <f>G6*NPR!$I$2</f>
        <v>8753.874910053537</v>
      </c>
      <c r="I6" s="306">
        <f t="shared" ref="I6:I34" si="1">G6-H6</f>
        <v>37319.150932333505</v>
      </c>
      <c r="J6" s="214">
        <f t="shared" ref="J6:J34" si="2">$F$36</f>
        <v>270010.1903545697</v>
      </c>
      <c r="K6" s="8"/>
      <c r="L6" s="8"/>
      <c r="M6" s="8"/>
      <c r="N6" s="3"/>
      <c r="T6" s="3"/>
    </row>
    <row r="7" spans="2:20" x14ac:dyDescent="0.25">
      <c r="B7" s="111">
        <v>3</v>
      </c>
      <c r="C7" s="304">
        <f>C6+Baseline!D5</f>
        <v>4346.5320573003664</v>
      </c>
      <c r="D7" s="305">
        <f>'Tulda 2019'!V15+'Tulda 2020'!V15+'Tulda 2021'!V15+'Tulda 2022'!V15+SOC!G12</f>
        <v>132720.82485249234</v>
      </c>
      <c r="E7" s="305">
        <f t="shared" ref="E7:E34" si="3">D7-D6</f>
        <v>51373.469071974687</v>
      </c>
      <c r="F7" s="305">
        <f t="shared" si="0"/>
        <v>128374.29279519197</v>
      </c>
      <c r="G7" s="305">
        <f t="shared" ref="G7:G9" si="4">F7-F6</f>
        <v>49686.476211453468</v>
      </c>
      <c r="H7" s="305">
        <f>G7*NPR!$I$2</f>
        <v>9440.4304801761591</v>
      </c>
      <c r="I7" s="306">
        <f t="shared" si="1"/>
        <v>40246.045731277307</v>
      </c>
      <c r="J7" s="214">
        <f t="shared" si="2"/>
        <v>270010.1903545697</v>
      </c>
      <c r="K7" s="8"/>
      <c r="L7" s="8"/>
      <c r="M7" s="8"/>
      <c r="N7" s="3"/>
      <c r="T7" s="3"/>
    </row>
    <row r="8" spans="2:20" x14ac:dyDescent="0.25">
      <c r="B8" s="111">
        <v>4</v>
      </c>
      <c r="C8" s="304">
        <f>C7+Baseline!D6</f>
        <v>6057.141532018587</v>
      </c>
      <c r="D8" s="305">
        <f>'Tulda 2019'!V16+'Tulda 2020'!V16+'Tulda 2021'!V16+'Tulda 2022'!V16+SOC!G13</f>
        <v>184763.59616237655</v>
      </c>
      <c r="E8" s="305">
        <f t="shared" si="3"/>
        <v>52042.771309884207</v>
      </c>
      <c r="F8" s="305">
        <f t="shared" si="0"/>
        <v>178706.45463035797</v>
      </c>
      <c r="G8" s="305">
        <f t="shared" si="4"/>
        <v>50332.161835166</v>
      </c>
      <c r="H8" s="305">
        <f>G8*NPR!$I$2</f>
        <v>9563.1107486815399</v>
      </c>
      <c r="I8" s="306">
        <f t="shared" si="1"/>
        <v>40769.051086484462</v>
      </c>
      <c r="J8" s="214">
        <f t="shared" si="2"/>
        <v>270010.1903545697</v>
      </c>
      <c r="K8" s="8"/>
      <c r="L8" s="8"/>
      <c r="M8" s="8"/>
      <c r="N8" s="3"/>
      <c r="T8" s="3"/>
    </row>
    <row r="9" spans="2:20" x14ac:dyDescent="0.25">
      <c r="B9" s="111">
        <v>5</v>
      </c>
      <c r="C9" s="304">
        <f>C8+Baseline!D7</f>
        <v>7767.7510067368075</v>
      </c>
      <c r="D9" s="305">
        <f>'Tulda 2019'!V17+'Tulda 2020'!V17+'Tulda 2021'!V17+'Tulda 2022'!V17+SOC!G14</f>
        <v>236806.36747226075</v>
      </c>
      <c r="E9" s="305">
        <f t="shared" si="3"/>
        <v>52042.771309884207</v>
      </c>
      <c r="F9" s="305">
        <f t="shared" si="0"/>
        <v>229038.61646552396</v>
      </c>
      <c r="G9" s="305">
        <f t="shared" si="4"/>
        <v>50332.161835165985</v>
      </c>
      <c r="H9" s="305">
        <f>G9*NPR!$I$2</f>
        <v>9563.1107486815381</v>
      </c>
      <c r="I9" s="306">
        <f t="shared" si="1"/>
        <v>40769.051086484447</v>
      </c>
      <c r="J9" s="214">
        <f t="shared" si="2"/>
        <v>270010.1903545697</v>
      </c>
      <c r="K9" s="8"/>
      <c r="L9" s="8"/>
      <c r="M9" s="8"/>
      <c r="N9" s="3"/>
      <c r="T9" s="3"/>
    </row>
    <row r="10" spans="2:20" x14ac:dyDescent="0.25">
      <c r="B10" s="111">
        <v>6</v>
      </c>
      <c r="C10" s="304">
        <f>C9+Baseline!D8</f>
        <v>9478.3604814550272</v>
      </c>
      <c r="D10" s="305">
        <f>'Tulda 2019'!V18+'Tulda 2020'!V18+'Tulda 2021'!V18+'Tulda 2022'!V18+SOC!G15</f>
        <v>282422.83269793284</v>
      </c>
      <c r="E10" s="305">
        <f t="shared" si="3"/>
        <v>45616.465225672087</v>
      </c>
      <c r="F10" s="305">
        <f t="shared" si="0"/>
        <v>272944.47221647779</v>
      </c>
      <c r="G10" s="305">
        <f>F36-SUM(G5:G9)</f>
        <v>40971.573889045743</v>
      </c>
      <c r="H10" s="305">
        <f>G10*NPR!$I$2</f>
        <v>7784.5990389186909</v>
      </c>
      <c r="I10" s="306">
        <f>G10-H10</f>
        <v>33186.974850127051</v>
      </c>
      <c r="J10" s="214">
        <f t="shared" si="2"/>
        <v>270010.1903545697</v>
      </c>
      <c r="K10" s="8"/>
      <c r="L10" s="8"/>
      <c r="M10" s="8"/>
      <c r="N10" s="3"/>
      <c r="T10" s="3"/>
    </row>
    <row r="11" spans="2:20" x14ac:dyDescent="0.25">
      <c r="B11" s="111">
        <v>7</v>
      </c>
      <c r="C11" s="304">
        <f>C10+Baseline!D9</f>
        <v>11188.969956173249</v>
      </c>
      <c r="D11" s="305">
        <f>'Tulda 2019'!V19+'Tulda 2020'!V19+'Tulda 2021'!V19+'Tulda 2022'!V19+SOC!G16</f>
        <v>299680.58274747705</v>
      </c>
      <c r="E11" s="305">
        <f t="shared" si="3"/>
        <v>17257.750049544207</v>
      </c>
      <c r="F11" s="305">
        <f t="shared" si="0"/>
        <v>288491.61279130378</v>
      </c>
      <c r="G11" s="305">
        <v>0</v>
      </c>
      <c r="H11" s="305">
        <f>G11*NPR!$I$2</f>
        <v>0</v>
      </c>
      <c r="I11" s="306">
        <f>G11-H11</f>
        <v>0</v>
      </c>
      <c r="J11" s="214">
        <f t="shared" si="2"/>
        <v>270010.1903545697</v>
      </c>
      <c r="K11" s="8"/>
      <c r="L11" s="8"/>
      <c r="M11" s="8"/>
      <c r="N11" s="3"/>
      <c r="T11" s="3"/>
    </row>
    <row r="12" spans="2:20" x14ac:dyDescent="0.25">
      <c r="B12" s="111">
        <v>8</v>
      </c>
      <c r="C12" s="304">
        <f>C11+Baseline!D10</f>
        <v>12899.57943089147</v>
      </c>
      <c r="D12" s="305">
        <f>'Tulda 2019'!V20+'Tulda 2020'!V20+'Tulda 2021'!V20+'Tulda 2022'!V20+SOC!G17</f>
        <v>305611.56406366744</v>
      </c>
      <c r="E12" s="305">
        <f t="shared" si="3"/>
        <v>5930.9813161903876</v>
      </c>
      <c r="F12" s="305">
        <f t="shared" si="0"/>
        <v>292711.98463277594</v>
      </c>
      <c r="G12" s="305">
        <v>0</v>
      </c>
      <c r="H12" s="305">
        <f>G12*NPR!$I$2</f>
        <v>0</v>
      </c>
      <c r="I12" s="306">
        <f t="shared" si="1"/>
        <v>0</v>
      </c>
      <c r="J12" s="214">
        <f t="shared" si="2"/>
        <v>270010.1903545697</v>
      </c>
      <c r="K12" s="8"/>
      <c r="L12" s="8"/>
      <c r="M12" s="8"/>
      <c r="N12" s="3"/>
      <c r="T12" s="3"/>
    </row>
    <row r="13" spans="2:20" x14ac:dyDescent="0.25">
      <c r="B13" s="111">
        <v>9</v>
      </c>
      <c r="C13" s="304">
        <f>C12+Baseline!D11</f>
        <v>14610.188905609692</v>
      </c>
      <c r="D13" s="305">
        <f>'Tulda 2019'!V21+'Tulda 2020'!V21+'Tulda 2021'!V21+'Tulda 2022'!V21+SOC!G18</f>
        <v>308563.74419706175</v>
      </c>
      <c r="E13" s="305">
        <f t="shared" si="3"/>
        <v>2952.1801333943149</v>
      </c>
      <c r="F13" s="305">
        <f t="shared" si="0"/>
        <v>293953.55529145204</v>
      </c>
      <c r="G13" s="305">
        <v>0</v>
      </c>
      <c r="H13" s="305">
        <f>G13*NPR!$I$2</f>
        <v>0</v>
      </c>
      <c r="I13" s="306">
        <f t="shared" si="1"/>
        <v>0</v>
      </c>
      <c r="J13" s="214">
        <f t="shared" si="2"/>
        <v>270010.1903545697</v>
      </c>
      <c r="K13" s="8"/>
      <c r="L13" s="8"/>
      <c r="M13" s="8"/>
      <c r="N13" s="3"/>
      <c r="T13" s="3"/>
    </row>
    <row r="14" spans="2:20" x14ac:dyDescent="0.25">
      <c r="B14" s="111">
        <v>10</v>
      </c>
      <c r="C14" s="304">
        <f>C13+Baseline!D12</f>
        <v>16320.798380327913</v>
      </c>
      <c r="D14" s="305">
        <f>'Tulda 2019'!V22+'Tulda 2020'!V22+'Tulda 2021'!V22+'Tulda 2022'!V22+SOC!G19</f>
        <v>311005.60561906174</v>
      </c>
      <c r="E14" s="305">
        <f t="shared" si="3"/>
        <v>2441.8614219999872</v>
      </c>
      <c r="F14" s="305">
        <f t="shared" si="0"/>
        <v>294684.8072387338</v>
      </c>
      <c r="G14" s="305">
        <v>0</v>
      </c>
      <c r="H14" s="305">
        <f>G14*NPR!$I$2</f>
        <v>0</v>
      </c>
      <c r="I14" s="306">
        <f t="shared" si="1"/>
        <v>0</v>
      </c>
      <c r="J14" s="214">
        <f t="shared" si="2"/>
        <v>270010.1903545697</v>
      </c>
      <c r="K14" s="8"/>
      <c r="L14" s="8"/>
      <c r="M14" s="8"/>
      <c r="N14" s="3"/>
      <c r="T14" s="3"/>
    </row>
    <row r="15" spans="2:20" x14ac:dyDescent="0.25">
      <c r="B15" s="111">
        <v>11</v>
      </c>
      <c r="C15" s="304">
        <f>C14+Baseline!D13</f>
        <v>18031.407855046135</v>
      </c>
      <c r="D15" s="305">
        <f>'Tulda 2019'!V23+'Tulda 2020'!V23+'Tulda 2021'!V23+'Tulda 2022'!V23+SOC!G20</f>
        <v>313447.46704106178</v>
      </c>
      <c r="E15" s="305">
        <f t="shared" si="3"/>
        <v>2441.8614220000454</v>
      </c>
      <c r="F15" s="305">
        <f t="shared" si="0"/>
        <v>295416.05918601563</v>
      </c>
      <c r="G15" s="305">
        <v>0</v>
      </c>
      <c r="H15" s="305">
        <f>G15*NPR!$I$2</f>
        <v>0</v>
      </c>
      <c r="I15" s="306">
        <f t="shared" si="1"/>
        <v>0</v>
      </c>
      <c r="J15" s="214">
        <f t="shared" si="2"/>
        <v>270010.1903545697</v>
      </c>
      <c r="K15" s="8"/>
      <c r="L15" s="8"/>
      <c r="M15" s="8"/>
      <c r="N15" s="3"/>
      <c r="T15" s="3"/>
    </row>
    <row r="16" spans="2:20" x14ac:dyDescent="0.25">
      <c r="B16" s="111">
        <v>12</v>
      </c>
      <c r="C16" s="304">
        <f>C15+Baseline!D14</f>
        <v>19742.017329764356</v>
      </c>
      <c r="D16" s="305">
        <f>'Tulda 2019'!V24+'Tulda 2020'!V24+'Tulda 2021'!V24+'Tulda 2022'!V24+SOC!G21</f>
        <v>315889.32846306177</v>
      </c>
      <c r="E16" s="305">
        <f t="shared" si="3"/>
        <v>2441.8614219999872</v>
      </c>
      <c r="F16" s="305">
        <f t="shared" si="0"/>
        <v>296147.31113329739</v>
      </c>
      <c r="G16" s="305">
        <v>0</v>
      </c>
      <c r="H16" s="305">
        <f>G16*NPR!$I$2</f>
        <v>0</v>
      </c>
      <c r="I16" s="306">
        <f t="shared" si="1"/>
        <v>0</v>
      </c>
      <c r="J16" s="214">
        <f t="shared" si="2"/>
        <v>270010.1903545697</v>
      </c>
      <c r="K16" s="8"/>
      <c r="L16" s="8"/>
      <c r="M16" s="8"/>
      <c r="N16" s="3"/>
      <c r="T16" s="3"/>
    </row>
    <row r="17" spans="2:20" x14ac:dyDescent="0.25">
      <c r="B17" s="111">
        <v>13</v>
      </c>
      <c r="C17" s="304">
        <f>C16+Baseline!D15</f>
        <v>21452.626804482577</v>
      </c>
      <c r="D17" s="305">
        <f>'Tulda 2019'!V25+'Tulda 2020'!V25+'Tulda 2021'!V25+'Tulda 2022'!V25+SOC!G22</f>
        <v>318331.18988506176</v>
      </c>
      <c r="E17" s="305">
        <f t="shared" si="3"/>
        <v>2441.8614219999872</v>
      </c>
      <c r="F17" s="305">
        <f t="shared" si="0"/>
        <v>296878.56308057916</v>
      </c>
      <c r="G17" s="305">
        <v>0</v>
      </c>
      <c r="H17" s="305">
        <f>G17*NPR!$I$2</f>
        <v>0</v>
      </c>
      <c r="I17" s="306">
        <f t="shared" si="1"/>
        <v>0</v>
      </c>
      <c r="J17" s="214">
        <f t="shared" si="2"/>
        <v>270010.1903545697</v>
      </c>
      <c r="K17" s="8"/>
      <c r="L17" s="8"/>
      <c r="M17" s="8"/>
      <c r="N17" s="3"/>
      <c r="T17" s="3"/>
    </row>
    <row r="18" spans="2:20" x14ac:dyDescent="0.25">
      <c r="B18" s="111">
        <v>14</v>
      </c>
      <c r="C18" s="304">
        <f>C17+Baseline!D16</f>
        <v>23163.236279200799</v>
      </c>
      <c r="D18" s="305">
        <f>'Tulda 2019'!V26+'Tulda 2020'!V26+'Tulda 2021'!V26+'Tulda 2022'!V26+SOC!G23</f>
        <v>320773.05130706175</v>
      </c>
      <c r="E18" s="305">
        <f t="shared" si="3"/>
        <v>2441.8614219999872</v>
      </c>
      <c r="F18" s="305">
        <f t="shared" si="0"/>
        <v>297609.81502786092</v>
      </c>
      <c r="G18" s="305">
        <v>0</v>
      </c>
      <c r="H18" s="305">
        <f>G18*NPR!$I$2</f>
        <v>0</v>
      </c>
      <c r="I18" s="306">
        <f t="shared" si="1"/>
        <v>0</v>
      </c>
      <c r="J18" s="214">
        <f t="shared" si="2"/>
        <v>270010.1903545697</v>
      </c>
      <c r="K18" s="8"/>
      <c r="L18" s="8"/>
      <c r="M18" s="8"/>
      <c r="N18" s="3"/>
      <c r="T18" s="3"/>
    </row>
    <row r="19" spans="2:20" x14ac:dyDescent="0.25">
      <c r="B19" s="111">
        <v>15</v>
      </c>
      <c r="C19" s="304">
        <f>C18+Baseline!D17</f>
        <v>24873.84575391902</v>
      </c>
      <c r="D19" s="305">
        <f>'Tulda 2019'!V27+'Tulda 2020'!V27+'Tulda 2021'!V27+'Tulda 2022'!V27+SOC!G24</f>
        <v>323214.91272906179</v>
      </c>
      <c r="E19" s="305">
        <f t="shared" si="3"/>
        <v>2441.8614220000454</v>
      </c>
      <c r="F19" s="305">
        <f t="shared" si="0"/>
        <v>298341.06697514275</v>
      </c>
      <c r="G19" s="305">
        <v>0</v>
      </c>
      <c r="H19" s="305">
        <f>G19*NPR!$I$2</f>
        <v>0</v>
      </c>
      <c r="I19" s="306">
        <f t="shared" si="1"/>
        <v>0</v>
      </c>
      <c r="J19" s="214">
        <f t="shared" si="2"/>
        <v>270010.1903545697</v>
      </c>
      <c r="K19" s="8"/>
      <c r="L19" s="8"/>
      <c r="M19" s="8"/>
      <c r="N19" s="3"/>
      <c r="T19" s="3"/>
    </row>
    <row r="20" spans="2:20" x14ac:dyDescent="0.25">
      <c r="B20" s="111">
        <v>16</v>
      </c>
      <c r="C20" s="304">
        <f>C19+Baseline!D18</f>
        <v>26584.455228637242</v>
      </c>
      <c r="D20" s="305">
        <f>'Tulda 2019'!V28+'Tulda 2020'!V28+'Tulda 2021'!V28+'Tulda 2022'!V28+SOC!G25</f>
        <v>325656.77415106178</v>
      </c>
      <c r="E20" s="305">
        <f t="shared" si="3"/>
        <v>2441.8614219999872</v>
      </c>
      <c r="F20" s="305">
        <f t="shared" si="0"/>
        <v>299072.31892242451</v>
      </c>
      <c r="G20" s="305">
        <v>0</v>
      </c>
      <c r="H20" s="305">
        <f>G20*NPR!$I$2</f>
        <v>0</v>
      </c>
      <c r="I20" s="306">
        <f t="shared" si="1"/>
        <v>0</v>
      </c>
      <c r="J20" s="214">
        <f t="shared" si="2"/>
        <v>270010.1903545697</v>
      </c>
      <c r="K20" s="8"/>
      <c r="L20" s="8"/>
      <c r="M20" s="8"/>
      <c r="N20" s="3"/>
      <c r="T20" s="3"/>
    </row>
    <row r="21" spans="2:20" x14ac:dyDescent="0.25">
      <c r="B21" s="111">
        <v>17</v>
      </c>
      <c r="C21" s="304">
        <f>C20+Baseline!D19</f>
        <v>28295.064703355463</v>
      </c>
      <c r="D21" s="305">
        <f>'Tulda 2019'!V29+'Tulda 2020'!V29+'Tulda 2021'!V29+'Tulda 2022'!V29+SOC!G26</f>
        <v>328098.63557306177</v>
      </c>
      <c r="E21" s="305">
        <f t="shared" si="3"/>
        <v>2441.8614219999872</v>
      </c>
      <c r="F21" s="305">
        <f t="shared" si="0"/>
        <v>299803.57086970628</v>
      </c>
      <c r="G21" s="305">
        <v>0</v>
      </c>
      <c r="H21" s="305">
        <f>G21*NPR!$I$2</f>
        <v>0</v>
      </c>
      <c r="I21" s="306">
        <f t="shared" si="1"/>
        <v>0</v>
      </c>
      <c r="J21" s="214">
        <f t="shared" si="2"/>
        <v>270010.1903545697</v>
      </c>
      <c r="K21" s="8"/>
      <c r="L21" s="8"/>
      <c r="M21" s="8"/>
      <c r="N21" s="3"/>
      <c r="T21" s="3"/>
    </row>
    <row r="22" spans="2:20" x14ac:dyDescent="0.25">
      <c r="B22" s="111">
        <v>18</v>
      </c>
      <c r="C22" s="304">
        <f>C21+Baseline!D20</f>
        <v>30005.674178073685</v>
      </c>
      <c r="D22" s="305">
        <f>'Tulda 2019'!V30+'Tulda 2020'!V30+'Tulda 2021'!V30+'Tulda 2022'!V30+SOC!G27</f>
        <v>330540.49699506175</v>
      </c>
      <c r="E22" s="305">
        <f t="shared" si="3"/>
        <v>2441.8614219999872</v>
      </c>
      <c r="F22" s="305">
        <f t="shared" si="0"/>
        <v>300534.82281698805</v>
      </c>
      <c r="G22" s="305">
        <v>0</v>
      </c>
      <c r="H22" s="305">
        <f>G22*NPR!$I$2</f>
        <v>0</v>
      </c>
      <c r="I22" s="306">
        <f t="shared" si="1"/>
        <v>0</v>
      </c>
      <c r="J22" s="214">
        <f t="shared" si="2"/>
        <v>270010.1903545697</v>
      </c>
      <c r="K22" s="8"/>
      <c r="L22" s="8"/>
      <c r="M22" s="8"/>
      <c r="N22" s="3"/>
      <c r="T22" s="3"/>
    </row>
    <row r="23" spans="2:20" x14ac:dyDescent="0.25">
      <c r="B23" s="111">
        <v>19</v>
      </c>
      <c r="C23" s="304">
        <f>C22+Baseline!D21</f>
        <v>31716.283652791906</v>
      </c>
      <c r="D23" s="305">
        <f>'Tulda 2019'!V31+'Tulda 2020'!V31+'Tulda 2021'!V31+'Tulda 2022'!V31+SOC!G28</f>
        <v>332982.35841706174</v>
      </c>
      <c r="E23" s="305">
        <f t="shared" si="3"/>
        <v>2441.8614219999872</v>
      </c>
      <c r="F23" s="305">
        <f t="shared" si="0"/>
        <v>301266.07476426981</v>
      </c>
      <c r="G23" s="305">
        <v>0</v>
      </c>
      <c r="H23" s="305">
        <f>G23*NPR!$I$2</f>
        <v>0</v>
      </c>
      <c r="I23" s="306">
        <f t="shared" si="1"/>
        <v>0</v>
      </c>
      <c r="J23" s="214">
        <f t="shared" si="2"/>
        <v>270010.1903545697</v>
      </c>
      <c r="K23" s="8"/>
      <c r="L23" s="8"/>
      <c r="M23" s="8"/>
      <c r="N23" s="3"/>
      <c r="T23" s="3"/>
    </row>
    <row r="24" spans="2:20" x14ac:dyDescent="0.25">
      <c r="B24" s="111">
        <v>20</v>
      </c>
      <c r="C24" s="304">
        <f>C23+Baseline!D22</f>
        <v>33426.893127510128</v>
      </c>
      <c r="D24" s="305">
        <f>'Tulda 2019'!V32+'Tulda 2020'!V32+'Tulda 2021'!V32+'Tulda 2022'!V32+SOC!G29</f>
        <v>335424.21983906179</v>
      </c>
      <c r="E24" s="305">
        <f t="shared" si="3"/>
        <v>2441.8614220000454</v>
      </c>
      <c r="F24" s="305">
        <f t="shared" si="0"/>
        <v>301997.32671155164</v>
      </c>
      <c r="G24" s="305">
        <v>0</v>
      </c>
      <c r="H24" s="305">
        <f>G24*NPR!$I$2</f>
        <v>0</v>
      </c>
      <c r="I24" s="306">
        <f t="shared" si="1"/>
        <v>0</v>
      </c>
      <c r="J24" s="214">
        <f t="shared" si="2"/>
        <v>270010.1903545697</v>
      </c>
      <c r="K24" s="8"/>
      <c r="L24" s="8"/>
      <c r="M24" s="8"/>
      <c r="N24" s="3"/>
      <c r="T24" s="3"/>
    </row>
    <row r="25" spans="2:20" x14ac:dyDescent="0.25">
      <c r="B25" s="111">
        <v>21</v>
      </c>
      <c r="C25" s="304">
        <f>C24+Baseline!D23</f>
        <v>34038.922090519009</v>
      </c>
      <c r="D25" s="305">
        <f>'Tulda 2019'!V33+'Tulda 2020'!V33+'Tulda 2021'!V33+'Tulda 2022'!V33+SOC!G30</f>
        <v>336284.24042906176</v>
      </c>
      <c r="E25" s="305">
        <f t="shared" si="3"/>
        <v>860.02058999997098</v>
      </c>
      <c r="F25" s="305">
        <f t="shared" si="0"/>
        <v>302245.31833854277</v>
      </c>
      <c r="G25" s="305">
        <v>0</v>
      </c>
      <c r="H25" s="305">
        <f>G25*NPR!$I$2</f>
        <v>0</v>
      </c>
      <c r="I25" s="306">
        <f t="shared" si="1"/>
        <v>0</v>
      </c>
      <c r="J25" s="214">
        <f t="shared" si="2"/>
        <v>270010.1903545697</v>
      </c>
      <c r="K25" s="8"/>
      <c r="L25" s="8"/>
      <c r="M25" s="8"/>
      <c r="N25" s="3"/>
      <c r="T25" s="3"/>
    </row>
    <row r="26" spans="2:20" x14ac:dyDescent="0.25">
      <c r="B26" s="111">
        <v>22</v>
      </c>
      <c r="C26" s="304">
        <f>C25+Baseline!D24</f>
        <v>34188.572880167412</v>
      </c>
      <c r="D26" s="305">
        <f>'Tulda 2019'!V34+'Tulda 2020'!V34+'Tulda 2021'!V34+'Tulda 2022'!V34+SOC!G31</f>
        <v>336491.10194106179</v>
      </c>
      <c r="E26" s="305">
        <f t="shared" si="3"/>
        <v>206.86151200003223</v>
      </c>
      <c r="F26" s="305">
        <f t="shared" si="0"/>
        <v>302302.52906089439</v>
      </c>
      <c r="G26" s="305">
        <v>0</v>
      </c>
      <c r="H26" s="305">
        <f>G26*NPR!$I$2</f>
        <v>0</v>
      </c>
      <c r="I26" s="306">
        <f t="shared" si="1"/>
        <v>0</v>
      </c>
      <c r="J26" s="214">
        <f t="shared" si="2"/>
        <v>270010.1903545697</v>
      </c>
      <c r="K26" s="8"/>
      <c r="L26" s="8"/>
      <c r="M26" s="8"/>
      <c r="N26" s="3"/>
      <c r="T26" s="3"/>
    </row>
    <row r="27" spans="2:20" x14ac:dyDescent="0.25">
      <c r="B27" s="111">
        <v>23</v>
      </c>
      <c r="C27" s="304">
        <f>C26+Baseline!D25</f>
        <v>34212.189494364422</v>
      </c>
      <c r="D27" s="305">
        <f>'Tulda 2019'!V35+'Tulda 2020'!V35+'Tulda 2021'!V35+'Tulda 2022'!V35+SOC!G32</f>
        <v>336522.50578972843</v>
      </c>
      <c r="E27" s="305">
        <f t="shared" si="3"/>
        <v>31.403848666639533</v>
      </c>
      <c r="F27" s="305">
        <f t="shared" si="0"/>
        <v>302310.316295364</v>
      </c>
      <c r="G27" s="305">
        <v>0</v>
      </c>
      <c r="H27" s="305">
        <f>G27*NPR!$I$2</f>
        <v>0</v>
      </c>
      <c r="I27" s="306">
        <f t="shared" si="1"/>
        <v>0</v>
      </c>
      <c r="J27" s="214">
        <f t="shared" si="2"/>
        <v>270010.1903545697</v>
      </c>
      <c r="K27" s="8"/>
      <c r="L27" s="8"/>
      <c r="M27" s="8"/>
      <c r="N27" s="3"/>
      <c r="T27" s="3"/>
    </row>
    <row r="28" spans="2:20" x14ac:dyDescent="0.25">
      <c r="B28" s="111">
        <v>24</v>
      </c>
      <c r="C28" s="304">
        <f>C27+Baseline!D26</f>
        <v>34212.189494364422</v>
      </c>
      <c r="D28" s="305">
        <f>'Tulda 2019'!V36+'Tulda 2020'!V36+'Tulda 2021'!V36+'Tulda 2022'!V36+SOC!G33</f>
        <v>336522.50578972843</v>
      </c>
      <c r="E28" s="305">
        <f t="shared" si="3"/>
        <v>0</v>
      </c>
      <c r="F28" s="305">
        <f t="shared" si="0"/>
        <v>302310.316295364</v>
      </c>
      <c r="G28" s="305">
        <v>0</v>
      </c>
      <c r="H28" s="305">
        <f>G28*NPR!$I$2</f>
        <v>0</v>
      </c>
      <c r="I28" s="306">
        <f t="shared" si="1"/>
        <v>0</v>
      </c>
      <c r="J28" s="214">
        <f t="shared" si="2"/>
        <v>270010.1903545697</v>
      </c>
      <c r="K28" s="8"/>
      <c r="L28" s="8"/>
      <c r="M28" s="8"/>
      <c r="N28" s="3"/>
      <c r="T28" s="3"/>
    </row>
    <row r="29" spans="2:20" x14ac:dyDescent="0.25">
      <c r="B29" s="111">
        <v>25</v>
      </c>
      <c r="C29" s="304">
        <f>C28+Baseline!D27</f>
        <v>34212.189494364422</v>
      </c>
      <c r="D29" s="305">
        <f>'Tulda 2019'!V37+'Tulda 2020'!V37+'Tulda 2021'!V37+'Tulda 2022'!V37+SOC!G34</f>
        <v>336522.50578972843</v>
      </c>
      <c r="E29" s="305">
        <f t="shared" si="3"/>
        <v>0</v>
      </c>
      <c r="F29" s="305">
        <f t="shared" si="0"/>
        <v>302310.316295364</v>
      </c>
      <c r="G29" s="305">
        <v>0</v>
      </c>
      <c r="H29" s="305">
        <f>G29*NPR!$I$2</f>
        <v>0</v>
      </c>
      <c r="I29" s="306">
        <f t="shared" si="1"/>
        <v>0</v>
      </c>
      <c r="J29" s="214">
        <f t="shared" si="2"/>
        <v>270010.1903545697</v>
      </c>
      <c r="K29" s="8"/>
      <c r="L29" s="8"/>
      <c r="M29" s="8"/>
      <c r="N29" s="3"/>
      <c r="T29" s="3"/>
    </row>
    <row r="30" spans="2:20" x14ac:dyDescent="0.25">
      <c r="B30" s="111">
        <v>26</v>
      </c>
      <c r="C30" s="304">
        <f>C29+Baseline!D28</f>
        <v>34212.189494364422</v>
      </c>
      <c r="D30" s="305">
        <f>'Tulda 2019'!V38+'Tulda 2020'!V38+'Tulda 2021'!V38+'Tulda 2022'!V38+SOC!G35</f>
        <v>336522.50578972843</v>
      </c>
      <c r="E30" s="305">
        <f t="shared" si="3"/>
        <v>0</v>
      </c>
      <c r="F30" s="305">
        <f>D30-C30</f>
        <v>302310.316295364</v>
      </c>
      <c r="G30" s="305">
        <v>0</v>
      </c>
      <c r="H30" s="305">
        <f>G30*NPR!$I$2</f>
        <v>0</v>
      </c>
      <c r="I30" s="306">
        <f t="shared" si="1"/>
        <v>0</v>
      </c>
      <c r="J30" s="214">
        <f t="shared" si="2"/>
        <v>270010.1903545697</v>
      </c>
      <c r="K30" s="8"/>
      <c r="L30" s="8"/>
      <c r="M30" s="8"/>
      <c r="N30" s="3"/>
      <c r="T30" s="3"/>
    </row>
    <row r="31" spans="2:20" x14ac:dyDescent="0.25">
      <c r="B31" s="111">
        <v>27</v>
      </c>
      <c r="C31" s="304">
        <f>C30+Baseline!D29</f>
        <v>34212.189494364422</v>
      </c>
      <c r="D31" s="305">
        <f>'Tulda 2019'!V39+'Tulda 2020'!V39+'Tulda 2021'!V39+'Tulda 2022'!V39+SOC!G36</f>
        <v>336522.50578972843</v>
      </c>
      <c r="E31" s="305">
        <f t="shared" si="3"/>
        <v>0</v>
      </c>
      <c r="F31" s="305">
        <f t="shared" si="0"/>
        <v>302310.316295364</v>
      </c>
      <c r="G31" s="305">
        <v>0</v>
      </c>
      <c r="H31" s="305">
        <f>G31*NPR!$I$2</f>
        <v>0</v>
      </c>
      <c r="I31" s="306">
        <f t="shared" si="1"/>
        <v>0</v>
      </c>
      <c r="J31" s="214">
        <f t="shared" si="2"/>
        <v>270010.1903545697</v>
      </c>
      <c r="K31" s="8"/>
      <c r="L31" s="8"/>
      <c r="M31" s="8"/>
      <c r="N31" s="3"/>
      <c r="T31" s="3"/>
    </row>
    <row r="32" spans="2:20" x14ac:dyDescent="0.25">
      <c r="B32" s="111">
        <v>28</v>
      </c>
      <c r="C32" s="304">
        <f>C31+Baseline!D30</f>
        <v>34212.189494364422</v>
      </c>
      <c r="D32" s="305">
        <f>'Tulda 2019'!V40+'Tulda 2020'!V40+'Tulda 2021'!V40+'Tulda 2022'!V40+SOC!G37</f>
        <v>336522.50578972843</v>
      </c>
      <c r="E32" s="305">
        <f t="shared" si="3"/>
        <v>0</v>
      </c>
      <c r="F32" s="305">
        <f t="shared" si="0"/>
        <v>302310.316295364</v>
      </c>
      <c r="G32" s="305">
        <v>0</v>
      </c>
      <c r="H32" s="305">
        <f>G32*NPR!$I$2</f>
        <v>0</v>
      </c>
      <c r="I32" s="306">
        <f t="shared" si="1"/>
        <v>0</v>
      </c>
      <c r="J32" s="214">
        <f t="shared" si="2"/>
        <v>270010.1903545697</v>
      </c>
    </row>
    <row r="33" spans="2:11" x14ac:dyDescent="0.25">
      <c r="B33" s="111">
        <v>29</v>
      </c>
      <c r="C33" s="304">
        <f>C32+Baseline!D31</f>
        <v>34212.189494364422</v>
      </c>
      <c r="D33" s="305">
        <f>'Tulda 2019'!V41+'Tulda 2020'!V41+'Tulda 2021'!V41+'Tulda 2022'!V41+SOC!G38</f>
        <v>336522.50578972843</v>
      </c>
      <c r="E33" s="305">
        <f t="shared" si="3"/>
        <v>0</v>
      </c>
      <c r="F33" s="305">
        <f t="shared" si="0"/>
        <v>302310.316295364</v>
      </c>
      <c r="G33" s="305">
        <v>0</v>
      </c>
      <c r="H33" s="305">
        <f>G33*NPR!$I$2</f>
        <v>0</v>
      </c>
      <c r="I33" s="306">
        <f t="shared" si="1"/>
        <v>0</v>
      </c>
      <c r="J33" s="214">
        <f t="shared" si="2"/>
        <v>270010.1903545697</v>
      </c>
    </row>
    <row r="34" spans="2:11" ht="15.75" thickBot="1" x14ac:dyDescent="0.3">
      <c r="B34" s="202">
        <v>30</v>
      </c>
      <c r="C34" s="307">
        <f>C33+Baseline!D32</f>
        <v>34212.189494364422</v>
      </c>
      <c r="D34" s="308">
        <f>'Tulda 2019'!V42+'Tulda 2020'!V42+'Tulda 2021'!V42+'Tulda 2022'!V42+SOC!G39</f>
        <v>336522.50578972843</v>
      </c>
      <c r="E34" s="308">
        <f t="shared" si="3"/>
        <v>0</v>
      </c>
      <c r="F34" s="308">
        <f t="shared" si="0"/>
        <v>302310.316295364</v>
      </c>
      <c r="G34" s="308">
        <v>0</v>
      </c>
      <c r="H34" s="308">
        <f>G34*NPR!$I$2</f>
        <v>0</v>
      </c>
      <c r="I34" s="309">
        <f t="shared" si="1"/>
        <v>0</v>
      </c>
      <c r="J34" s="220">
        <f t="shared" si="2"/>
        <v>270010.1903545697</v>
      </c>
    </row>
    <row r="35" spans="2:11" s="11" customFormat="1" thickBot="1" x14ac:dyDescent="0.25">
      <c r="B35" s="203"/>
      <c r="C35" s="216"/>
      <c r="D35" s="221"/>
      <c r="E35" s="225" t="s">
        <v>113</v>
      </c>
      <c r="F35" s="227">
        <f>SUM(F5:F34)</f>
        <v>8100305.7106370917</v>
      </c>
      <c r="G35" s="223"/>
      <c r="H35" s="217"/>
      <c r="I35" s="218"/>
      <c r="J35" s="219"/>
      <c r="K35" s="2"/>
    </row>
    <row r="36" spans="2:11" s="11" customFormat="1" thickBot="1" x14ac:dyDescent="0.25">
      <c r="B36" s="204"/>
      <c r="C36" s="210"/>
      <c r="D36" s="222"/>
      <c r="E36" s="226" t="s">
        <v>110</v>
      </c>
      <c r="F36" s="228">
        <f>F35/COUNT(F5:F34)</f>
        <v>270010.1903545697</v>
      </c>
      <c r="G36" s="224"/>
      <c r="H36" s="211"/>
      <c r="I36" s="212"/>
      <c r="J36" s="215"/>
      <c r="K36" s="2"/>
    </row>
  </sheetData>
  <mergeCells count="5">
    <mergeCell ref="J3:J4"/>
    <mergeCell ref="B2:B4"/>
    <mergeCell ref="G3:G4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8CC9-032F-4F52-A407-ACEA85F07056}">
  <dimension ref="B1:V42"/>
  <sheetViews>
    <sheetView zoomScaleNormal="100" workbookViewId="0"/>
  </sheetViews>
  <sheetFormatPr defaultColWidth="9.28515625" defaultRowHeight="15" x14ac:dyDescent="0.25"/>
  <cols>
    <col min="1" max="1" width="9.28515625" style="42"/>
    <col min="2" max="2" width="11.28515625" style="42" customWidth="1"/>
    <col min="3" max="3" width="14.7109375" style="42" customWidth="1"/>
    <col min="4" max="4" width="13.42578125" style="42" customWidth="1"/>
    <col min="5" max="5" width="18" style="42" customWidth="1"/>
    <col min="6" max="6" width="9.7109375" style="42" customWidth="1"/>
    <col min="7" max="7" width="8.28515625" style="42" customWidth="1"/>
    <col min="8" max="8" width="28.85546875" style="42" customWidth="1"/>
    <col min="9" max="9" width="20.7109375" style="42" customWidth="1"/>
    <col min="10" max="10" width="22" style="42" customWidth="1"/>
    <col min="11" max="12" width="16" style="42" customWidth="1"/>
    <col min="13" max="13" width="10.28515625" style="42" customWidth="1"/>
    <col min="14" max="14" width="10.7109375" style="42" bestFit="1" customWidth="1"/>
    <col min="15" max="16" width="18.28515625" style="42" bestFit="1" customWidth="1"/>
    <col min="17" max="17" width="16.7109375" style="42" bestFit="1" customWidth="1"/>
    <col min="18" max="18" width="17" style="42" bestFit="1" customWidth="1"/>
    <col min="19" max="19" width="16.85546875" style="42" customWidth="1"/>
    <col min="20" max="20" width="14.42578125" style="42" bestFit="1" customWidth="1"/>
    <col min="21" max="21" width="19.28515625" style="42" bestFit="1" customWidth="1"/>
    <col min="22" max="22" width="17.5703125" style="42" bestFit="1" customWidth="1"/>
    <col min="23" max="23" width="9.7109375" style="42" customWidth="1"/>
    <col min="24" max="16384" width="9.28515625" style="42"/>
  </cols>
  <sheetData>
    <row r="1" spans="2:22" ht="15" customHeight="1" thickBot="1" x14ac:dyDescent="0.3"/>
    <row r="2" spans="2:22" ht="15.75" customHeight="1" thickBot="1" x14ac:dyDescent="0.3">
      <c r="H2" s="350" t="s">
        <v>129</v>
      </c>
      <c r="I2" s="351"/>
      <c r="J2" s="351"/>
      <c r="K2" s="352"/>
      <c r="L2"/>
    </row>
    <row r="3" spans="2:22" x14ac:dyDescent="0.25">
      <c r="H3" s="66" t="s">
        <v>190</v>
      </c>
      <c r="I3" s="67">
        <f>'General Information'!H3</f>
        <v>6.46</v>
      </c>
      <c r="J3" s="68" t="s">
        <v>15</v>
      </c>
      <c r="K3" s="69">
        <f>'General Information'!C6</f>
        <v>0.47</v>
      </c>
    </row>
    <row r="4" spans="2:22" ht="28.5" x14ac:dyDescent="0.25">
      <c r="H4" s="70" t="s">
        <v>155</v>
      </c>
      <c r="I4" s="44">
        <f>'General Information'!I3</f>
        <v>6.92</v>
      </c>
      <c r="J4" s="43" t="s">
        <v>6</v>
      </c>
      <c r="K4" s="71">
        <f>'General Information'!D6</f>
        <v>0</v>
      </c>
    </row>
    <row r="5" spans="2:22" x14ac:dyDescent="0.25">
      <c r="H5" s="70" t="s">
        <v>16</v>
      </c>
      <c r="I5" s="44" t="str">
        <f>'General Information'!E3</f>
        <v>Y=0.307*DBH^2.174</v>
      </c>
      <c r="J5" s="43" t="s">
        <v>7</v>
      </c>
      <c r="K5" s="71">
        <f>'General Information'!E6</f>
        <v>0</v>
      </c>
    </row>
    <row r="6" spans="2:22" x14ac:dyDescent="0.25">
      <c r="H6" s="70" t="s">
        <v>17</v>
      </c>
      <c r="I6" s="44">
        <f>'General Information'!B6</f>
        <v>0.25</v>
      </c>
      <c r="J6" s="43" t="s">
        <v>202</v>
      </c>
      <c r="K6" s="71">
        <f>'General Information'!K3</f>
        <v>0.2</v>
      </c>
    </row>
    <row r="7" spans="2:22" ht="18" thickBot="1" x14ac:dyDescent="0.35">
      <c r="H7" s="72" t="s">
        <v>156</v>
      </c>
      <c r="I7" s="73">
        <f>'General Information'!F6</f>
        <v>3.6666666666666665</v>
      </c>
      <c r="J7" s="74"/>
      <c r="K7" s="75"/>
    </row>
    <row r="8" spans="2:22" ht="15.75" thickBot="1" x14ac:dyDescent="0.3"/>
    <row r="9" spans="2:22" ht="15" customHeight="1" thickBot="1" x14ac:dyDescent="0.3">
      <c r="B9" s="362" t="s">
        <v>18</v>
      </c>
      <c r="C9" s="365" t="s">
        <v>19</v>
      </c>
      <c r="D9" s="371" t="s">
        <v>20</v>
      </c>
      <c r="E9" s="374" t="s">
        <v>21</v>
      </c>
      <c r="G9" s="377" t="s">
        <v>22</v>
      </c>
      <c r="H9" s="347"/>
      <c r="I9" s="347"/>
      <c r="J9" s="347"/>
      <c r="K9" s="347"/>
      <c r="L9" s="368"/>
    </row>
    <row r="10" spans="2:22" ht="15" customHeight="1" x14ac:dyDescent="0.25">
      <c r="B10" s="363"/>
      <c r="C10" s="366"/>
      <c r="D10" s="372"/>
      <c r="E10" s="375"/>
      <c r="G10" s="341" t="s">
        <v>23</v>
      </c>
      <c r="H10" s="344" t="s">
        <v>18</v>
      </c>
      <c r="I10" s="347" t="s">
        <v>24</v>
      </c>
      <c r="J10" s="347" t="s">
        <v>25</v>
      </c>
      <c r="K10" s="378" t="s">
        <v>26</v>
      </c>
      <c r="L10" s="368" t="s">
        <v>27</v>
      </c>
      <c r="N10" s="341" t="s">
        <v>18</v>
      </c>
      <c r="O10" s="359" t="s">
        <v>28</v>
      </c>
      <c r="P10" s="353" t="s">
        <v>29</v>
      </c>
      <c r="Q10" s="353" t="s">
        <v>134</v>
      </c>
      <c r="R10" s="353" t="s">
        <v>159</v>
      </c>
      <c r="S10" s="353" t="s">
        <v>133</v>
      </c>
      <c r="T10" s="353" t="s">
        <v>132</v>
      </c>
      <c r="U10" s="356" t="s">
        <v>131</v>
      </c>
      <c r="V10" s="341" t="s">
        <v>130</v>
      </c>
    </row>
    <row r="11" spans="2:22" ht="15.75" thickBot="1" x14ac:dyDescent="0.3">
      <c r="B11" s="364"/>
      <c r="C11" s="367"/>
      <c r="D11" s="373"/>
      <c r="E11" s="376"/>
      <c r="G11" s="342"/>
      <c r="H11" s="345"/>
      <c r="I11" s="348"/>
      <c r="J11" s="348"/>
      <c r="K11" s="379"/>
      <c r="L11" s="369"/>
      <c r="N11" s="342"/>
      <c r="O11" s="360"/>
      <c r="P11" s="354"/>
      <c r="Q11" s="354"/>
      <c r="R11" s="354"/>
      <c r="S11" s="354"/>
      <c r="T11" s="354"/>
      <c r="U11" s="357"/>
      <c r="V11" s="342"/>
    </row>
    <row r="12" spans="2:22" ht="15.75" thickBot="1" x14ac:dyDescent="0.3">
      <c r="B12" s="77">
        <v>2019</v>
      </c>
      <c r="C12" s="107">
        <f>('General Information'!$C$10*'General Information'!C11)</f>
        <v>135119.99999999994</v>
      </c>
      <c r="D12" s="45">
        <f t="shared" ref="D12:D17" si="0">C12*10%</f>
        <v>13511.999999999995</v>
      </c>
      <c r="E12" s="46">
        <f t="shared" ref="E12:E17" si="1">C12-D12</f>
        <v>121607.99999999994</v>
      </c>
      <c r="G12" s="343"/>
      <c r="H12" s="346"/>
      <c r="I12" s="349"/>
      <c r="J12" s="349"/>
      <c r="K12" s="380"/>
      <c r="L12" s="370"/>
      <c r="N12" s="343"/>
      <c r="O12" s="361"/>
      <c r="P12" s="355"/>
      <c r="Q12" s="355"/>
      <c r="R12" s="355"/>
      <c r="S12" s="355"/>
      <c r="T12" s="355"/>
      <c r="U12" s="358"/>
      <c r="V12" s="343"/>
    </row>
    <row r="13" spans="2:22" x14ac:dyDescent="0.25">
      <c r="B13" s="106">
        <v>2020</v>
      </c>
      <c r="C13" s="108">
        <v>0</v>
      </c>
      <c r="D13" s="58">
        <v>0</v>
      </c>
      <c r="E13" s="59">
        <f t="shared" si="1"/>
        <v>0</v>
      </c>
      <c r="G13" s="77">
        <v>1</v>
      </c>
      <c r="H13" s="103" t="s">
        <v>158</v>
      </c>
      <c r="I13" s="60">
        <f>I3</f>
        <v>6.46</v>
      </c>
      <c r="J13" s="61">
        <f>I4</f>
        <v>6.92</v>
      </c>
      <c r="K13" s="231">
        <f t="shared" ref="K13:K18" si="2">0.307*(I13^2.174)*J13</f>
        <v>122.65632944486175</v>
      </c>
      <c r="L13" s="62">
        <f>K13</f>
        <v>122.65632944486175</v>
      </c>
      <c r="N13" s="77">
        <v>1</v>
      </c>
      <c r="O13" s="80">
        <f>(L13*$E$12)/1000</f>
        <v>14915.990911130741</v>
      </c>
      <c r="P13" s="61">
        <f t="shared" ref="P13:P42" si="3">O13*$I$6</f>
        <v>3728.9977277826852</v>
      </c>
      <c r="Q13" s="61">
        <f>O13+P13</f>
        <v>18644.988638913426</v>
      </c>
      <c r="R13" s="61">
        <f t="shared" ref="R13:R42" si="4">Q13*$I$7*$K$3</f>
        <v>32131.530421060801</v>
      </c>
      <c r="S13" s="61">
        <f t="shared" ref="S13:S42" si="5">R13*$K$4</f>
        <v>0</v>
      </c>
      <c r="T13" s="61">
        <f t="shared" ref="T13:T42" si="6">R13*$K$5</f>
        <v>0</v>
      </c>
      <c r="U13" s="131">
        <f>R13+S13+T13</f>
        <v>32131.530421060801</v>
      </c>
      <c r="V13" s="134">
        <f>U13</f>
        <v>32131.530421060801</v>
      </c>
    </row>
    <row r="14" spans="2:22" x14ac:dyDescent="0.25">
      <c r="B14" s="78">
        <v>2021</v>
      </c>
      <c r="C14" s="109">
        <v>0</v>
      </c>
      <c r="D14" s="47">
        <f t="shared" si="0"/>
        <v>0</v>
      </c>
      <c r="E14" s="48">
        <f t="shared" si="1"/>
        <v>0</v>
      </c>
      <c r="G14" s="78">
        <v>2</v>
      </c>
      <c r="H14" s="104">
        <v>2</v>
      </c>
      <c r="I14" s="50">
        <f>I13</f>
        <v>6.46</v>
      </c>
      <c r="J14" s="51">
        <f t="shared" ref="J14:J17" si="7">J13+$I$4</f>
        <v>13.84</v>
      </c>
      <c r="K14" s="51">
        <f t="shared" si="2"/>
        <v>245.31265888972351</v>
      </c>
      <c r="L14" s="52">
        <f>K14-K13</f>
        <v>122.65632944486175</v>
      </c>
      <c r="N14" s="78">
        <f t="shared" ref="N14:N32" si="8">H14</f>
        <v>2</v>
      </c>
      <c r="O14" s="76">
        <f t="shared" ref="O14:O42" si="9">(L14*$E$12)/1000</f>
        <v>14915.990911130741</v>
      </c>
      <c r="P14" s="51">
        <f t="shared" si="3"/>
        <v>3728.9977277826852</v>
      </c>
      <c r="Q14" s="51">
        <f t="shared" ref="Q14:Q42" si="10">O14+P14</f>
        <v>18644.988638913426</v>
      </c>
      <c r="R14" s="53">
        <f t="shared" si="4"/>
        <v>32131.530421060801</v>
      </c>
      <c r="S14" s="53">
        <f t="shared" si="5"/>
        <v>0</v>
      </c>
      <c r="T14" s="53">
        <f t="shared" si="6"/>
        <v>0</v>
      </c>
      <c r="U14" s="132">
        <f t="shared" ref="U14:U42" si="11">R14+S14+T14</f>
        <v>32131.530421060801</v>
      </c>
      <c r="V14" s="135">
        <f>U14+V13</f>
        <v>64263.060842121602</v>
      </c>
    </row>
    <row r="15" spans="2:22" x14ac:dyDescent="0.25">
      <c r="B15" s="78">
        <v>2022</v>
      </c>
      <c r="C15" s="109">
        <v>0</v>
      </c>
      <c r="D15" s="47">
        <f t="shared" si="0"/>
        <v>0</v>
      </c>
      <c r="E15" s="48">
        <f t="shared" si="1"/>
        <v>0</v>
      </c>
      <c r="G15" s="78">
        <v>3</v>
      </c>
      <c r="H15" s="104">
        <v>3</v>
      </c>
      <c r="I15" s="50">
        <f>I14</f>
        <v>6.46</v>
      </c>
      <c r="J15" s="51">
        <f t="shared" si="7"/>
        <v>20.759999999999998</v>
      </c>
      <c r="K15" s="51">
        <f t="shared" si="2"/>
        <v>367.96898833458522</v>
      </c>
      <c r="L15" s="52">
        <f t="shared" ref="L15:L17" si="12">K15-K14</f>
        <v>122.65632944486171</v>
      </c>
      <c r="N15" s="78">
        <f t="shared" si="8"/>
        <v>3</v>
      </c>
      <c r="O15" s="76">
        <f t="shared" si="9"/>
        <v>14915.990911130735</v>
      </c>
      <c r="P15" s="51">
        <f t="shared" si="3"/>
        <v>3728.9977277826838</v>
      </c>
      <c r="Q15" s="51">
        <f t="shared" si="10"/>
        <v>18644.988638913419</v>
      </c>
      <c r="R15" s="53">
        <f t="shared" si="4"/>
        <v>32131.530421060786</v>
      </c>
      <c r="S15" s="53">
        <f t="shared" si="5"/>
        <v>0</v>
      </c>
      <c r="T15" s="53">
        <f t="shared" si="6"/>
        <v>0</v>
      </c>
      <c r="U15" s="132">
        <f t="shared" si="11"/>
        <v>32131.530421060786</v>
      </c>
      <c r="V15" s="135">
        <f t="shared" ref="V15:V42" si="13">U15+V14</f>
        <v>96394.591263182389</v>
      </c>
    </row>
    <row r="16" spans="2:22" x14ac:dyDescent="0.25">
      <c r="B16" s="78">
        <v>2023</v>
      </c>
      <c r="C16" s="109">
        <v>0</v>
      </c>
      <c r="D16" s="47">
        <f t="shared" si="0"/>
        <v>0</v>
      </c>
      <c r="E16" s="48">
        <f t="shared" si="1"/>
        <v>0</v>
      </c>
      <c r="G16" s="78">
        <v>4</v>
      </c>
      <c r="H16" s="104">
        <v>4</v>
      </c>
      <c r="I16" s="50">
        <f t="shared" ref="I16:J31" si="14">I15</f>
        <v>6.46</v>
      </c>
      <c r="J16" s="51">
        <f t="shared" si="7"/>
        <v>27.68</v>
      </c>
      <c r="K16" s="51">
        <f t="shared" si="2"/>
        <v>490.62531777944702</v>
      </c>
      <c r="L16" s="52">
        <f t="shared" si="12"/>
        <v>122.6563294448618</v>
      </c>
      <c r="N16" s="78">
        <f t="shared" si="8"/>
        <v>4</v>
      </c>
      <c r="O16" s="76">
        <f t="shared" si="9"/>
        <v>14915.990911130746</v>
      </c>
      <c r="P16" s="51">
        <f t="shared" si="3"/>
        <v>3728.9977277826865</v>
      </c>
      <c r="Q16" s="51">
        <f t="shared" si="10"/>
        <v>18644.988638913434</v>
      </c>
      <c r="R16" s="53">
        <f t="shared" si="4"/>
        <v>32131.530421060812</v>
      </c>
      <c r="S16" s="53">
        <f t="shared" si="5"/>
        <v>0</v>
      </c>
      <c r="T16" s="53">
        <f t="shared" si="6"/>
        <v>0</v>
      </c>
      <c r="U16" s="132">
        <f t="shared" si="11"/>
        <v>32131.530421060812</v>
      </c>
      <c r="V16" s="135">
        <f t="shared" si="13"/>
        <v>128526.1216842432</v>
      </c>
    </row>
    <row r="17" spans="2:22" x14ac:dyDescent="0.25">
      <c r="B17" s="78">
        <v>2024</v>
      </c>
      <c r="C17" s="109">
        <v>0</v>
      </c>
      <c r="D17" s="47">
        <f t="shared" si="0"/>
        <v>0</v>
      </c>
      <c r="E17" s="48">
        <f t="shared" si="1"/>
        <v>0</v>
      </c>
      <c r="G17" s="78">
        <v>5</v>
      </c>
      <c r="H17" s="104">
        <v>5</v>
      </c>
      <c r="I17" s="50">
        <f t="shared" si="14"/>
        <v>6.46</v>
      </c>
      <c r="J17" s="51">
        <f t="shared" si="7"/>
        <v>34.6</v>
      </c>
      <c r="K17" s="51">
        <f t="shared" si="2"/>
        <v>613.28164722430881</v>
      </c>
      <c r="L17" s="52">
        <f t="shared" si="12"/>
        <v>122.6563294448618</v>
      </c>
      <c r="N17" s="78">
        <f t="shared" si="8"/>
        <v>5</v>
      </c>
      <c r="O17" s="76">
        <f t="shared" si="9"/>
        <v>14915.990911130746</v>
      </c>
      <c r="P17" s="51">
        <f t="shared" si="3"/>
        <v>3728.9977277826865</v>
      </c>
      <c r="Q17" s="51">
        <f t="shared" si="10"/>
        <v>18644.988638913434</v>
      </c>
      <c r="R17" s="53">
        <f t="shared" si="4"/>
        <v>32131.530421060812</v>
      </c>
      <c r="S17" s="53">
        <f t="shared" si="5"/>
        <v>0</v>
      </c>
      <c r="T17" s="53">
        <f t="shared" si="6"/>
        <v>0</v>
      </c>
      <c r="U17" s="132">
        <f t="shared" si="11"/>
        <v>32131.530421060812</v>
      </c>
      <c r="V17" s="135">
        <f t="shared" si="13"/>
        <v>160657.65210530401</v>
      </c>
    </row>
    <row r="18" spans="2:22" x14ac:dyDescent="0.25">
      <c r="B18" s="78">
        <v>2025</v>
      </c>
      <c r="C18" s="104">
        <v>0</v>
      </c>
      <c r="D18" s="49">
        <v>0</v>
      </c>
      <c r="E18" s="54">
        <v>0</v>
      </c>
      <c r="G18" s="78">
        <v>6</v>
      </c>
      <c r="H18" s="104">
        <v>6</v>
      </c>
      <c r="I18" s="50">
        <f t="shared" si="14"/>
        <v>6.46</v>
      </c>
      <c r="J18" s="51">
        <f>J17+$I$4</f>
        <v>41.52</v>
      </c>
      <c r="K18" s="51">
        <f t="shared" si="2"/>
        <v>735.93797666917055</v>
      </c>
      <c r="L18" s="52">
        <f>(K18-K17)*(1-$K$6)</f>
        <v>98.125063555889398</v>
      </c>
      <c r="N18" s="78">
        <f t="shared" si="8"/>
        <v>6</v>
      </c>
      <c r="O18" s="76">
        <f t="shared" si="9"/>
        <v>11932.792728904591</v>
      </c>
      <c r="P18" s="51">
        <f t="shared" si="3"/>
        <v>2983.1981822261478</v>
      </c>
      <c r="Q18" s="51">
        <f t="shared" si="10"/>
        <v>14915.990911130739</v>
      </c>
      <c r="R18" s="53">
        <f t="shared" si="4"/>
        <v>25705.224336848638</v>
      </c>
      <c r="S18" s="53">
        <f t="shared" si="5"/>
        <v>0</v>
      </c>
      <c r="T18" s="53">
        <f t="shared" si="6"/>
        <v>0</v>
      </c>
      <c r="U18" s="132">
        <f t="shared" si="11"/>
        <v>25705.224336848638</v>
      </c>
      <c r="V18" s="135">
        <f t="shared" si="13"/>
        <v>186362.87644215266</v>
      </c>
    </row>
    <row r="19" spans="2:22" x14ac:dyDescent="0.25">
      <c r="B19" s="78">
        <v>2026</v>
      </c>
      <c r="C19" s="104">
        <v>0</v>
      </c>
      <c r="D19" s="49">
        <f t="shared" ref="D19:D30" si="15">C19*10%</f>
        <v>0</v>
      </c>
      <c r="E19" s="54">
        <f t="shared" ref="E19:E30" si="16">C19-D19</f>
        <v>0</v>
      </c>
      <c r="G19" s="78">
        <v>7</v>
      </c>
      <c r="H19" s="104">
        <v>7</v>
      </c>
      <c r="I19" s="50">
        <f t="shared" si="14"/>
        <v>6.46</v>
      </c>
      <c r="J19" s="51">
        <f>J18</f>
        <v>41.52</v>
      </c>
      <c r="K19" s="51">
        <f t="shared" ref="K19:K42" si="17">0.307*(I19^2.174)*J19</f>
        <v>735.93797666917055</v>
      </c>
      <c r="L19" s="52">
        <f t="shared" ref="L19:L42" si="18">(K19-K18)*(1-$K$6)</f>
        <v>0</v>
      </c>
      <c r="N19" s="78">
        <f t="shared" si="8"/>
        <v>7</v>
      </c>
      <c r="O19" s="76">
        <f t="shared" si="9"/>
        <v>0</v>
      </c>
      <c r="P19" s="51">
        <f t="shared" si="3"/>
        <v>0</v>
      </c>
      <c r="Q19" s="51">
        <f t="shared" si="10"/>
        <v>0</v>
      </c>
      <c r="R19" s="53">
        <f t="shared" si="4"/>
        <v>0</v>
      </c>
      <c r="S19" s="53">
        <f t="shared" si="5"/>
        <v>0</v>
      </c>
      <c r="T19" s="53">
        <f t="shared" si="6"/>
        <v>0</v>
      </c>
      <c r="U19" s="132">
        <f t="shared" si="11"/>
        <v>0</v>
      </c>
      <c r="V19" s="135">
        <f t="shared" si="13"/>
        <v>186362.87644215266</v>
      </c>
    </row>
    <row r="20" spans="2:22" x14ac:dyDescent="0.25">
      <c r="B20" s="78">
        <v>2027</v>
      </c>
      <c r="C20" s="104">
        <v>0</v>
      </c>
      <c r="D20" s="49">
        <f t="shared" si="15"/>
        <v>0</v>
      </c>
      <c r="E20" s="54">
        <f t="shared" si="16"/>
        <v>0</v>
      </c>
      <c r="G20" s="78">
        <v>8</v>
      </c>
      <c r="H20" s="104">
        <v>8</v>
      </c>
      <c r="I20" s="50">
        <f t="shared" si="14"/>
        <v>6.46</v>
      </c>
      <c r="J20" s="51">
        <f t="shared" si="14"/>
        <v>41.52</v>
      </c>
      <c r="K20" s="51">
        <f t="shared" si="17"/>
        <v>735.93797666917055</v>
      </c>
      <c r="L20" s="52">
        <f t="shared" si="18"/>
        <v>0</v>
      </c>
      <c r="N20" s="78">
        <f t="shared" si="8"/>
        <v>8</v>
      </c>
      <c r="O20" s="76">
        <f t="shared" si="9"/>
        <v>0</v>
      </c>
      <c r="P20" s="51">
        <f t="shared" si="3"/>
        <v>0</v>
      </c>
      <c r="Q20" s="51">
        <f t="shared" si="10"/>
        <v>0</v>
      </c>
      <c r="R20" s="53">
        <f t="shared" si="4"/>
        <v>0</v>
      </c>
      <c r="S20" s="53">
        <f t="shared" si="5"/>
        <v>0</v>
      </c>
      <c r="T20" s="53">
        <f t="shared" si="6"/>
        <v>0</v>
      </c>
      <c r="U20" s="132">
        <f t="shared" si="11"/>
        <v>0</v>
      </c>
      <c r="V20" s="135">
        <f t="shared" si="13"/>
        <v>186362.87644215266</v>
      </c>
    </row>
    <row r="21" spans="2:22" x14ac:dyDescent="0.25">
      <c r="B21" s="78">
        <v>2028</v>
      </c>
      <c r="C21" s="104">
        <v>0</v>
      </c>
      <c r="D21" s="49">
        <f t="shared" si="15"/>
        <v>0</v>
      </c>
      <c r="E21" s="54">
        <f t="shared" si="16"/>
        <v>0</v>
      </c>
      <c r="G21" s="78">
        <v>9</v>
      </c>
      <c r="H21" s="104">
        <v>9</v>
      </c>
      <c r="I21" s="50">
        <f t="shared" si="14"/>
        <v>6.46</v>
      </c>
      <c r="J21" s="51">
        <f t="shared" si="14"/>
        <v>41.52</v>
      </c>
      <c r="K21" s="51">
        <f t="shared" si="17"/>
        <v>735.93797666917055</v>
      </c>
      <c r="L21" s="52">
        <f t="shared" si="18"/>
        <v>0</v>
      </c>
      <c r="N21" s="78">
        <f t="shared" si="8"/>
        <v>9</v>
      </c>
      <c r="O21" s="76">
        <f t="shared" si="9"/>
        <v>0</v>
      </c>
      <c r="P21" s="51">
        <f t="shared" si="3"/>
        <v>0</v>
      </c>
      <c r="Q21" s="51">
        <f t="shared" si="10"/>
        <v>0</v>
      </c>
      <c r="R21" s="53">
        <f t="shared" si="4"/>
        <v>0</v>
      </c>
      <c r="S21" s="53">
        <f t="shared" si="5"/>
        <v>0</v>
      </c>
      <c r="T21" s="53">
        <f t="shared" si="6"/>
        <v>0</v>
      </c>
      <c r="U21" s="132">
        <f t="shared" si="11"/>
        <v>0</v>
      </c>
      <c r="V21" s="135">
        <f t="shared" si="13"/>
        <v>186362.87644215266</v>
      </c>
    </row>
    <row r="22" spans="2:22" x14ac:dyDescent="0.25">
      <c r="B22" s="78">
        <v>2029</v>
      </c>
      <c r="C22" s="104">
        <v>0</v>
      </c>
      <c r="D22" s="49">
        <f t="shared" si="15"/>
        <v>0</v>
      </c>
      <c r="E22" s="54">
        <f t="shared" si="16"/>
        <v>0</v>
      </c>
      <c r="G22" s="78">
        <v>10</v>
      </c>
      <c r="H22" s="104">
        <v>10</v>
      </c>
      <c r="I22" s="50">
        <f t="shared" si="14"/>
        <v>6.46</v>
      </c>
      <c r="J22" s="51">
        <f t="shared" si="14"/>
        <v>41.52</v>
      </c>
      <c r="K22" s="51">
        <f t="shared" si="17"/>
        <v>735.93797666917055</v>
      </c>
      <c r="L22" s="52">
        <f t="shared" si="18"/>
        <v>0</v>
      </c>
      <c r="N22" s="78">
        <f t="shared" si="8"/>
        <v>10</v>
      </c>
      <c r="O22" s="76">
        <f t="shared" si="9"/>
        <v>0</v>
      </c>
      <c r="P22" s="51">
        <f t="shared" si="3"/>
        <v>0</v>
      </c>
      <c r="Q22" s="51">
        <f t="shared" si="10"/>
        <v>0</v>
      </c>
      <c r="R22" s="53">
        <f t="shared" si="4"/>
        <v>0</v>
      </c>
      <c r="S22" s="53">
        <f t="shared" si="5"/>
        <v>0</v>
      </c>
      <c r="T22" s="53">
        <f t="shared" si="6"/>
        <v>0</v>
      </c>
      <c r="U22" s="132">
        <f t="shared" si="11"/>
        <v>0</v>
      </c>
      <c r="V22" s="135">
        <f t="shared" si="13"/>
        <v>186362.87644215266</v>
      </c>
    </row>
    <row r="23" spans="2:22" x14ac:dyDescent="0.25">
      <c r="B23" s="78">
        <v>2030</v>
      </c>
      <c r="C23" s="104">
        <v>0</v>
      </c>
      <c r="D23" s="49">
        <f t="shared" si="15"/>
        <v>0</v>
      </c>
      <c r="E23" s="54">
        <f t="shared" si="16"/>
        <v>0</v>
      </c>
      <c r="G23" s="78">
        <v>11</v>
      </c>
      <c r="H23" s="104">
        <v>11</v>
      </c>
      <c r="I23" s="50">
        <f t="shared" si="14"/>
        <v>6.46</v>
      </c>
      <c r="J23" s="51">
        <f t="shared" si="14"/>
        <v>41.52</v>
      </c>
      <c r="K23" s="51">
        <f t="shared" si="17"/>
        <v>735.93797666917055</v>
      </c>
      <c r="L23" s="52">
        <f t="shared" si="18"/>
        <v>0</v>
      </c>
      <c r="N23" s="78">
        <f t="shared" si="8"/>
        <v>11</v>
      </c>
      <c r="O23" s="76">
        <f t="shared" si="9"/>
        <v>0</v>
      </c>
      <c r="P23" s="51">
        <f t="shared" si="3"/>
        <v>0</v>
      </c>
      <c r="Q23" s="51">
        <f t="shared" si="10"/>
        <v>0</v>
      </c>
      <c r="R23" s="53">
        <f t="shared" si="4"/>
        <v>0</v>
      </c>
      <c r="S23" s="53">
        <f t="shared" si="5"/>
        <v>0</v>
      </c>
      <c r="T23" s="53">
        <f t="shared" si="6"/>
        <v>0</v>
      </c>
      <c r="U23" s="132">
        <f t="shared" si="11"/>
        <v>0</v>
      </c>
      <c r="V23" s="135">
        <f t="shared" si="13"/>
        <v>186362.87644215266</v>
      </c>
    </row>
    <row r="24" spans="2:22" x14ac:dyDescent="0.25">
      <c r="B24" s="78">
        <v>2031</v>
      </c>
      <c r="C24" s="104">
        <v>0</v>
      </c>
      <c r="D24" s="49">
        <f t="shared" si="15"/>
        <v>0</v>
      </c>
      <c r="E24" s="54">
        <f t="shared" si="16"/>
        <v>0</v>
      </c>
      <c r="G24" s="78">
        <v>12</v>
      </c>
      <c r="H24" s="104">
        <v>12</v>
      </c>
      <c r="I24" s="50">
        <f t="shared" si="14"/>
        <v>6.46</v>
      </c>
      <c r="J24" s="51">
        <f t="shared" si="14"/>
        <v>41.52</v>
      </c>
      <c r="K24" s="51">
        <f t="shared" si="17"/>
        <v>735.93797666917055</v>
      </c>
      <c r="L24" s="52">
        <f t="shared" si="18"/>
        <v>0</v>
      </c>
      <c r="N24" s="78">
        <f t="shared" si="8"/>
        <v>12</v>
      </c>
      <c r="O24" s="76">
        <f t="shared" si="9"/>
        <v>0</v>
      </c>
      <c r="P24" s="51">
        <f t="shared" si="3"/>
        <v>0</v>
      </c>
      <c r="Q24" s="51">
        <f t="shared" si="10"/>
        <v>0</v>
      </c>
      <c r="R24" s="53">
        <f t="shared" si="4"/>
        <v>0</v>
      </c>
      <c r="S24" s="53">
        <f t="shared" si="5"/>
        <v>0</v>
      </c>
      <c r="T24" s="53">
        <f t="shared" si="6"/>
        <v>0</v>
      </c>
      <c r="U24" s="132">
        <f t="shared" si="11"/>
        <v>0</v>
      </c>
      <c r="V24" s="135">
        <f t="shared" si="13"/>
        <v>186362.87644215266</v>
      </c>
    </row>
    <row r="25" spans="2:22" x14ac:dyDescent="0.25">
      <c r="B25" s="78">
        <v>2032</v>
      </c>
      <c r="C25" s="104">
        <v>0</v>
      </c>
      <c r="D25" s="49">
        <f t="shared" si="15"/>
        <v>0</v>
      </c>
      <c r="E25" s="54">
        <f t="shared" si="16"/>
        <v>0</v>
      </c>
      <c r="G25" s="78">
        <v>13</v>
      </c>
      <c r="H25" s="104">
        <v>13</v>
      </c>
      <c r="I25" s="50">
        <f t="shared" si="14"/>
        <v>6.46</v>
      </c>
      <c r="J25" s="51">
        <f t="shared" si="14"/>
        <v>41.52</v>
      </c>
      <c r="K25" s="51">
        <f t="shared" si="17"/>
        <v>735.93797666917055</v>
      </c>
      <c r="L25" s="52">
        <f t="shared" si="18"/>
        <v>0</v>
      </c>
      <c r="N25" s="78">
        <f t="shared" si="8"/>
        <v>13</v>
      </c>
      <c r="O25" s="76">
        <f t="shared" si="9"/>
        <v>0</v>
      </c>
      <c r="P25" s="51">
        <f t="shared" si="3"/>
        <v>0</v>
      </c>
      <c r="Q25" s="51">
        <f t="shared" si="10"/>
        <v>0</v>
      </c>
      <c r="R25" s="53">
        <f t="shared" si="4"/>
        <v>0</v>
      </c>
      <c r="S25" s="53">
        <f t="shared" si="5"/>
        <v>0</v>
      </c>
      <c r="T25" s="53">
        <f t="shared" si="6"/>
        <v>0</v>
      </c>
      <c r="U25" s="132">
        <f t="shared" si="11"/>
        <v>0</v>
      </c>
      <c r="V25" s="135">
        <f t="shared" si="13"/>
        <v>186362.87644215266</v>
      </c>
    </row>
    <row r="26" spans="2:22" x14ac:dyDescent="0.25">
      <c r="B26" s="78">
        <v>2033</v>
      </c>
      <c r="C26" s="104">
        <v>0</v>
      </c>
      <c r="D26" s="49">
        <f t="shared" si="15"/>
        <v>0</v>
      </c>
      <c r="E26" s="54">
        <f t="shared" si="16"/>
        <v>0</v>
      </c>
      <c r="G26" s="78">
        <v>14</v>
      </c>
      <c r="H26" s="104">
        <v>14</v>
      </c>
      <c r="I26" s="50">
        <f t="shared" si="14"/>
        <v>6.46</v>
      </c>
      <c r="J26" s="51">
        <f t="shared" si="14"/>
        <v>41.52</v>
      </c>
      <c r="K26" s="51">
        <f t="shared" si="17"/>
        <v>735.93797666917055</v>
      </c>
      <c r="L26" s="52">
        <f t="shared" si="18"/>
        <v>0</v>
      </c>
      <c r="N26" s="78">
        <f t="shared" si="8"/>
        <v>14</v>
      </c>
      <c r="O26" s="76">
        <f t="shared" si="9"/>
        <v>0</v>
      </c>
      <c r="P26" s="51">
        <f t="shared" si="3"/>
        <v>0</v>
      </c>
      <c r="Q26" s="51">
        <f t="shared" si="10"/>
        <v>0</v>
      </c>
      <c r="R26" s="53">
        <f t="shared" si="4"/>
        <v>0</v>
      </c>
      <c r="S26" s="53">
        <f t="shared" si="5"/>
        <v>0</v>
      </c>
      <c r="T26" s="53">
        <f t="shared" si="6"/>
        <v>0</v>
      </c>
      <c r="U26" s="132">
        <f t="shared" si="11"/>
        <v>0</v>
      </c>
      <c r="V26" s="135">
        <f t="shared" si="13"/>
        <v>186362.87644215266</v>
      </c>
    </row>
    <row r="27" spans="2:22" x14ac:dyDescent="0.25">
      <c r="B27" s="78">
        <v>2034</v>
      </c>
      <c r="C27" s="104">
        <v>0</v>
      </c>
      <c r="D27" s="49">
        <f t="shared" si="15"/>
        <v>0</v>
      </c>
      <c r="E27" s="54">
        <f t="shared" si="16"/>
        <v>0</v>
      </c>
      <c r="G27" s="78">
        <v>15</v>
      </c>
      <c r="H27" s="104">
        <v>15</v>
      </c>
      <c r="I27" s="50">
        <f t="shared" si="14"/>
        <v>6.46</v>
      </c>
      <c r="J27" s="51">
        <f t="shared" si="14"/>
        <v>41.52</v>
      </c>
      <c r="K27" s="51">
        <f t="shared" si="17"/>
        <v>735.93797666917055</v>
      </c>
      <c r="L27" s="52">
        <f t="shared" si="18"/>
        <v>0</v>
      </c>
      <c r="N27" s="78">
        <f t="shared" si="8"/>
        <v>15</v>
      </c>
      <c r="O27" s="76">
        <f t="shared" si="9"/>
        <v>0</v>
      </c>
      <c r="P27" s="51">
        <f t="shared" si="3"/>
        <v>0</v>
      </c>
      <c r="Q27" s="51">
        <f t="shared" si="10"/>
        <v>0</v>
      </c>
      <c r="R27" s="53">
        <f t="shared" si="4"/>
        <v>0</v>
      </c>
      <c r="S27" s="53">
        <f t="shared" si="5"/>
        <v>0</v>
      </c>
      <c r="T27" s="53">
        <f t="shared" si="6"/>
        <v>0</v>
      </c>
      <c r="U27" s="132">
        <f t="shared" si="11"/>
        <v>0</v>
      </c>
      <c r="V27" s="135">
        <f t="shared" si="13"/>
        <v>186362.87644215266</v>
      </c>
    </row>
    <row r="28" spans="2:22" x14ac:dyDescent="0.25">
      <c r="B28" s="78">
        <v>2035</v>
      </c>
      <c r="C28" s="104">
        <v>0</v>
      </c>
      <c r="D28" s="49">
        <f t="shared" si="15"/>
        <v>0</v>
      </c>
      <c r="E28" s="54">
        <f t="shared" si="16"/>
        <v>0</v>
      </c>
      <c r="G28" s="78">
        <v>16</v>
      </c>
      <c r="H28" s="104">
        <v>16</v>
      </c>
      <c r="I28" s="50">
        <f t="shared" si="14"/>
        <v>6.46</v>
      </c>
      <c r="J28" s="51">
        <f t="shared" si="14"/>
        <v>41.52</v>
      </c>
      <c r="K28" s="51">
        <f t="shared" si="17"/>
        <v>735.93797666917055</v>
      </c>
      <c r="L28" s="52">
        <f t="shared" si="18"/>
        <v>0</v>
      </c>
      <c r="N28" s="78">
        <f t="shared" si="8"/>
        <v>16</v>
      </c>
      <c r="O28" s="76">
        <f t="shared" si="9"/>
        <v>0</v>
      </c>
      <c r="P28" s="51">
        <f t="shared" si="3"/>
        <v>0</v>
      </c>
      <c r="Q28" s="51">
        <f t="shared" si="10"/>
        <v>0</v>
      </c>
      <c r="R28" s="53">
        <f t="shared" si="4"/>
        <v>0</v>
      </c>
      <c r="S28" s="53">
        <f t="shared" si="5"/>
        <v>0</v>
      </c>
      <c r="T28" s="53">
        <f t="shared" si="6"/>
        <v>0</v>
      </c>
      <c r="U28" s="132">
        <f t="shared" si="11"/>
        <v>0</v>
      </c>
      <c r="V28" s="135">
        <f t="shared" si="13"/>
        <v>186362.87644215266</v>
      </c>
    </row>
    <row r="29" spans="2:22" x14ac:dyDescent="0.25">
      <c r="B29" s="78">
        <v>2036</v>
      </c>
      <c r="C29" s="104">
        <v>0</v>
      </c>
      <c r="D29" s="49">
        <f t="shared" si="15"/>
        <v>0</v>
      </c>
      <c r="E29" s="54">
        <f t="shared" si="16"/>
        <v>0</v>
      </c>
      <c r="G29" s="129">
        <v>17</v>
      </c>
      <c r="H29" s="104">
        <v>17</v>
      </c>
      <c r="I29" s="50">
        <f t="shared" si="14"/>
        <v>6.46</v>
      </c>
      <c r="J29" s="51">
        <f t="shared" si="14"/>
        <v>41.52</v>
      </c>
      <c r="K29" s="51">
        <f t="shared" si="17"/>
        <v>735.93797666917055</v>
      </c>
      <c r="L29" s="52">
        <f t="shared" si="18"/>
        <v>0</v>
      </c>
      <c r="N29" s="78">
        <f t="shared" si="8"/>
        <v>17</v>
      </c>
      <c r="O29" s="76">
        <f t="shared" si="9"/>
        <v>0</v>
      </c>
      <c r="P29" s="51">
        <f t="shared" si="3"/>
        <v>0</v>
      </c>
      <c r="Q29" s="51">
        <f t="shared" si="10"/>
        <v>0</v>
      </c>
      <c r="R29" s="53">
        <f t="shared" si="4"/>
        <v>0</v>
      </c>
      <c r="S29" s="53">
        <f t="shared" si="5"/>
        <v>0</v>
      </c>
      <c r="T29" s="53">
        <f t="shared" si="6"/>
        <v>0</v>
      </c>
      <c r="U29" s="132">
        <f t="shared" si="11"/>
        <v>0</v>
      </c>
      <c r="V29" s="135">
        <f>U29+V28</f>
        <v>186362.87644215266</v>
      </c>
    </row>
    <row r="30" spans="2:22" x14ac:dyDescent="0.25">
      <c r="B30" s="78">
        <v>2037</v>
      </c>
      <c r="C30" s="104">
        <v>0</v>
      </c>
      <c r="D30" s="49">
        <f t="shared" si="15"/>
        <v>0</v>
      </c>
      <c r="E30" s="54">
        <f t="shared" si="16"/>
        <v>0</v>
      </c>
      <c r="G30" s="78">
        <v>18</v>
      </c>
      <c r="H30" s="104">
        <v>18</v>
      </c>
      <c r="I30" s="50">
        <f t="shared" si="14"/>
        <v>6.46</v>
      </c>
      <c r="J30" s="51">
        <f t="shared" si="14"/>
        <v>41.52</v>
      </c>
      <c r="K30" s="51">
        <f t="shared" si="17"/>
        <v>735.93797666917055</v>
      </c>
      <c r="L30" s="52">
        <f t="shared" si="18"/>
        <v>0</v>
      </c>
      <c r="N30" s="78">
        <f t="shared" si="8"/>
        <v>18</v>
      </c>
      <c r="O30" s="76">
        <f t="shared" si="9"/>
        <v>0</v>
      </c>
      <c r="P30" s="51">
        <f t="shared" si="3"/>
        <v>0</v>
      </c>
      <c r="Q30" s="51">
        <f t="shared" si="10"/>
        <v>0</v>
      </c>
      <c r="R30" s="53">
        <f t="shared" si="4"/>
        <v>0</v>
      </c>
      <c r="S30" s="53">
        <f t="shared" si="5"/>
        <v>0</v>
      </c>
      <c r="T30" s="53">
        <f t="shared" si="6"/>
        <v>0</v>
      </c>
      <c r="U30" s="132">
        <f t="shared" si="11"/>
        <v>0</v>
      </c>
      <c r="V30" s="135">
        <f>U30+V29</f>
        <v>186362.87644215266</v>
      </c>
    </row>
    <row r="31" spans="2:22" x14ac:dyDescent="0.25">
      <c r="B31" s="78">
        <v>2038</v>
      </c>
      <c r="C31" s="104">
        <v>0</v>
      </c>
      <c r="D31" s="49">
        <v>0</v>
      </c>
      <c r="E31" s="54">
        <v>0</v>
      </c>
      <c r="G31" s="78">
        <v>19</v>
      </c>
      <c r="H31" s="104">
        <v>19</v>
      </c>
      <c r="I31" s="50">
        <f t="shared" si="14"/>
        <v>6.46</v>
      </c>
      <c r="J31" s="51">
        <f t="shared" si="14"/>
        <v>41.52</v>
      </c>
      <c r="K31" s="51">
        <f t="shared" si="17"/>
        <v>735.93797666917055</v>
      </c>
      <c r="L31" s="52">
        <f t="shared" si="18"/>
        <v>0</v>
      </c>
      <c r="N31" s="78">
        <f t="shared" si="8"/>
        <v>19</v>
      </c>
      <c r="O31" s="76">
        <f t="shared" si="9"/>
        <v>0</v>
      </c>
      <c r="P31" s="51">
        <f t="shared" si="3"/>
        <v>0</v>
      </c>
      <c r="Q31" s="51">
        <f t="shared" si="10"/>
        <v>0</v>
      </c>
      <c r="R31" s="53">
        <f t="shared" si="4"/>
        <v>0</v>
      </c>
      <c r="S31" s="53">
        <f t="shared" si="5"/>
        <v>0</v>
      </c>
      <c r="T31" s="53">
        <f t="shared" si="6"/>
        <v>0</v>
      </c>
      <c r="U31" s="132">
        <f t="shared" si="11"/>
        <v>0</v>
      </c>
      <c r="V31" s="135">
        <f t="shared" si="13"/>
        <v>186362.87644215266</v>
      </c>
    </row>
    <row r="32" spans="2:22" x14ac:dyDescent="0.25">
      <c r="B32" s="78">
        <v>2039</v>
      </c>
      <c r="C32" s="104">
        <v>0</v>
      </c>
      <c r="D32" s="49">
        <v>0</v>
      </c>
      <c r="E32" s="54">
        <v>0</v>
      </c>
      <c r="G32" s="78">
        <v>20</v>
      </c>
      <c r="H32" s="104">
        <v>20</v>
      </c>
      <c r="I32" s="50">
        <f t="shared" ref="I32:J42" si="19">I31</f>
        <v>6.46</v>
      </c>
      <c r="J32" s="51">
        <f t="shared" si="19"/>
        <v>41.52</v>
      </c>
      <c r="K32" s="51">
        <f t="shared" si="17"/>
        <v>735.93797666917055</v>
      </c>
      <c r="L32" s="52">
        <f t="shared" si="18"/>
        <v>0</v>
      </c>
      <c r="N32" s="78">
        <f t="shared" si="8"/>
        <v>20</v>
      </c>
      <c r="O32" s="76">
        <f t="shared" si="9"/>
        <v>0</v>
      </c>
      <c r="P32" s="51">
        <f t="shared" si="3"/>
        <v>0</v>
      </c>
      <c r="Q32" s="51">
        <f t="shared" si="10"/>
        <v>0</v>
      </c>
      <c r="R32" s="53">
        <f t="shared" si="4"/>
        <v>0</v>
      </c>
      <c r="S32" s="53">
        <f t="shared" si="5"/>
        <v>0</v>
      </c>
      <c r="T32" s="53">
        <f t="shared" si="6"/>
        <v>0</v>
      </c>
      <c r="U32" s="132">
        <f t="shared" si="11"/>
        <v>0</v>
      </c>
      <c r="V32" s="135">
        <f t="shared" si="13"/>
        <v>186362.87644215266</v>
      </c>
    </row>
    <row r="33" spans="2:22" x14ac:dyDescent="0.25">
      <c r="B33" s="78">
        <v>2040</v>
      </c>
      <c r="C33" s="104">
        <v>0</v>
      </c>
      <c r="D33" s="49">
        <v>0</v>
      </c>
      <c r="E33" s="54">
        <v>0</v>
      </c>
      <c r="G33" s="78">
        <v>21</v>
      </c>
      <c r="H33" s="104">
        <v>21</v>
      </c>
      <c r="I33" s="50">
        <f t="shared" si="19"/>
        <v>6.46</v>
      </c>
      <c r="J33" s="51">
        <f t="shared" si="19"/>
        <v>41.52</v>
      </c>
      <c r="K33" s="51">
        <f t="shared" si="17"/>
        <v>735.93797666917055</v>
      </c>
      <c r="L33" s="52">
        <f t="shared" si="18"/>
        <v>0</v>
      </c>
      <c r="N33" s="78">
        <f t="shared" ref="N33:N41" si="20">H33</f>
        <v>21</v>
      </c>
      <c r="O33" s="76">
        <f t="shared" si="9"/>
        <v>0</v>
      </c>
      <c r="P33" s="51">
        <f t="shared" si="3"/>
        <v>0</v>
      </c>
      <c r="Q33" s="51">
        <f t="shared" si="10"/>
        <v>0</v>
      </c>
      <c r="R33" s="53">
        <f t="shared" si="4"/>
        <v>0</v>
      </c>
      <c r="S33" s="53">
        <f t="shared" si="5"/>
        <v>0</v>
      </c>
      <c r="T33" s="53">
        <f t="shared" si="6"/>
        <v>0</v>
      </c>
      <c r="U33" s="132">
        <f t="shared" si="11"/>
        <v>0</v>
      </c>
      <c r="V33" s="135">
        <f t="shared" si="13"/>
        <v>186362.87644215266</v>
      </c>
    </row>
    <row r="34" spans="2:22" x14ac:dyDescent="0.25">
      <c r="B34" s="78">
        <v>2041</v>
      </c>
      <c r="C34" s="104">
        <v>0</v>
      </c>
      <c r="D34" s="49">
        <v>0</v>
      </c>
      <c r="E34" s="54">
        <v>0</v>
      </c>
      <c r="G34" s="78">
        <v>22</v>
      </c>
      <c r="H34" s="104">
        <v>22</v>
      </c>
      <c r="I34" s="50">
        <f t="shared" si="19"/>
        <v>6.46</v>
      </c>
      <c r="J34" s="51">
        <f t="shared" si="19"/>
        <v>41.52</v>
      </c>
      <c r="K34" s="51">
        <f t="shared" si="17"/>
        <v>735.93797666917055</v>
      </c>
      <c r="L34" s="52">
        <f t="shared" si="18"/>
        <v>0</v>
      </c>
      <c r="N34" s="78">
        <f t="shared" si="20"/>
        <v>22</v>
      </c>
      <c r="O34" s="76">
        <f t="shared" si="9"/>
        <v>0</v>
      </c>
      <c r="P34" s="51">
        <f t="shared" si="3"/>
        <v>0</v>
      </c>
      <c r="Q34" s="51">
        <f t="shared" si="10"/>
        <v>0</v>
      </c>
      <c r="R34" s="53">
        <f t="shared" si="4"/>
        <v>0</v>
      </c>
      <c r="S34" s="53">
        <f t="shared" si="5"/>
        <v>0</v>
      </c>
      <c r="T34" s="53">
        <f t="shared" si="6"/>
        <v>0</v>
      </c>
      <c r="U34" s="132">
        <f t="shared" si="11"/>
        <v>0</v>
      </c>
      <c r="V34" s="135">
        <f t="shared" si="13"/>
        <v>186362.87644215266</v>
      </c>
    </row>
    <row r="35" spans="2:22" x14ac:dyDescent="0.25">
      <c r="B35" s="78">
        <v>2042</v>
      </c>
      <c r="C35" s="104">
        <v>0</v>
      </c>
      <c r="D35" s="49">
        <v>0</v>
      </c>
      <c r="E35" s="54">
        <v>0</v>
      </c>
      <c r="G35" s="78">
        <v>23</v>
      </c>
      <c r="H35" s="104">
        <v>23</v>
      </c>
      <c r="I35" s="50">
        <f t="shared" si="19"/>
        <v>6.46</v>
      </c>
      <c r="J35" s="51">
        <f t="shared" si="19"/>
        <v>41.52</v>
      </c>
      <c r="K35" s="51">
        <f t="shared" si="17"/>
        <v>735.93797666917055</v>
      </c>
      <c r="L35" s="52">
        <f t="shared" si="18"/>
        <v>0</v>
      </c>
      <c r="N35" s="78">
        <f t="shared" si="20"/>
        <v>23</v>
      </c>
      <c r="O35" s="76">
        <f t="shared" si="9"/>
        <v>0</v>
      </c>
      <c r="P35" s="51">
        <f t="shared" si="3"/>
        <v>0</v>
      </c>
      <c r="Q35" s="51">
        <f t="shared" si="10"/>
        <v>0</v>
      </c>
      <c r="R35" s="53">
        <f t="shared" si="4"/>
        <v>0</v>
      </c>
      <c r="S35" s="53">
        <f t="shared" si="5"/>
        <v>0</v>
      </c>
      <c r="T35" s="53">
        <f t="shared" si="6"/>
        <v>0</v>
      </c>
      <c r="U35" s="132">
        <f t="shared" si="11"/>
        <v>0</v>
      </c>
      <c r="V35" s="135">
        <f t="shared" si="13"/>
        <v>186362.87644215266</v>
      </c>
    </row>
    <row r="36" spans="2:22" x14ac:dyDescent="0.25">
      <c r="B36" s="78">
        <v>2043</v>
      </c>
      <c r="C36" s="104">
        <v>0</v>
      </c>
      <c r="D36" s="49">
        <v>0</v>
      </c>
      <c r="E36" s="54">
        <v>0</v>
      </c>
      <c r="G36" s="78">
        <v>24</v>
      </c>
      <c r="H36" s="104">
        <v>24</v>
      </c>
      <c r="I36" s="50">
        <f t="shared" si="19"/>
        <v>6.46</v>
      </c>
      <c r="J36" s="51">
        <f t="shared" si="19"/>
        <v>41.52</v>
      </c>
      <c r="K36" s="51">
        <f t="shared" si="17"/>
        <v>735.93797666917055</v>
      </c>
      <c r="L36" s="52">
        <f t="shared" si="18"/>
        <v>0</v>
      </c>
      <c r="N36" s="78">
        <f t="shared" si="20"/>
        <v>24</v>
      </c>
      <c r="O36" s="76">
        <f t="shared" si="9"/>
        <v>0</v>
      </c>
      <c r="P36" s="51">
        <f t="shared" si="3"/>
        <v>0</v>
      </c>
      <c r="Q36" s="51">
        <f t="shared" si="10"/>
        <v>0</v>
      </c>
      <c r="R36" s="53">
        <f t="shared" si="4"/>
        <v>0</v>
      </c>
      <c r="S36" s="53">
        <f t="shared" si="5"/>
        <v>0</v>
      </c>
      <c r="T36" s="53">
        <f t="shared" si="6"/>
        <v>0</v>
      </c>
      <c r="U36" s="132">
        <f t="shared" si="11"/>
        <v>0</v>
      </c>
      <c r="V36" s="135">
        <f t="shared" si="13"/>
        <v>186362.87644215266</v>
      </c>
    </row>
    <row r="37" spans="2:22" x14ac:dyDescent="0.25">
      <c r="B37" s="78">
        <v>2044</v>
      </c>
      <c r="C37" s="104">
        <v>0</v>
      </c>
      <c r="D37" s="49">
        <v>0</v>
      </c>
      <c r="E37" s="54">
        <v>0</v>
      </c>
      <c r="G37" s="78">
        <v>25</v>
      </c>
      <c r="H37" s="104">
        <v>25</v>
      </c>
      <c r="I37" s="50">
        <f t="shared" si="19"/>
        <v>6.46</v>
      </c>
      <c r="J37" s="51">
        <f t="shared" si="19"/>
        <v>41.52</v>
      </c>
      <c r="K37" s="51">
        <f t="shared" si="17"/>
        <v>735.93797666917055</v>
      </c>
      <c r="L37" s="52">
        <f t="shared" si="18"/>
        <v>0</v>
      </c>
      <c r="N37" s="78">
        <f t="shared" si="20"/>
        <v>25</v>
      </c>
      <c r="O37" s="76">
        <f t="shared" si="9"/>
        <v>0</v>
      </c>
      <c r="P37" s="51">
        <f t="shared" si="3"/>
        <v>0</v>
      </c>
      <c r="Q37" s="51">
        <f t="shared" si="10"/>
        <v>0</v>
      </c>
      <c r="R37" s="53">
        <f t="shared" si="4"/>
        <v>0</v>
      </c>
      <c r="S37" s="53">
        <f t="shared" si="5"/>
        <v>0</v>
      </c>
      <c r="T37" s="53">
        <f t="shared" si="6"/>
        <v>0</v>
      </c>
      <c r="U37" s="132">
        <f t="shared" si="11"/>
        <v>0</v>
      </c>
      <c r="V37" s="135">
        <f t="shared" si="13"/>
        <v>186362.87644215266</v>
      </c>
    </row>
    <row r="38" spans="2:22" x14ac:dyDescent="0.25">
      <c r="B38" s="78">
        <v>2045</v>
      </c>
      <c r="C38" s="104">
        <v>0</v>
      </c>
      <c r="D38" s="49">
        <v>0</v>
      </c>
      <c r="E38" s="54">
        <v>0</v>
      </c>
      <c r="G38" s="78">
        <v>26</v>
      </c>
      <c r="H38" s="104">
        <v>26</v>
      </c>
      <c r="I38" s="50">
        <f t="shared" si="19"/>
        <v>6.46</v>
      </c>
      <c r="J38" s="51">
        <f t="shared" si="19"/>
        <v>41.52</v>
      </c>
      <c r="K38" s="51">
        <f t="shared" si="17"/>
        <v>735.93797666917055</v>
      </c>
      <c r="L38" s="52">
        <f t="shared" si="18"/>
        <v>0</v>
      </c>
      <c r="N38" s="78">
        <f t="shared" si="20"/>
        <v>26</v>
      </c>
      <c r="O38" s="76">
        <f t="shared" si="9"/>
        <v>0</v>
      </c>
      <c r="P38" s="51">
        <f t="shared" si="3"/>
        <v>0</v>
      </c>
      <c r="Q38" s="51">
        <f t="shared" si="10"/>
        <v>0</v>
      </c>
      <c r="R38" s="53">
        <f t="shared" si="4"/>
        <v>0</v>
      </c>
      <c r="S38" s="53">
        <f t="shared" si="5"/>
        <v>0</v>
      </c>
      <c r="T38" s="53">
        <f t="shared" si="6"/>
        <v>0</v>
      </c>
      <c r="U38" s="132">
        <f t="shared" si="11"/>
        <v>0</v>
      </c>
      <c r="V38" s="135">
        <f t="shared" si="13"/>
        <v>186362.87644215266</v>
      </c>
    </row>
    <row r="39" spans="2:22" x14ac:dyDescent="0.25">
      <c r="B39" s="78">
        <v>2046</v>
      </c>
      <c r="C39" s="104">
        <v>0</v>
      </c>
      <c r="D39" s="49">
        <v>0</v>
      </c>
      <c r="E39" s="54">
        <v>0</v>
      </c>
      <c r="G39" s="78">
        <v>27</v>
      </c>
      <c r="H39" s="104">
        <v>27</v>
      </c>
      <c r="I39" s="50">
        <f t="shared" si="19"/>
        <v>6.46</v>
      </c>
      <c r="J39" s="51">
        <f t="shared" si="19"/>
        <v>41.52</v>
      </c>
      <c r="K39" s="51">
        <f t="shared" si="17"/>
        <v>735.93797666917055</v>
      </c>
      <c r="L39" s="52">
        <f t="shared" si="18"/>
        <v>0</v>
      </c>
      <c r="N39" s="78">
        <f t="shared" si="20"/>
        <v>27</v>
      </c>
      <c r="O39" s="76">
        <f t="shared" si="9"/>
        <v>0</v>
      </c>
      <c r="P39" s="51">
        <f t="shared" si="3"/>
        <v>0</v>
      </c>
      <c r="Q39" s="51">
        <f t="shared" si="10"/>
        <v>0</v>
      </c>
      <c r="R39" s="53">
        <f t="shared" si="4"/>
        <v>0</v>
      </c>
      <c r="S39" s="53">
        <f t="shared" si="5"/>
        <v>0</v>
      </c>
      <c r="T39" s="53">
        <f t="shared" si="6"/>
        <v>0</v>
      </c>
      <c r="U39" s="132">
        <f t="shared" si="11"/>
        <v>0</v>
      </c>
      <c r="V39" s="135">
        <f t="shared" si="13"/>
        <v>186362.87644215266</v>
      </c>
    </row>
    <row r="40" spans="2:22" x14ac:dyDescent="0.25">
      <c r="B40" s="78">
        <v>2047</v>
      </c>
      <c r="C40" s="104">
        <v>0</v>
      </c>
      <c r="D40" s="49">
        <v>0</v>
      </c>
      <c r="E40" s="54">
        <v>0</v>
      </c>
      <c r="G40" s="78">
        <v>28</v>
      </c>
      <c r="H40" s="104">
        <v>28</v>
      </c>
      <c r="I40" s="50">
        <f t="shared" si="19"/>
        <v>6.46</v>
      </c>
      <c r="J40" s="51">
        <f t="shared" si="19"/>
        <v>41.52</v>
      </c>
      <c r="K40" s="51">
        <f t="shared" si="17"/>
        <v>735.93797666917055</v>
      </c>
      <c r="L40" s="52">
        <f t="shared" si="18"/>
        <v>0</v>
      </c>
      <c r="N40" s="78">
        <f t="shared" si="20"/>
        <v>28</v>
      </c>
      <c r="O40" s="76">
        <f t="shared" si="9"/>
        <v>0</v>
      </c>
      <c r="P40" s="51">
        <f t="shared" si="3"/>
        <v>0</v>
      </c>
      <c r="Q40" s="51">
        <f t="shared" si="10"/>
        <v>0</v>
      </c>
      <c r="R40" s="53">
        <f t="shared" si="4"/>
        <v>0</v>
      </c>
      <c r="S40" s="53">
        <f t="shared" si="5"/>
        <v>0</v>
      </c>
      <c r="T40" s="53">
        <f t="shared" si="6"/>
        <v>0</v>
      </c>
      <c r="U40" s="132">
        <f t="shared" si="11"/>
        <v>0</v>
      </c>
      <c r="V40" s="135">
        <f t="shared" si="13"/>
        <v>186362.87644215266</v>
      </c>
    </row>
    <row r="41" spans="2:22" ht="15.75" thickBot="1" x14ac:dyDescent="0.3">
      <c r="B41" s="79">
        <v>2048</v>
      </c>
      <c r="C41" s="105">
        <v>0</v>
      </c>
      <c r="D41" s="56">
        <v>0</v>
      </c>
      <c r="E41" s="57">
        <v>0</v>
      </c>
      <c r="F41" s="55"/>
      <c r="G41" s="106">
        <v>29</v>
      </c>
      <c r="H41" s="104">
        <v>29</v>
      </c>
      <c r="I41" s="50">
        <f t="shared" si="19"/>
        <v>6.46</v>
      </c>
      <c r="J41" s="51">
        <f t="shared" si="19"/>
        <v>41.52</v>
      </c>
      <c r="K41" s="51">
        <f t="shared" si="17"/>
        <v>735.93797666917055</v>
      </c>
      <c r="L41" s="52">
        <f t="shared" si="18"/>
        <v>0</v>
      </c>
      <c r="N41" s="78">
        <f t="shared" si="20"/>
        <v>29</v>
      </c>
      <c r="O41" s="76">
        <f t="shared" si="9"/>
        <v>0</v>
      </c>
      <c r="P41" s="51">
        <f t="shared" si="3"/>
        <v>0</v>
      </c>
      <c r="Q41" s="51">
        <f t="shared" si="10"/>
        <v>0</v>
      </c>
      <c r="R41" s="53">
        <f t="shared" si="4"/>
        <v>0</v>
      </c>
      <c r="S41" s="53">
        <f t="shared" si="5"/>
        <v>0</v>
      </c>
      <c r="T41" s="53">
        <f t="shared" si="6"/>
        <v>0</v>
      </c>
      <c r="U41" s="132">
        <f t="shared" si="11"/>
        <v>0</v>
      </c>
      <c r="V41" s="135">
        <f t="shared" si="13"/>
        <v>186362.87644215266</v>
      </c>
    </row>
    <row r="42" spans="2:22" ht="15.75" thickBot="1" x14ac:dyDescent="0.3">
      <c r="F42" s="55"/>
      <c r="G42" s="79">
        <v>30</v>
      </c>
      <c r="H42" s="100" t="s">
        <v>160</v>
      </c>
      <c r="I42" s="63">
        <f t="shared" si="19"/>
        <v>6.46</v>
      </c>
      <c r="J42" s="64">
        <f t="shared" si="19"/>
        <v>41.52</v>
      </c>
      <c r="K42" s="64">
        <f t="shared" si="17"/>
        <v>735.93797666917055</v>
      </c>
      <c r="L42" s="65">
        <f t="shared" si="18"/>
        <v>0</v>
      </c>
      <c r="N42" s="79">
        <v>30</v>
      </c>
      <c r="O42" s="81">
        <f t="shared" si="9"/>
        <v>0</v>
      </c>
      <c r="P42" s="64">
        <f t="shared" si="3"/>
        <v>0</v>
      </c>
      <c r="Q42" s="64">
        <f t="shared" si="10"/>
        <v>0</v>
      </c>
      <c r="R42" s="82">
        <f t="shared" si="4"/>
        <v>0</v>
      </c>
      <c r="S42" s="82">
        <f t="shared" si="5"/>
        <v>0</v>
      </c>
      <c r="T42" s="82">
        <f t="shared" si="6"/>
        <v>0</v>
      </c>
      <c r="U42" s="133">
        <f t="shared" si="11"/>
        <v>0</v>
      </c>
      <c r="V42" s="136">
        <f t="shared" si="13"/>
        <v>186362.87644215266</v>
      </c>
    </row>
  </sheetData>
  <mergeCells count="21">
    <mergeCell ref="B9:B11"/>
    <mergeCell ref="C9:C11"/>
    <mergeCell ref="G10:G12"/>
    <mergeCell ref="L10:L12"/>
    <mergeCell ref="D9:D11"/>
    <mergeCell ref="E9:E11"/>
    <mergeCell ref="G9:L9"/>
    <mergeCell ref="K10:K12"/>
    <mergeCell ref="T10:T12"/>
    <mergeCell ref="U10:U12"/>
    <mergeCell ref="V10:V12"/>
    <mergeCell ref="O10:O12"/>
    <mergeCell ref="P10:P12"/>
    <mergeCell ref="Q10:Q12"/>
    <mergeCell ref="R10:R12"/>
    <mergeCell ref="S10:S12"/>
    <mergeCell ref="N10:N12"/>
    <mergeCell ref="H10:H12"/>
    <mergeCell ref="I10:I12"/>
    <mergeCell ref="J10:J12"/>
    <mergeCell ref="H2:K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F245-51B1-4A52-AC4C-756870335EB1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6" style="1" customWidth="1"/>
    <col min="6" max="6" width="11" style="1" customWidth="1"/>
    <col min="7" max="7" width="8.28515625" style="1" customWidth="1"/>
    <col min="8" max="8" width="28.7109375" style="1" bestFit="1" customWidth="1"/>
    <col min="9" max="9" width="20.7109375" style="1" customWidth="1"/>
    <col min="10" max="10" width="22" style="1" customWidth="1"/>
    <col min="11" max="11" width="16" style="1" customWidth="1"/>
    <col min="12" max="12" width="18.140625" style="1" customWidth="1"/>
    <col min="13" max="13" width="11.285156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19" width="11.85546875" style="1" customWidth="1"/>
    <col min="20" max="20" width="12.42578125" style="1" customWidth="1"/>
    <col min="21" max="21" width="19.28515625" style="1" bestFit="1" customWidth="1"/>
    <col min="22" max="22" width="17.5703125" style="1" bestFit="1" customWidth="1"/>
    <col min="23" max="23" width="10.42578125" style="1" customWidth="1"/>
    <col min="24" max="16384" width="9.28515625" style="1"/>
  </cols>
  <sheetData>
    <row r="1" spans="2:22" ht="15" customHeight="1" thickBot="1" x14ac:dyDescent="0.3"/>
    <row r="2" spans="2:22" ht="15.75" thickBot="1" x14ac:dyDescent="0.3">
      <c r="H2" s="350" t="s">
        <v>129</v>
      </c>
      <c r="I2" s="351"/>
      <c r="J2" s="351"/>
      <c r="K2" s="352"/>
      <c r="L2"/>
    </row>
    <row r="3" spans="2:22" ht="15" customHeight="1" x14ac:dyDescent="0.25">
      <c r="H3" s="66" t="s">
        <v>190</v>
      </c>
      <c r="I3" s="67">
        <f>'General Information'!H3</f>
        <v>6.46</v>
      </c>
      <c r="J3" s="118" t="s">
        <v>15</v>
      </c>
      <c r="K3" s="119">
        <f>'General Information'!C6</f>
        <v>0.47</v>
      </c>
    </row>
    <row r="4" spans="2:22" ht="28.5" x14ac:dyDescent="0.25">
      <c r="H4" s="70" t="s">
        <v>155</v>
      </c>
      <c r="I4" s="44">
        <f>'General Information'!I3</f>
        <v>6.92</v>
      </c>
      <c r="J4" s="83" t="s">
        <v>6</v>
      </c>
      <c r="K4" s="120">
        <f>'General Information'!D6</f>
        <v>0</v>
      </c>
    </row>
    <row r="5" spans="2:22" x14ac:dyDescent="0.25">
      <c r="H5" s="121" t="s">
        <v>16</v>
      </c>
      <c r="I5" s="44" t="str">
        <f>'General Information'!E3</f>
        <v>Y=0.307*DBH^2.174</v>
      </c>
      <c r="J5" s="83" t="s">
        <v>7</v>
      </c>
      <c r="K5" s="120">
        <f>'General Information'!E6</f>
        <v>0</v>
      </c>
    </row>
    <row r="6" spans="2:22" x14ac:dyDescent="0.25">
      <c r="H6" s="121" t="s">
        <v>17</v>
      </c>
      <c r="I6" s="84">
        <f>'General Information'!B6</f>
        <v>0.25</v>
      </c>
      <c r="J6" s="43" t="s">
        <v>202</v>
      </c>
      <c r="K6" s="71">
        <f>'General Information'!K3</f>
        <v>0.2</v>
      </c>
    </row>
    <row r="7" spans="2:22" ht="18" thickBot="1" x14ac:dyDescent="0.35">
      <c r="H7" s="72" t="s">
        <v>156</v>
      </c>
      <c r="I7" s="73">
        <f>'General Information'!F6</f>
        <v>3.6666666666666665</v>
      </c>
      <c r="J7" s="122"/>
      <c r="K7" s="123"/>
    </row>
    <row r="8" spans="2:22" ht="15.75" thickBot="1" x14ac:dyDescent="0.3"/>
    <row r="9" spans="2:22" ht="15" customHeight="1" thickBot="1" x14ac:dyDescent="0.3">
      <c r="B9" s="387" t="s">
        <v>18</v>
      </c>
      <c r="C9" s="365" t="s">
        <v>19</v>
      </c>
      <c r="D9" s="371" t="s">
        <v>20</v>
      </c>
      <c r="E9" s="374" t="s">
        <v>21</v>
      </c>
      <c r="G9" s="390" t="s">
        <v>22</v>
      </c>
      <c r="H9" s="391"/>
      <c r="I9" s="391"/>
      <c r="J9" s="391"/>
      <c r="K9" s="391"/>
      <c r="L9" s="392"/>
    </row>
    <row r="10" spans="2:22" ht="15" customHeight="1" x14ac:dyDescent="0.25">
      <c r="B10" s="388"/>
      <c r="C10" s="366"/>
      <c r="D10" s="372"/>
      <c r="E10" s="375"/>
      <c r="G10" s="381" t="s">
        <v>23</v>
      </c>
      <c r="H10" s="393" t="s">
        <v>18</v>
      </c>
      <c r="I10" s="347" t="s">
        <v>24</v>
      </c>
      <c r="J10" s="347" t="s">
        <v>25</v>
      </c>
      <c r="K10" s="378" t="s">
        <v>26</v>
      </c>
      <c r="L10" s="368" t="s">
        <v>27</v>
      </c>
      <c r="N10" s="341" t="s">
        <v>18</v>
      </c>
      <c r="O10" s="359" t="s">
        <v>28</v>
      </c>
      <c r="P10" s="353" t="s">
        <v>29</v>
      </c>
      <c r="Q10" s="353" t="s">
        <v>134</v>
      </c>
      <c r="R10" s="353" t="s">
        <v>159</v>
      </c>
      <c r="S10" s="353" t="s">
        <v>133</v>
      </c>
      <c r="T10" s="353" t="s">
        <v>132</v>
      </c>
      <c r="U10" s="384" t="s">
        <v>131</v>
      </c>
      <c r="V10" s="381" t="s">
        <v>130</v>
      </c>
    </row>
    <row r="11" spans="2:22" ht="15.75" thickBot="1" x14ac:dyDescent="0.3">
      <c r="B11" s="389"/>
      <c r="C11" s="367"/>
      <c r="D11" s="373"/>
      <c r="E11" s="376"/>
      <c r="G11" s="382"/>
      <c r="H11" s="394"/>
      <c r="I11" s="348"/>
      <c r="J11" s="348"/>
      <c r="K11" s="379"/>
      <c r="L11" s="369"/>
      <c r="N11" s="342"/>
      <c r="O11" s="360"/>
      <c r="P11" s="354"/>
      <c r="Q11" s="354"/>
      <c r="R11" s="354"/>
      <c r="S11" s="354"/>
      <c r="T11" s="354"/>
      <c r="U11" s="385"/>
      <c r="V11" s="382"/>
    </row>
    <row r="12" spans="2:22" ht="15.75" thickBot="1" x14ac:dyDescent="0.3">
      <c r="B12" s="97">
        <v>2019</v>
      </c>
      <c r="C12" s="94">
        <v>0</v>
      </c>
      <c r="D12" s="85">
        <v>0</v>
      </c>
      <c r="E12" s="93">
        <f t="shared" ref="E12:E17" si="0">C12-D12</f>
        <v>0</v>
      </c>
      <c r="G12" s="383"/>
      <c r="H12" s="395"/>
      <c r="I12" s="349"/>
      <c r="J12" s="349"/>
      <c r="K12" s="380"/>
      <c r="L12" s="370"/>
      <c r="N12" s="343"/>
      <c r="O12" s="361"/>
      <c r="P12" s="355"/>
      <c r="Q12" s="355"/>
      <c r="R12" s="355"/>
      <c r="S12" s="355"/>
      <c r="T12" s="355"/>
      <c r="U12" s="386"/>
      <c r="V12" s="383"/>
    </row>
    <row r="13" spans="2:22" x14ac:dyDescent="0.25">
      <c r="B13" s="98">
        <v>2020</v>
      </c>
      <c r="C13" s="95">
        <f>('General Information'!$C$10*'General Information'!C12)</f>
        <v>55792.499999999978</v>
      </c>
      <c r="D13" s="58">
        <f t="shared" ref="D13" si="1">C13*10%</f>
        <v>5579.2499999999982</v>
      </c>
      <c r="E13" s="88">
        <f t="shared" si="0"/>
        <v>50213.249999999978</v>
      </c>
      <c r="G13" s="112">
        <v>1</v>
      </c>
      <c r="H13" s="113" t="s">
        <v>158</v>
      </c>
      <c r="I13" s="114">
        <f>I3</f>
        <v>6.46</v>
      </c>
      <c r="J13" s="115">
        <v>0</v>
      </c>
      <c r="K13" s="115">
        <f>0.307*(I13^2.174)*J13</f>
        <v>0</v>
      </c>
      <c r="L13" s="116">
        <f>K13</f>
        <v>0</v>
      </c>
      <c r="N13" s="112">
        <v>1</v>
      </c>
      <c r="O13" s="125">
        <f>(L13*$E$13)/1000</f>
        <v>0</v>
      </c>
      <c r="P13" s="115">
        <f t="shared" ref="P13:P42" si="2">O13*$I$6</f>
        <v>0</v>
      </c>
      <c r="Q13" s="115">
        <f>O13+P13</f>
        <v>0</v>
      </c>
      <c r="R13" s="115">
        <f t="shared" ref="R13:R42" si="3">Q13*$I$7*$K$3</f>
        <v>0</v>
      </c>
      <c r="S13" s="115">
        <f t="shared" ref="S13:S42" si="4">R13*$K$4</f>
        <v>0</v>
      </c>
      <c r="T13" s="115">
        <f t="shared" ref="T13:T42" si="5">R13*$K$5</f>
        <v>0</v>
      </c>
      <c r="U13" s="137">
        <f>R13+S13+T13</f>
        <v>0</v>
      </c>
      <c r="V13" s="140">
        <f>U13</f>
        <v>0</v>
      </c>
    </row>
    <row r="14" spans="2:22" x14ac:dyDescent="0.25">
      <c r="B14" s="98">
        <v>2021</v>
      </c>
      <c r="C14" s="95">
        <v>0</v>
      </c>
      <c r="D14" s="87">
        <f>C14*10%</f>
        <v>0</v>
      </c>
      <c r="E14" s="88">
        <f t="shared" si="0"/>
        <v>0</v>
      </c>
      <c r="G14" s="98">
        <v>2</v>
      </c>
      <c r="H14" s="96">
        <v>2</v>
      </c>
      <c r="I14" s="90">
        <f>I13</f>
        <v>6.46</v>
      </c>
      <c r="J14" s="32">
        <f>I4</f>
        <v>6.92</v>
      </c>
      <c r="K14" s="32">
        <f>0.307*(I14^2.174)*J14</f>
        <v>122.65632944486175</v>
      </c>
      <c r="L14" s="33">
        <f>K14-K13</f>
        <v>122.65632944486175</v>
      </c>
      <c r="N14" s="98">
        <f t="shared" ref="N14:N32" si="6">H14</f>
        <v>2</v>
      </c>
      <c r="O14" s="126">
        <f t="shared" ref="O14:O42" si="7">(L14*$E$13)/1000</f>
        <v>6158.972934497202</v>
      </c>
      <c r="P14" s="32">
        <f t="shared" si="2"/>
        <v>1539.7432336243005</v>
      </c>
      <c r="Q14" s="32">
        <f t="shared" ref="Q14:Q42" si="8">O14+P14</f>
        <v>7698.7161681215021</v>
      </c>
      <c r="R14" s="37">
        <f>Q14*$I$7*$K$3</f>
        <v>13267.454196396055</v>
      </c>
      <c r="S14" s="37">
        <f t="shared" si="4"/>
        <v>0</v>
      </c>
      <c r="T14" s="37">
        <f t="shared" si="5"/>
        <v>0</v>
      </c>
      <c r="U14" s="138">
        <f t="shared" ref="U14:U42" si="9">R14+S14+T14</f>
        <v>13267.454196396055</v>
      </c>
      <c r="V14" s="141">
        <f>U14+V13</f>
        <v>13267.454196396055</v>
      </c>
    </row>
    <row r="15" spans="2:22" x14ac:dyDescent="0.25">
      <c r="B15" s="98">
        <v>2022</v>
      </c>
      <c r="C15" s="95">
        <v>0</v>
      </c>
      <c r="D15" s="87">
        <f>C15*10%</f>
        <v>0</v>
      </c>
      <c r="E15" s="88">
        <f t="shared" si="0"/>
        <v>0</v>
      </c>
      <c r="G15" s="98">
        <v>3</v>
      </c>
      <c r="H15" s="96">
        <v>3</v>
      </c>
      <c r="I15" s="90">
        <f>I14</f>
        <v>6.46</v>
      </c>
      <c r="J15" s="32">
        <f>J14+$I$4</f>
        <v>13.84</v>
      </c>
      <c r="K15" s="32">
        <f>0.307*(I15^2.174)*J15</f>
        <v>245.31265888972351</v>
      </c>
      <c r="L15" s="33">
        <f t="shared" ref="L15:L18" si="10">K15-K14</f>
        <v>122.65632944486175</v>
      </c>
      <c r="N15" s="98">
        <f t="shared" si="6"/>
        <v>3</v>
      </c>
      <c r="O15" s="126">
        <f t="shared" si="7"/>
        <v>6158.972934497202</v>
      </c>
      <c r="P15" s="32">
        <f t="shared" si="2"/>
        <v>1539.7432336243005</v>
      </c>
      <c r="Q15" s="32">
        <f t="shared" si="8"/>
        <v>7698.7161681215021</v>
      </c>
      <c r="R15" s="37">
        <f t="shared" si="3"/>
        <v>13267.454196396055</v>
      </c>
      <c r="S15" s="37">
        <f t="shared" si="4"/>
        <v>0</v>
      </c>
      <c r="T15" s="37">
        <f t="shared" si="5"/>
        <v>0</v>
      </c>
      <c r="U15" s="138">
        <f t="shared" si="9"/>
        <v>13267.454196396055</v>
      </c>
      <c r="V15" s="141">
        <f t="shared" ref="V15:V42" si="11">U15+V14</f>
        <v>26534.908392792109</v>
      </c>
    </row>
    <row r="16" spans="2:22" x14ac:dyDescent="0.25">
      <c r="B16" s="98">
        <v>2023</v>
      </c>
      <c r="C16" s="95">
        <v>0</v>
      </c>
      <c r="D16" s="87">
        <f>C16*10%</f>
        <v>0</v>
      </c>
      <c r="E16" s="88">
        <f t="shared" si="0"/>
        <v>0</v>
      </c>
      <c r="G16" s="98">
        <v>4</v>
      </c>
      <c r="H16" s="96">
        <v>4</v>
      </c>
      <c r="I16" s="90">
        <f t="shared" ref="I16:J31" si="12">I15</f>
        <v>6.46</v>
      </c>
      <c r="J16" s="32">
        <f>J15+$I$4</f>
        <v>20.759999999999998</v>
      </c>
      <c r="K16" s="32">
        <f t="shared" ref="K16:K41" si="13">0.307*(I16^2.174)*J16</f>
        <v>367.96898833458522</v>
      </c>
      <c r="L16" s="33">
        <f t="shared" si="10"/>
        <v>122.65632944486171</v>
      </c>
      <c r="N16" s="98">
        <f t="shared" si="6"/>
        <v>4</v>
      </c>
      <c r="O16" s="126">
        <f t="shared" si="7"/>
        <v>6158.9729344972002</v>
      </c>
      <c r="P16" s="32">
        <f t="shared" si="2"/>
        <v>1539.7432336243</v>
      </c>
      <c r="Q16" s="32">
        <f t="shared" si="8"/>
        <v>7698.7161681215002</v>
      </c>
      <c r="R16" s="37">
        <f t="shared" si="3"/>
        <v>13267.454196396051</v>
      </c>
      <c r="S16" s="37">
        <f t="shared" si="4"/>
        <v>0</v>
      </c>
      <c r="T16" s="37">
        <f t="shared" si="5"/>
        <v>0</v>
      </c>
      <c r="U16" s="138">
        <f t="shared" si="9"/>
        <v>13267.454196396051</v>
      </c>
      <c r="V16" s="141">
        <f t="shared" si="11"/>
        <v>39802.36258918816</v>
      </c>
    </row>
    <row r="17" spans="2:22" x14ac:dyDescent="0.25">
      <c r="B17" s="98">
        <v>2024</v>
      </c>
      <c r="C17" s="95">
        <v>0</v>
      </c>
      <c r="D17" s="87">
        <f>C17*10%</f>
        <v>0</v>
      </c>
      <c r="E17" s="88">
        <f t="shared" si="0"/>
        <v>0</v>
      </c>
      <c r="G17" s="98">
        <v>5</v>
      </c>
      <c r="H17" s="96">
        <v>5</v>
      </c>
      <c r="I17" s="90">
        <f t="shared" si="12"/>
        <v>6.46</v>
      </c>
      <c r="J17" s="32">
        <f>J16+$I$4</f>
        <v>27.68</v>
      </c>
      <c r="K17" s="32">
        <f t="shared" si="13"/>
        <v>490.62531777944702</v>
      </c>
      <c r="L17" s="33">
        <f t="shared" si="10"/>
        <v>122.6563294448618</v>
      </c>
      <c r="N17" s="98">
        <f t="shared" si="6"/>
        <v>5</v>
      </c>
      <c r="O17" s="126">
        <f t="shared" si="7"/>
        <v>6158.9729344972038</v>
      </c>
      <c r="P17" s="32">
        <f t="shared" si="2"/>
        <v>1539.743233624301</v>
      </c>
      <c r="Q17" s="32">
        <f t="shared" si="8"/>
        <v>7698.7161681215048</v>
      </c>
      <c r="R17" s="37">
        <f t="shared" si="3"/>
        <v>13267.454196396058</v>
      </c>
      <c r="S17" s="37">
        <f t="shared" si="4"/>
        <v>0</v>
      </c>
      <c r="T17" s="37">
        <f t="shared" si="5"/>
        <v>0</v>
      </c>
      <c r="U17" s="138">
        <f t="shared" si="9"/>
        <v>13267.454196396058</v>
      </c>
      <c r="V17" s="141">
        <f t="shared" si="11"/>
        <v>53069.816785584218</v>
      </c>
    </row>
    <row r="18" spans="2:22" x14ac:dyDescent="0.25">
      <c r="B18" s="98">
        <v>2025</v>
      </c>
      <c r="C18" s="96">
        <v>0</v>
      </c>
      <c r="D18" s="89">
        <v>0</v>
      </c>
      <c r="E18" s="91">
        <v>0</v>
      </c>
      <c r="G18" s="98">
        <v>6</v>
      </c>
      <c r="H18" s="96">
        <v>6</v>
      </c>
      <c r="I18" s="90">
        <f t="shared" si="12"/>
        <v>6.46</v>
      </c>
      <c r="J18" s="32">
        <f>J17+$I$4</f>
        <v>34.6</v>
      </c>
      <c r="K18" s="32">
        <f t="shared" si="13"/>
        <v>613.28164722430881</v>
      </c>
      <c r="L18" s="33">
        <f t="shared" si="10"/>
        <v>122.6563294448618</v>
      </c>
      <c r="N18" s="98">
        <f t="shared" si="6"/>
        <v>6</v>
      </c>
      <c r="O18" s="126">
        <f t="shared" si="7"/>
        <v>6158.9729344972038</v>
      </c>
      <c r="P18" s="32">
        <f t="shared" si="2"/>
        <v>1539.743233624301</v>
      </c>
      <c r="Q18" s="32">
        <f t="shared" si="8"/>
        <v>7698.7161681215048</v>
      </c>
      <c r="R18" s="37">
        <f t="shared" si="3"/>
        <v>13267.454196396058</v>
      </c>
      <c r="S18" s="37">
        <f t="shared" si="4"/>
        <v>0</v>
      </c>
      <c r="T18" s="37">
        <f t="shared" si="5"/>
        <v>0</v>
      </c>
      <c r="U18" s="138">
        <f t="shared" si="9"/>
        <v>13267.454196396058</v>
      </c>
      <c r="V18" s="141">
        <f t="shared" si="11"/>
        <v>66337.270981980284</v>
      </c>
    </row>
    <row r="19" spans="2:22" x14ac:dyDescent="0.25">
      <c r="B19" s="98">
        <v>2026</v>
      </c>
      <c r="C19" s="96">
        <v>0</v>
      </c>
      <c r="D19" s="89">
        <f t="shared" ref="D19:D30" si="14">C19*10%</f>
        <v>0</v>
      </c>
      <c r="E19" s="91">
        <f t="shared" ref="E19:E30" si="15">C19-D19</f>
        <v>0</v>
      </c>
      <c r="G19" s="98">
        <v>7</v>
      </c>
      <c r="H19" s="96">
        <v>7</v>
      </c>
      <c r="I19" s="90">
        <f t="shared" si="12"/>
        <v>6.46</v>
      </c>
      <c r="J19" s="32">
        <f>J18+$I$4</f>
        <v>41.52</v>
      </c>
      <c r="K19" s="32">
        <f t="shared" si="13"/>
        <v>735.93797666917055</v>
      </c>
      <c r="L19" s="33">
        <f>(K19-K18)*(1-$K$6)</f>
        <v>98.125063555889398</v>
      </c>
      <c r="N19" s="98">
        <f t="shared" si="6"/>
        <v>7</v>
      </c>
      <c r="O19" s="126">
        <f t="shared" si="7"/>
        <v>4927.1783475977609</v>
      </c>
      <c r="P19" s="32">
        <f t="shared" si="2"/>
        <v>1231.7945868994402</v>
      </c>
      <c r="Q19" s="32">
        <f t="shared" si="8"/>
        <v>6158.9729344972011</v>
      </c>
      <c r="R19" s="37">
        <f t="shared" si="3"/>
        <v>10613.963357116843</v>
      </c>
      <c r="S19" s="37">
        <f t="shared" si="4"/>
        <v>0</v>
      </c>
      <c r="T19" s="37">
        <f t="shared" si="5"/>
        <v>0</v>
      </c>
      <c r="U19" s="138">
        <f t="shared" si="9"/>
        <v>10613.963357116843</v>
      </c>
      <c r="V19" s="141">
        <f t="shared" si="11"/>
        <v>76951.234339097122</v>
      </c>
    </row>
    <row r="20" spans="2:22" x14ac:dyDescent="0.25">
      <c r="B20" s="98">
        <v>2027</v>
      </c>
      <c r="C20" s="96">
        <v>0</v>
      </c>
      <c r="D20" s="89">
        <f t="shared" si="14"/>
        <v>0</v>
      </c>
      <c r="E20" s="91">
        <f t="shared" si="15"/>
        <v>0</v>
      </c>
      <c r="G20" s="98">
        <v>8</v>
      </c>
      <c r="H20" s="96">
        <v>8</v>
      </c>
      <c r="I20" s="90">
        <f t="shared" si="12"/>
        <v>6.46</v>
      </c>
      <c r="J20" s="32">
        <f t="shared" si="12"/>
        <v>41.52</v>
      </c>
      <c r="K20" s="32">
        <f t="shared" si="13"/>
        <v>735.93797666917055</v>
      </c>
      <c r="L20" s="33">
        <f t="shared" ref="L20:L42" si="16">(K20-K19)*(1-$K$6)</f>
        <v>0</v>
      </c>
      <c r="N20" s="98">
        <f t="shared" si="6"/>
        <v>8</v>
      </c>
      <c r="O20" s="126">
        <f t="shared" si="7"/>
        <v>0</v>
      </c>
      <c r="P20" s="32">
        <f t="shared" si="2"/>
        <v>0</v>
      </c>
      <c r="Q20" s="32">
        <f t="shared" si="8"/>
        <v>0</v>
      </c>
      <c r="R20" s="37">
        <f t="shared" si="3"/>
        <v>0</v>
      </c>
      <c r="S20" s="37">
        <f t="shared" si="4"/>
        <v>0</v>
      </c>
      <c r="T20" s="37">
        <f t="shared" si="5"/>
        <v>0</v>
      </c>
      <c r="U20" s="138">
        <f t="shared" si="9"/>
        <v>0</v>
      </c>
      <c r="V20" s="141">
        <f t="shared" si="11"/>
        <v>76951.234339097122</v>
      </c>
    </row>
    <row r="21" spans="2:22" x14ac:dyDescent="0.25">
      <c r="B21" s="98">
        <v>2028</v>
      </c>
      <c r="C21" s="96">
        <v>0</v>
      </c>
      <c r="D21" s="89">
        <f t="shared" si="14"/>
        <v>0</v>
      </c>
      <c r="E21" s="91">
        <f t="shared" si="15"/>
        <v>0</v>
      </c>
      <c r="G21" s="98">
        <v>9</v>
      </c>
      <c r="H21" s="96">
        <v>9</v>
      </c>
      <c r="I21" s="90">
        <f t="shared" si="12"/>
        <v>6.46</v>
      </c>
      <c r="J21" s="32">
        <f t="shared" si="12"/>
        <v>41.52</v>
      </c>
      <c r="K21" s="32">
        <f t="shared" si="13"/>
        <v>735.93797666917055</v>
      </c>
      <c r="L21" s="33">
        <f t="shared" si="16"/>
        <v>0</v>
      </c>
      <c r="N21" s="98">
        <f t="shared" si="6"/>
        <v>9</v>
      </c>
      <c r="O21" s="126">
        <f t="shared" si="7"/>
        <v>0</v>
      </c>
      <c r="P21" s="32">
        <f t="shared" si="2"/>
        <v>0</v>
      </c>
      <c r="Q21" s="32">
        <f t="shared" si="8"/>
        <v>0</v>
      </c>
      <c r="R21" s="37">
        <f t="shared" si="3"/>
        <v>0</v>
      </c>
      <c r="S21" s="37">
        <f t="shared" si="4"/>
        <v>0</v>
      </c>
      <c r="T21" s="37">
        <f t="shared" si="5"/>
        <v>0</v>
      </c>
      <c r="U21" s="138">
        <f t="shared" si="9"/>
        <v>0</v>
      </c>
      <c r="V21" s="141">
        <f t="shared" si="11"/>
        <v>76951.234339097122</v>
      </c>
    </row>
    <row r="22" spans="2:22" x14ac:dyDescent="0.25">
      <c r="B22" s="98">
        <v>2029</v>
      </c>
      <c r="C22" s="96">
        <v>0</v>
      </c>
      <c r="D22" s="89">
        <f t="shared" si="14"/>
        <v>0</v>
      </c>
      <c r="E22" s="91">
        <f t="shared" si="15"/>
        <v>0</v>
      </c>
      <c r="G22" s="98">
        <v>10</v>
      </c>
      <c r="H22" s="96">
        <v>10</v>
      </c>
      <c r="I22" s="90">
        <f t="shared" si="12"/>
        <v>6.46</v>
      </c>
      <c r="J22" s="32">
        <f t="shared" si="12"/>
        <v>41.52</v>
      </c>
      <c r="K22" s="32">
        <f t="shared" si="13"/>
        <v>735.93797666917055</v>
      </c>
      <c r="L22" s="33">
        <f t="shared" si="16"/>
        <v>0</v>
      </c>
      <c r="N22" s="98">
        <f t="shared" si="6"/>
        <v>10</v>
      </c>
      <c r="O22" s="126">
        <f t="shared" si="7"/>
        <v>0</v>
      </c>
      <c r="P22" s="32">
        <f t="shared" si="2"/>
        <v>0</v>
      </c>
      <c r="Q22" s="32">
        <f t="shared" si="8"/>
        <v>0</v>
      </c>
      <c r="R22" s="37">
        <f t="shared" si="3"/>
        <v>0</v>
      </c>
      <c r="S22" s="37">
        <f t="shared" si="4"/>
        <v>0</v>
      </c>
      <c r="T22" s="37">
        <f t="shared" si="5"/>
        <v>0</v>
      </c>
      <c r="U22" s="138">
        <f t="shared" si="9"/>
        <v>0</v>
      </c>
      <c r="V22" s="141">
        <f t="shared" si="11"/>
        <v>76951.234339097122</v>
      </c>
    </row>
    <row r="23" spans="2:22" x14ac:dyDescent="0.25">
      <c r="B23" s="98">
        <v>2030</v>
      </c>
      <c r="C23" s="96">
        <v>0</v>
      </c>
      <c r="D23" s="89">
        <f t="shared" si="14"/>
        <v>0</v>
      </c>
      <c r="E23" s="91">
        <f t="shared" si="15"/>
        <v>0</v>
      </c>
      <c r="G23" s="98">
        <v>11</v>
      </c>
      <c r="H23" s="96">
        <v>11</v>
      </c>
      <c r="I23" s="90">
        <f t="shared" si="12"/>
        <v>6.46</v>
      </c>
      <c r="J23" s="32">
        <f t="shared" si="12"/>
        <v>41.52</v>
      </c>
      <c r="K23" s="32">
        <f t="shared" si="13"/>
        <v>735.93797666917055</v>
      </c>
      <c r="L23" s="33">
        <f t="shared" si="16"/>
        <v>0</v>
      </c>
      <c r="N23" s="98">
        <f t="shared" si="6"/>
        <v>11</v>
      </c>
      <c r="O23" s="126">
        <f t="shared" si="7"/>
        <v>0</v>
      </c>
      <c r="P23" s="32">
        <f t="shared" si="2"/>
        <v>0</v>
      </c>
      <c r="Q23" s="32">
        <f t="shared" si="8"/>
        <v>0</v>
      </c>
      <c r="R23" s="37">
        <f t="shared" si="3"/>
        <v>0</v>
      </c>
      <c r="S23" s="37">
        <f t="shared" si="4"/>
        <v>0</v>
      </c>
      <c r="T23" s="37">
        <f t="shared" si="5"/>
        <v>0</v>
      </c>
      <c r="U23" s="138">
        <f t="shared" si="9"/>
        <v>0</v>
      </c>
      <c r="V23" s="141">
        <f t="shared" si="11"/>
        <v>76951.234339097122</v>
      </c>
    </row>
    <row r="24" spans="2:22" x14ac:dyDescent="0.25">
      <c r="B24" s="98">
        <v>2031</v>
      </c>
      <c r="C24" s="96">
        <v>0</v>
      </c>
      <c r="D24" s="89">
        <f t="shared" si="14"/>
        <v>0</v>
      </c>
      <c r="E24" s="91">
        <f t="shared" si="15"/>
        <v>0</v>
      </c>
      <c r="G24" s="98">
        <v>12</v>
      </c>
      <c r="H24" s="96">
        <v>12</v>
      </c>
      <c r="I24" s="90">
        <f t="shared" si="12"/>
        <v>6.46</v>
      </c>
      <c r="J24" s="32">
        <f t="shared" si="12"/>
        <v>41.52</v>
      </c>
      <c r="K24" s="32">
        <f t="shared" si="13"/>
        <v>735.93797666917055</v>
      </c>
      <c r="L24" s="33">
        <f t="shared" si="16"/>
        <v>0</v>
      </c>
      <c r="N24" s="98">
        <f t="shared" si="6"/>
        <v>12</v>
      </c>
      <c r="O24" s="126">
        <f t="shared" si="7"/>
        <v>0</v>
      </c>
      <c r="P24" s="32">
        <f t="shared" si="2"/>
        <v>0</v>
      </c>
      <c r="Q24" s="32">
        <f t="shared" si="8"/>
        <v>0</v>
      </c>
      <c r="R24" s="37">
        <f t="shared" si="3"/>
        <v>0</v>
      </c>
      <c r="S24" s="37">
        <f t="shared" si="4"/>
        <v>0</v>
      </c>
      <c r="T24" s="37">
        <f t="shared" si="5"/>
        <v>0</v>
      </c>
      <c r="U24" s="138">
        <f t="shared" si="9"/>
        <v>0</v>
      </c>
      <c r="V24" s="141">
        <f t="shared" si="11"/>
        <v>76951.234339097122</v>
      </c>
    </row>
    <row r="25" spans="2:22" x14ac:dyDescent="0.25">
      <c r="B25" s="98">
        <v>2032</v>
      </c>
      <c r="C25" s="96">
        <v>0</v>
      </c>
      <c r="D25" s="89">
        <f t="shared" si="14"/>
        <v>0</v>
      </c>
      <c r="E25" s="91">
        <f t="shared" si="15"/>
        <v>0</v>
      </c>
      <c r="G25" s="98">
        <v>13</v>
      </c>
      <c r="H25" s="96">
        <v>13</v>
      </c>
      <c r="I25" s="90">
        <f t="shared" si="12"/>
        <v>6.46</v>
      </c>
      <c r="J25" s="32">
        <f t="shared" si="12"/>
        <v>41.52</v>
      </c>
      <c r="K25" s="32">
        <f t="shared" si="13"/>
        <v>735.93797666917055</v>
      </c>
      <c r="L25" s="33">
        <f t="shared" si="16"/>
        <v>0</v>
      </c>
      <c r="N25" s="98">
        <f t="shared" si="6"/>
        <v>13</v>
      </c>
      <c r="O25" s="126">
        <f t="shared" si="7"/>
        <v>0</v>
      </c>
      <c r="P25" s="32">
        <f t="shared" si="2"/>
        <v>0</v>
      </c>
      <c r="Q25" s="32">
        <f t="shared" si="8"/>
        <v>0</v>
      </c>
      <c r="R25" s="37">
        <f t="shared" si="3"/>
        <v>0</v>
      </c>
      <c r="S25" s="37">
        <f t="shared" si="4"/>
        <v>0</v>
      </c>
      <c r="T25" s="37">
        <f t="shared" si="5"/>
        <v>0</v>
      </c>
      <c r="U25" s="138">
        <f t="shared" si="9"/>
        <v>0</v>
      </c>
      <c r="V25" s="141">
        <f t="shared" si="11"/>
        <v>76951.234339097122</v>
      </c>
    </row>
    <row r="26" spans="2:22" x14ac:dyDescent="0.25">
      <c r="B26" s="98">
        <v>2033</v>
      </c>
      <c r="C26" s="96">
        <v>0</v>
      </c>
      <c r="D26" s="89">
        <f t="shared" si="14"/>
        <v>0</v>
      </c>
      <c r="E26" s="91">
        <f t="shared" si="15"/>
        <v>0</v>
      </c>
      <c r="G26" s="98">
        <v>14</v>
      </c>
      <c r="H26" s="96">
        <v>14</v>
      </c>
      <c r="I26" s="90">
        <f t="shared" si="12"/>
        <v>6.46</v>
      </c>
      <c r="J26" s="32">
        <f t="shared" si="12"/>
        <v>41.52</v>
      </c>
      <c r="K26" s="32">
        <f t="shared" si="13"/>
        <v>735.93797666917055</v>
      </c>
      <c r="L26" s="33">
        <f t="shared" si="16"/>
        <v>0</v>
      </c>
      <c r="N26" s="98">
        <f t="shared" si="6"/>
        <v>14</v>
      </c>
      <c r="O26" s="126">
        <f t="shared" si="7"/>
        <v>0</v>
      </c>
      <c r="P26" s="32">
        <f t="shared" si="2"/>
        <v>0</v>
      </c>
      <c r="Q26" s="32">
        <f t="shared" si="8"/>
        <v>0</v>
      </c>
      <c r="R26" s="37">
        <f t="shared" si="3"/>
        <v>0</v>
      </c>
      <c r="S26" s="37">
        <f t="shared" si="4"/>
        <v>0</v>
      </c>
      <c r="T26" s="37">
        <f t="shared" si="5"/>
        <v>0</v>
      </c>
      <c r="U26" s="138">
        <f t="shared" si="9"/>
        <v>0</v>
      </c>
      <c r="V26" s="141">
        <f t="shared" si="11"/>
        <v>76951.234339097122</v>
      </c>
    </row>
    <row r="27" spans="2:22" x14ac:dyDescent="0.25">
      <c r="B27" s="98">
        <v>2034</v>
      </c>
      <c r="C27" s="96">
        <v>0</v>
      </c>
      <c r="D27" s="89">
        <f t="shared" si="14"/>
        <v>0</v>
      </c>
      <c r="E27" s="91">
        <f t="shared" si="15"/>
        <v>0</v>
      </c>
      <c r="G27" s="98">
        <v>15</v>
      </c>
      <c r="H27" s="96">
        <v>15</v>
      </c>
      <c r="I27" s="90">
        <f t="shared" si="12"/>
        <v>6.46</v>
      </c>
      <c r="J27" s="32">
        <f t="shared" si="12"/>
        <v>41.52</v>
      </c>
      <c r="K27" s="32">
        <f t="shared" si="13"/>
        <v>735.93797666917055</v>
      </c>
      <c r="L27" s="33">
        <f t="shared" si="16"/>
        <v>0</v>
      </c>
      <c r="N27" s="98">
        <f t="shared" si="6"/>
        <v>15</v>
      </c>
      <c r="O27" s="126">
        <f t="shared" si="7"/>
        <v>0</v>
      </c>
      <c r="P27" s="32">
        <f t="shared" si="2"/>
        <v>0</v>
      </c>
      <c r="Q27" s="32">
        <f t="shared" si="8"/>
        <v>0</v>
      </c>
      <c r="R27" s="37">
        <f t="shared" si="3"/>
        <v>0</v>
      </c>
      <c r="S27" s="37">
        <f t="shared" si="4"/>
        <v>0</v>
      </c>
      <c r="T27" s="37">
        <f t="shared" si="5"/>
        <v>0</v>
      </c>
      <c r="U27" s="138">
        <f t="shared" si="9"/>
        <v>0</v>
      </c>
      <c r="V27" s="141">
        <f t="shared" si="11"/>
        <v>76951.234339097122</v>
      </c>
    </row>
    <row r="28" spans="2:22" x14ac:dyDescent="0.25">
      <c r="B28" s="98">
        <v>2035</v>
      </c>
      <c r="C28" s="96">
        <v>0</v>
      </c>
      <c r="D28" s="89">
        <f t="shared" si="14"/>
        <v>0</v>
      </c>
      <c r="E28" s="91">
        <f t="shared" si="15"/>
        <v>0</v>
      </c>
      <c r="G28" s="98">
        <v>16</v>
      </c>
      <c r="H28" s="96">
        <v>16</v>
      </c>
      <c r="I28" s="90">
        <f t="shared" si="12"/>
        <v>6.46</v>
      </c>
      <c r="J28" s="32">
        <f t="shared" si="12"/>
        <v>41.52</v>
      </c>
      <c r="K28" s="32">
        <f t="shared" si="13"/>
        <v>735.93797666917055</v>
      </c>
      <c r="L28" s="33">
        <f t="shared" si="16"/>
        <v>0</v>
      </c>
      <c r="N28" s="98">
        <f t="shared" si="6"/>
        <v>16</v>
      </c>
      <c r="O28" s="126">
        <f t="shared" si="7"/>
        <v>0</v>
      </c>
      <c r="P28" s="32">
        <f t="shared" si="2"/>
        <v>0</v>
      </c>
      <c r="Q28" s="32">
        <f t="shared" si="8"/>
        <v>0</v>
      </c>
      <c r="R28" s="37">
        <f t="shared" si="3"/>
        <v>0</v>
      </c>
      <c r="S28" s="37">
        <f t="shared" si="4"/>
        <v>0</v>
      </c>
      <c r="T28" s="37">
        <f t="shared" si="5"/>
        <v>0</v>
      </c>
      <c r="U28" s="138">
        <f t="shared" si="9"/>
        <v>0</v>
      </c>
      <c r="V28" s="141">
        <f t="shared" si="11"/>
        <v>76951.234339097122</v>
      </c>
    </row>
    <row r="29" spans="2:22" x14ac:dyDescent="0.25">
      <c r="B29" s="98">
        <v>2036</v>
      </c>
      <c r="C29" s="96">
        <v>0</v>
      </c>
      <c r="D29" s="89">
        <f t="shared" si="14"/>
        <v>0</v>
      </c>
      <c r="E29" s="91">
        <f t="shared" si="15"/>
        <v>0</v>
      </c>
      <c r="G29" s="130">
        <v>17</v>
      </c>
      <c r="H29" s="96">
        <v>17</v>
      </c>
      <c r="I29" s="90">
        <f t="shared" si="12"/>
        <v>6.46</v>
      </c>
      <c r="J29" s="32">
        <f t="shared" si="12"/>
        <v>41.52</v>
      </c>
      <c r="K29" s="32">
        <f t="shared" si="13"/>
        <v>735.93797666917055</v>
      </c>
      <c r="L29" s="33">
        <f t="shared" si="16"/>
        <v>0</v>
      </c>
      <c r="N29" s="98">
        <f t="shared" si="6"/>
        <v>17</v>
      </c>
      <c r="O29" s="126">
        <f t="shared" si="7"/>
        <v>0</v>
      </c>
      <c r="P29" s="32">
        <f t="shared" si="2"/>
        <v>0</v>
      </c>
      <c r="Q29" s="32">
        <f t="shared" si="8"/>
        <v>0</v>
      </c>
      <c r="R29" s="37">
        <f t="shared" si="3"/>
        <v>0</v>
      </c>
      <c r="S29" s="37">
        <f t="shared" si="4"/>
        <v>0</v>
      </c>
      <c r="T29" s="37">
        <f t="shared" si="5"/>
        <v>0</v>
      </c>
      <c r="U29" s="138">
        <f t="shared" si="9"/>
        <v>0</v>
      </c>
      <c r="V29" s="141">
        <f>U29+V28</f>
        <v>76951.234339097122</v>
      </c>
    </row>
    <row r="30" spans="2:22" x14ac:dyDescent="0.25">
      <c r="B30" s="98">
        <v>2037</v>
      </c>
      <c r="C30" s="96">
        <v>0</v>
      </c>
      <c r="D30" s="89">
        <f t="shared" si="14"/>
        <v>0</v>
      </c>
      <c r="E30" s="91">
        <f t="shared" si="15"/>
        <v>0</v>
      </c>
      <c r="G30" s="98">
        <v>18</v>
      </c>
      <c r="H30" s="96">
        <v>18</v>
      </c>
      <c r="I30" s="90">
        <f t="shared" si="12"/>
        <v>6.46</v>
      </c>
      <c r="J30" s="32">
        <f t="shared" si="12"/>
        <v>41.52</v>
      </c>
      <c r="K30" s="32">
        <f t="shared" si="13"/>
        <v>735.93797666917055</v>
      </c>
      <c r="L30" s="33">
        <f t="shared" si="16"/>
        <v>0</v>
      </c>
      <c r="N30" s="98">
        <f t="shared" si="6"/>
        <v>18</v>
      </c>
      <c r="O30" s="126">
        <f t="shared" si="7"/>
        <v>0</v>
      </c>
      <c r="P30" s="32">
        <f t="shared" si="2"/>
        <v>0</v>
      </c>
      <c r="Q30" s="32">
        <f t="shared" si="8"/>
        <v>0</v>
      </c>
      <c r="R30" s="37">
        <f t="shared" si="3"/>
        <v>0</v>
      </c>
      <c r="S30" s="37">
        <f t="shared" si="4"/>
        <v>0</v>
      </c>
      <c r="T30" s="37">
        <f t="shared" si="5"/>
        <v>0</v>
      </c>
      <c r="U30" s="138">
        <f t="shared" si="9"/>
        <v>0</v>
      </c>
      <c r="V30" s="141">
        <f>U30+V29</f>
        <v>76951.234339097122</v>
      </c>
    </row>
    <row r="31" spans="2:22" x14ac:dyDescent="0.25">
      <c r="B31" s="98">
        <v>2038</v>
      </c>
      <c r="C31" s="96">
        <v>0</v>
      </c>
      <c r="D31" s="89">
        <v>0</v>
      </c>
      <c r="E31" s="91">
        <v>0</v>
      </c>
      <c r="G31" s="98">
        <v>19</v>
      </c>
      <c r="H31" s="96">
        <v>19</v>
      </c>
      <c r="I31" s="90">
        <f t="shared" si="12"/>
        <v>6.46</v>
      </c>
      <c r="J31" s="32">
        <f t="shared" si="12"/>
        <v>41.52</v>
      </c>
      <c r="K31" s="32">
        <f t="shared" si="13"/>
        <v>735.93797666917055</v>
      </c>
      <c r="L31" s="33">
        <f t="shared" si="16"/>
        <v>0</v>
      </c>
      <c r="N31" s="98">
        <f t="shared" si="6"/>
        <v>19</v>
      </c>
      <c r="O31" s="126">
        <f t="shared" si="7"/>
        <v>0</v>
      </c>
      <c r="P31" s="32">
        <f t="shared" si="2"/>
        <v>0</v>
      </c>
      <c r="Q31" s="32">
        <f t="shared" si="8"/>
        <v>0</v>
      </c>
      <c r="R31" s="37">
        <f t="shared" si="3"/>
        <v>0</v>
      </c>
      <c r="S31" s="37">
        <f t="shared" si="4"/>
        <v>0</v>
      </c>
      <c r="T31" s="37">
        <f t="shared" si="5"/>
        <v>0</v>
      </c>
      <c r="U31" s="138">
        <f t="shared" si="9"/>
        <v>0</v>
      </c>
      <c r="V31" s="141">
        <f t="shared" si="11"/>
        <v>76951.234339097122</v>
      </c>
    </row>
    <row r="32" spans="2:22" x14ac:dyDescent="0.25">
      <c r="B32" s="98">
        <v>2039</v>
      </c>
      <c r="C32" s="96">
        <v>0</v>
      </c>
      <c r="D32" s="89">
        <v>0</v>
      </c>
      <c r="E32" s="91">
        <v>0</v>
      </c>
      <c r="G32" s="98">
        <v>20</v>
      </c>
      <c r="H32" s="96">
        <v>20</v>
      </c>
      <c r="I32" s="90">
        <f t="shared" ref="I32:J42" si="17">I31</f>
        <v>6.46</v>
      </c>
      <c r="J32" s="32">
        <f t="shared" si="17"/>
        <v>41.52</v>
      </c>
      <c r="K32" s="32">
        <f t="shared" si="13"/>
        <v>735.93797666917055</v>
      </c>
      <c r="L32" s="33">
        <f t="shared" si="16"/>
        <v>0</v>
      </c>
      <c r="N32" s="98">
        <f t="shared" si="6"/>
        <v>20</v>
      </c>
      <c r="O32" s="126">
        <f t="shared" si="7"/>
        <v>0</v>
      </c>
      <c r="P32" s="32">
        <f t="shared" si="2"/>
        <v>0</v>
      </c>
      <c r="Q32" s="32">
        <f t="shared" si="8"/>
        <v>0</v>
      </c>
      <c r="R32" s="37">
        <f t="shared" si="3"/>
        <v>0</v>
      </c>
      <c r="S32" s="37">
        <f t="shared" si="4"/>
        <v>0</v>
      </c>
      <c r="T32" s="37">
        <f t="shared" si="5"/>
        <v>0</v>
      </c>
      <c r="U32" s="138">
        <f t="shared" si="9"/>
        <v>0</v>
      </c>
      <c r="V32" s="141">
        <f t="shared" si="11"/>
        <v>76951.234339097122</v>
      </c>
    </row>
    <row r="33" spans="2:22" x14ac:dyDescent="0.25">
      <c r="B33" s="98">
        <v>2040</v>
      </c>
      <c r="C33" s="96">
        <v>0</v>
      </c>
      <c r="D33" s="89">
        <v>0</v>
      </c>
      <c r="E33" s="91">
        <v>0</v>
      </c>
      <c r="G33" s="98">
        <v>21</v>
      </c>
      <c r="H33" s="96">
        <v>21</v>
      </c>
      <c r="I33" s="90">
        <f t="shared" si="17"/>
        <v>6.46</v>
      </c>
      <c r="J33" s="32">
        <f t="shared" si="17"/>
        <v>41.52</v>
      </c>
      <c r="K33" s="32">
        <f t="shared" si="13"/>
        <v>735.93797666917055</v>
      </c>
      <c r="L33" s="33">
        <f t="shared" si="16"/>
        <v>0</v>
      </c>
      <c r="N33" s="98">
        <f t="shared" ref="N33:N41" si="18">H33</f>
        <v>21</v>
      </c>
      <c r="O33" s="126">
        <f t="shared" si="7"/>
        <v>0</v>
      </c>
      <c r="P33" s="32">
        <f t="shared" si="2"/>
        <v>0</v>
      </c>
      <c r="Q33" s="32">
        <f t="shared" si="8"/>
        <v>0</v>
      </c>
      <c r="R33" s="37">
        <f t="shared" si="3"/>
        <v>0</v>
      </c>
      <c r="S33" s="37">
        <f t="shared" si="4"/>
        <v>0</v>
      </c>
      <c r="T33" s="37">
        <f t="shared" si="5"/>
        <v>0</v>
      </c>
      <c r="U33" s="138">
        <f t="shared" si="9"/>
        <v>0</v>
      </c>
      <c r="V33" s="141">
        <f t="shared" si="11"/>
        <v>76951.234339097122</v>
      </c>
    </row>
    <row r="34" spans="2:22" x14ac:dyDescent="0.25">
      <c r="B34" s="98">
        <v>2041</v>
      </c>
      <c r="C34" s="96">
        <v>0</v>
      </c>
      <c r="D34" s="89">
        <v>0</v>
      </c>
      <c r="E34" s="91">
        <v>0</v>
      </c>
      <c r="G34" s="98">
        <v>22</v>
      </c>
      <c r="H34" s="96">
        <v>22</v>
      </c>
      <c r="I34" s="90">
        <f t="shared" si="17"/>
        <v>6.46</v>
      </c>
      <c r="J34" s="32">
        <f t="shared" si="17"/>
        <v>41.52</v>
      </c>
      <c r="K34" s="32">
        <f t="shared" si="13"/>
        <v>735.93797666917055</v>
      </c>
      <c r="L34" s="33">
        <f t="shared" si="16"/>
        <v>0</v>
      </c>
      <c r="N34" s="98">
        <f t="shared" si="18"/>
        <v>22</v>
      </c>
      <c r="O34" s="126">
        <f t="shared" si="7"/>
        <v>0</v>
      </c>
      <c r="P34" s="32">
        <f t="shared" si="2"/>
        <v>0</v>
      </c>
      <c r="Q34" s="32">
        <f t="shared" si="8"/>
        <v>0</v>
      </c>
      <c r="R34" s="37">
        <f t="shared" si="3"/>
        <v>0</v>
      </c>
      <c r="S34" s="37">
        <f t="shared" si="4"/>
        <v>0</v>
      </c>
      <c r="T34" s="37">
        <f t="shared" si="5"/>
        <v>0</v>
      </c>
      <c r="U34" s="138">
        <f t="shared" si="9"/>
        <v>0</v>
      </c>
      <c r="V34" s="141">
        <f t="shared" si="11"/>
        <v>76951.234339097122</v>
      </c>
    </row>
    <row r="35" spans="2:22" x14ac:dyDescent="0.25">
      <c r="B35" s="98">
        <v>2042</v>
      </c>
      <c r="C35" s="96">
        <v>0</v>
      </c>
      <c r="D35" s="89">
        <v>0</v>
      </c>
      <c r="E35" s="91">
        <v>0</v>
      </c>
      <c r="G35" s="98">
        <v>23</v>
      </c>
      <c r="H35" s="96">
        <v>23</v>
      </c>
      <c r="I35" s="90">
        <f t="shared" si="17"/>
        <v>6.46</v>
      </c>
      <c r="J35" s="32">
        <f t="shared" si="17"/>
        <v>41.52</v>
      </c>
      <c r="K35" s="32">
        <f t="shared" si="13"/>
        <v>735.93797666917055</v>
      </c>
      <c r="L35" s="33">
        <f t="shared" si="16"/>
        <v>0</v>
      </c>
      <c r="N35" s="98">
        <f t="shared" si="18"/>
        <v>23</v>
      </c>
      <c r="O35" s="126">
        <f t="shared" si="7"/>
        <v>0</v>
      </c>
      <c r="P35" s="32">
        <f t="shared" si="2"/>
        <v>0</v>
      </c>
      <c r="Q35" s="32">
        <f t="shared" si="8"/>
        <v>0</v>
      </c>
      <c r="R35" s="37">
        <f t="shared" si="3"/>
        <v>0</v>
      </c>
      <c r="S35" s="37">
        <f t="shared" si="4"/>
        <v>0</v>
      </c>
      <c r="T35" s="37">
        <f t="shared" si="5"/>
        <v>0</v>
      </c>
      <c r="U35" s="138">
        <f t="shared" si="9"/>
        <v>0</v>
      </c>
      <c r="V35" s="141">
        <f t="shared" si="11"/>
        <v>76951.234339097122</v>
      </c>
    </row>
    <row r="36" spans="2:22" x14ac:dyDescent="0.25">
      <c r="B36" s="98">
        <v>2043</v>
      </c>
      <c r="C36" s="96">
        <v>0</v>
      </c>
      <c r="D36" s="89">
        <v>0</v>
      </c>
      <c r="E36" s="91">
        <v>0</v>
      </c>
      <c r="G36" s="98">
        <v>24</v>
      </c>
      <c r="H36" s="96">
        <v>24</v>
      </c>
      <c r="I36" s="90">
        <f t="shared" si="17"/>
        <v>6.46</v>
      </c>
      <c r="J36" s="32">
        <f t="shared" si="17"/>
        <v>41.52</v>
      </c>
      <c r="K36" s="32">
        <f t="shared" si="13"/>
        <v>735.93797666917055</v>
      </c>
      <c r="L36" s="33">
        <f t="shared" si="16"/>
        <v>0</v>
      </c>
      <c r="N36" s="98">
        <f t="shared" si="18"/>
        <v>24</v>
      </c>
      <c r="O36" s="126">
        <f t="shared" si="7"/>
        <v>0</v>
      </c>
      <c r="P36" s="32">
        <f t="shared" si="2"/>
        <v>0</v>
      </c>
      <c r="Q36" s="32">
        <f t="shared" si="8"/>
        <v>0</v>
      </c>
      <c r="R36" s="37">
        <f t="shared" si="3"/>
        <v>0</v>
      </c>
      <c r="S36" s="37">
        <f t="shared" si="4"/>
        <v>0</v>
      </c>
      <c r="T36" s="37">
        <f t="shared" si="5"/>
        <v>0</v>
      </c>
      <c r="U36" s="138">
        <f t="shared" si="9"/>
        <v>0</v>
      </c>
      <c r="V36" s="141">
        <f t="shared" si="11"/>
        <v>76951.234339097122</v>
      </c>
    </row>
    <row r="37" spans="2:22" x14ac:dyDescent="0.25">
      <c r="B37" s="98">
        <v>2044</v>
      </c>
      <c r="C37" s="96">
        <v>0</v>
      </c>
      <c r="D37" s="89">
        <v>0</v>
      </c>
      <c r="E37" s="91">
        <v>0</v>
      </c>
      <c r="G37" s="98">
        <v>25</v>
      </c>
      <c r="H37" s="96">
        <v>25</v>
      </c>
      <c r="I37" s="90">
        <f t="shared" si="17"/>
        <v>6.46</v>
      </c>
      <c r="J37" s="32">
        <f t="shared" si="17"/>
        <v>41.52</v>
      </c>
      <c r="K37" s="32">
        <f t="shared" si="13"/>
        <v>735.93797666917055</v>
      </c>
      <c r="L37" s="33">
        <f t="shared" si="16"/>
        <v>0</v>
      </c>
      <c r="N37" s="98">
        <f t="shared" si="18"/>
        <v>25</v>
      </c>
      <c r="O37" s="126">
        <f t="shared" si="7"/>
        <v>0</v>
      </c>
      <c r="P37" s="32">
        <f t="shared" si="2"/>
        <v>0</v>
      </c>
      <c r="Q37" s="32">
        <f t="shared" si="8"/>
        <v>0</v>
      </c>
      <c r="R37" s="37">
        <f t="shared" si="3"/>
        <v>0</v>
      </c>
      <c r="S37" s="37">
        <f t="shared" si="4"/>
        <v>0</v>
      </c>
      <c r="T37" s="37">
        <f t="shared" si="5"/>
        <v>0</v>
      </c>
      <c r="U37" s="138">
        <f t="shared" si="9"/>
        <v>0</v>
      </c>
      <c r="V37" s="141">
        <f t="shared" si="11"/>
        <v>76951.234339097122</v>
      </c>
    </row>
    <row r="38" spans="2:22" x14ac:dyDescent="0.25">
      <c r="B38" s="98">
        <v>2045</v>
      </c>
      <c r="C38" s="96">
        <v>0</v>
      </c>
      <c r="D38" s="89">
        <v>0</v>
      </c>
      <c r="E38" s="91">
        <v>0</v>
      </c>
      <c r="G38" s="98">
        <v>26</v>
      </c>
      <c r="H38" s="96">
        <v>26</v>
      </c>
      <c r="I38" s="90">
        <f t="shared" si="17"/>
        <v>6.46</v>
      </c>
      <c r="J38" s="32">
        <f t="shared" si="17"/>
        <v>41.52</v>
      </c>
      <c r="K38" s="32">
        <f t="shared" si="13"/>
        <v>735.93797666917055</v>
      </c>
      <c r="L38" s="33">
        <f t="shared" si="16"/>
        <v>0</v>
      </c>
      <c r="N38" s="98">
        <f t="shared" si="18"/>
        <v>26</v>
      </c>
      <c r="O38" s="126">
        <f t="shared" si="7"/>
        <v>0</v>
      </c>
      <c r="P38" s="32">
        <f t="shared" si="2"/>
        <v>0</v>
      </c>
      <c r="Q38" s="32">
        <f t="shared" si="8"/>
        <v>0</v>
      </c>
      <c r="R38" s="37">
        <f t="shared" si="3"/>
        <v>0</v>
      </c>
      <c r="S38" s="37">
        <f t="shared" si="4"/>
        <v>0</v>
      </c>
      <c r="T38" s="37">
        <f t="shared" si="5"/>
        <v>0</v>
      </c>
      <c r="U38" s="138">
        <f t="shared" si="9"/>
        <v>0</v>
      </c>
      <c r="V38" s="141">
        <f t="shared" si="11"/>
        <v>76951.234339097122</v>
      </c>
    </row>
    <row r="39" spans="2:22" x14ac:dyDescent="0.25">
      <c r="B39" s="98">
        <v>2046</v>
      </c>
      <c r="C39" s="96">
        <v>0</v>
      </c>
      <c r="D39" s="89">
        <v>0</v>
      </c>
      <c r="E39" s="91">
        <v>0</v>
      </c>
      <c r="G39" s="98">
        <v>27</v>
      </c>
      <c r="H39" s="96">
        <v>27</v>
      </c>
      <c r="I39" s="90">
        <f t="shared" si="17"/>
        <v>6.46</v>
      </c>
      <c r="J39" s="32">
        <f t="shared" si="17"/>
        <v>41.52</v>
      </c>
      <c r="K39" s="32">
        <f t="shared" si="13"/>
        <v>735.93797666917055</v>
      </c>
      <c r="L39" s="33">
        <f t="shared" si="16"/>
        <v>0</v>
      </c>
      <c r="N39" s="98">
        <f t="shared" si="18"/>
        <v>27</v>
      </c>
      <c r="O39" s="126">
        <f t="shared" si="7"/>
        <v>0</v>
      </c>
      <c r="P39" s="32">
        <f t="shared" si="2"/>
        <v>0</v>
      </c>
      <c r="Q39" s="32">
        <f t="shared" si="8"/>
        <v>0</v>
      </c>
      <c r="R39" s="37">
        <f t="shared" si="3"/>
        <v>0</v>
      </c>
      <c r="S39" s="37">
        <f t="shared" si="4"/>
        <v>0</v>
      </c>
      <c r="T39" s="37">
        <f t="shared" si="5"/>
        <v>0</v>
      </c>
      <c r="U39" s="138">
        <f t="shared" si="9"/>
        <v>0</v>
      </c>
      <c r="V39" s="141">
        <f t="shared" si="11"/>
        <v>76951.234339097122</v>
      </c>
    </row>
    <row r="40" spans="2:22" x14ac:dyDescent="0.25">
      <c r="B40" s="98">
        <v>2047</v>
      </c>
      <c r="C40" s="96">
        <v>0</v>
      </c>
      <c r="D40" s="89">
        <v>0</v>
      </c>
      <c r="E40" s="91">
        <v>0</v>
      </c>
      <c r="G40" s="98">
        <v>28</v>
      </c>
      <c r="H40" s="96">
        <v>28</v>
      </c>
      <c r="I40" s="90">
        <f t="shared" si="17"/>
        <v>6.46</v>
      </c>
      <c r="J40" s="32">
        <f t="shared" si="17"/>
        <v>41.52</v>
      </c>
      <c r="K40" s="32">
        <f t="shared" si="13"/>
        <v>735.93797666917055</v>
      </c>
      <c r="L40" s="33">
        <f t="shared" si="16"/>
        <v>0</v>
      </c>
      <c r="N40" s="98">
        <f t="shared" si="18"/>
        <v>28</v>
      </c>
      <c r="O40" s="126">
        <f t="shared" si="7"/>
        <v>0</v>
      </c>
      <c r="P40" s="32">
        <f t="shared" si="2"/>
        <v>0</v>
      </c>
      <c r="Q40" s="32">
        <f t="shared" si="8"/>
        <v>0</v>
      </c>
      <c r="R40" s="37">
        <f t="shared" si="3"/>
        <v>0</v>
      </c>
      <c r="S40" s="37">
        <f t="shared" si="4"/>
        <v>0</v>
      </c>
      <c r="T40" s="37">
        <f t="shared" si="5"/>
        <v>0</v>
      </c>
      <c r="U40" s="138">
        <f t="shared" si="9"/>
        <v>0</v>
      </c>
      <c r="V40" s="141">
        <f t="shared" si="11"/>
        <v>76951.234339097122</v>
      </c>
    </row>
    <row r="41" spans="2:22" ht="15.75" thickBot="1" x14ac:dyDescent="0.3">
      <c r="B41" s="99">
        <v>2048</v>
      </c>
      <c r="C41" s="100">
        <v>0</v>
      </c>
      <c r="D41" s="101">
        <v>0</v>
      </c>
      <c r="E41" s="102">
        <v>0</v>
      </c>
      <c r="F41" s="31"/>
      <c r="G41" s="98">
        <v>29</v>
      </c>
      <c r="H41" s="96">
        <v>29</v>
      </c>
      <c r="I41" s="90">
        <f t="shared" si="17"/>
        <v>6.46</v>
      </c>
      <c r="J41" s="32">
        <f t="shared" si="17"/>
        <v>41.52</v>
      </c>
      <c r="K41" s="32">
        <f t="shared" si="13"/>
        <v>735.93797666917055</v>
      </c>
      <c r="L41" s="33">
        <f t="shared" si="16"/>
        <v>0</v>
      </c>
      <c r="N41" s="98">
        <f t="shared" si="18"/>
        <v>29</v>
      </c>
      <c r="O41" s="126">
        <f t="shared" si="7"/>
        <v>0</v>
      </c>
      <c r="P41" s="32">
        <f t="shared" si="2"/>
        <v>0</v>
      </c>
      <c r="Q41" s="32">
        <f t="shared" si="8"/>
        <v>0</v>
      </c>
      <c r="R41" s="37">
        <f t="shared" si="3"/>
        <v>0</v>
      </c>
      <c r="S41" s="37">
        <f t="shared" si="4"/>
        <v>0</v>
      </c>
      <c r="T41" s="37">
        <f t="shared" si="5"/>
        <v>0</v>
      </c>
      <c r="U41" s="138">
        <f t="shared" si="9"/>
        <v>0</v>
      </c>
      <c r="V41" s="141">
        <f t="shared" si="11"/>
        <v>76951.234339097122</v>
      </c>
    </row>
    <row r="42" spans="2:22" ht="15.75" thickBot="1" x14ac:dyDescent="0.3">
      <c r="F42" s="31"/>
      <c r="G42" s="99">
        <v>30</v>
      </c>
      <c r="H42" s="100" t="s">
        <v>160</v>
      </c>
      <c r="I42" s="117">
        <f t="shared" si="17"/>
        <v>6.46</v>
      </c>
      <c r="J42" s="34">
        <f t="shared" si="17"/>
        <v>41.52</v>
      </c>
      <c r="K42" s="34">
        <f>0.307*(I42^2.174)*J42</f>
        <v>735.93797666917055</v>
      </c>
      <c r="L42" s="35">
        <f t="shared" si="16"/>
        <v>0</v>
      </c>
      <c r="N42" s="99">
        <v>30</v>
      </c>
      <c r="O42" s="127">
        <f t="shared" si="7"/>
        <v>0</v>
      </c>
      <c r="P42" s="34">
        <f t="shared" si="2"/>
        <v>0</v>
      </c>
      <c r="Q42" s="34">
        <f t="shared" si="8"/>
        <v>0</v>
      </c>
      <c r="R42" s="128">
        <f t="shared" si="3"/>
        <v>0</v>
      </c>
      <c r="S42" s="128">
        <f t="shared" si="4"/>
        <v>0</v>
      </c>
      <c r="T42" s="128">
        <f t="shared" si="5"/>
        <v>0</v>
      </c>
      <c r="U42" s="139">
        <f t="shared" si="9"/>
        <v>0</v>
      </c>
      <c r="V42" s="142">
        <f t="shared" si="11"/>
        <v>76951.234339097122</v>
      </c>
    </row>
  </sheetData>
  <mergeCells count="21">
    <mergeCell ref="B9:B11"/>
    <mergeCell ref="C9:C11"/>
    <mergeCell ref="D9:D11"/>
    <mergeCell ref="E9:E11"/>
    <mergeCell ref="G10:G12"/>
    <mergeCell ref="G9:L9"/>
    <mergeCell ref="H10:H12"/>
    <mergeCell ref="H2:K2"/>
    <mergeCell ref="V10:V12"/>
    <mergeCell ref="O10:O12"/>
    <mergeCell ref="P10:P12"/>
    <mergeCell ref="Q10:Q12"/>
    <mergeCell ref="R10:R12"/>
    <mergeCell ref="S10:S12"/>
    <mergeCell ref="T10:T12"/>
    <mergeCell ref="U10:U12"/>
    <mergeCell ref="N10:N12"/>
    <mergeCell ref="I10:I12"/>
    <mergeCell ref="J10:J12"/>
    <mergeCell ref="K10:K12"/>
    <mergeCell ref="L10:L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02DF-E32F-4F2C-9161-B913E905BB44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6.5703125" style="1" customWidth="1"/>
    <col min="6" max="6" width="12.7109375" style="1" customWidth="1"/>
    <col min="7" max="7" width="8.28515625" style="1" customWidth="1"/>
    <col min="8" max="8" width="29" style="1" bestFit="1" customWidth="1"/>
    <col min="9" max="9" width="20.7109375" style="1" customWidth="1"/>
    <col min="10" max="10" width="22.85546875" style="1" customWidth="1"/>
    <col min="11" max="11" width="16" style="1" customWidth="1"/>
    <col min="12" max="12" width="18.140625" style="1" customWidth="1"/>
    <col min="13" max="13" width="10.285156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19" width="13" style="1" customWidth="1"/>
    <col min="20" max="20" width="14.42578125" style="1" customWidth="1"/>
    <col min="21" max="21" width="19.28515625" style="1" bestFit="1" customWidth="1"/>
    <col min="22" max="22" width="17.5703125" style="1" bestFit="1" customWidth="1"/>
    <col min="23" max="23" width="12.42578125" style="1" customWidth="1"/>
    <col min="24" max="16384" width="9.28515625" style="1"/>
  </cols>
  <sheetData>
    <row r="1" spans="2:22" ht="15" customHeight="1" thickBot="1" x14ac:dyDescent="0.3"/>
    <row r="2" spans="2:22" ht="15.75" customHeight="1" thickBot="1" x14ac:dyDescent="0.3">
      <c r="H2" s="350" t="s">
        <v>129</v>
      </c>
      <c r="I2" s="351"/>
      <c r="J2" s="351"/>
      <c r="K2" s="352"/>
      <c r="L2"/>
    </row>
    <row r="3" spans="2:22" x14ac:dyDescent="0.25">
      <c r="H3" s="66" t="s">
        <v>190</v>
      </c>
      <c r="I3" s="67">
        <f>'General Information'!H3</f>
        <v>6.46</v>
      </c>
      <c r="J3" s="118" t="s">
        <v>15</v>
      </c>
      <c r="K3" s="119">
        <f>'General Information'!C6</f>
        <v>0.47</v>
      </c>
    </row>
    <row r="4" spans="2:22" ht="28.5" x14ac:dyDescent="0.25">
      <c r="H4" s="70" t="s">
        <v>155</v>
      </c>
      <c r="I4" s="44">
        <f>'General Information'!I3</f>
        <v>6.92</v>
      </c>
      <c r="J4" s="83" t="s">
        <v>6</v>
      </c>
      <c r="K4" s="120">
        <f>'General Information'!D6</f>
        <v>0</v>
      </c>
    </row>
    <row r="5" spans="2:22" x14ac:dyDescent="0.25">
      <c r="H5" s="121" t="s">
        <v>16</v>
      </c>
      <c r="I5" s="44" t="str">
        <f>'General Information'!E3</f>
        <v>Y=0.307*DBH^2.174</v>
      </c>
      <c r="J5" s="83" t="s">
        <v>7</v>
      </c>
      <c r="K5" s="120">
        <f>'General Information'!E6</f>
        <v>0</v>
      </c>
    </row>
    <row r="6" spans="2:22" x14ac:dyDescent="0.25">
      <c r="H6" s="121" t="s">
        <v>17</v>
      </c>
      <c r="I6" s="84">
        <f>'General Information'!B6</f>
        <v>0.25</v>
      </c>
      <c r="J6" s="83" t="s">
        <v>202</v>
      </c>
      <c r="K6" s="71">
        <f>'General Information'!K3</f>
        <v>0.2</v>
      </c>
    </row>
    <row r="7" spans="2:22" ht="18" thickBot="1" x14ac:dyDescent="0.35">
      <c r="H7" s="72" t="s">
        <v>156</v>
      </c>
      <c r="I7" s="73">
        <f>'General Information'!F6</f>
        <v>3.6666666666666665</v>
      </c>
      <c r="J7" s="122"/>
      <c r="K7" s="123"/>
    </row>
    <row r="8" spans="2:22" ht="15.75" thickBot="1" x14ac:dyDescent="0.3"/>
    <row r="9" spans="2:22" ht="15" customHeight="1" thickBot="1" x14ac:dyDescent="0.3">
      <c r="B9" s="387" t="s">
        <v>18</v>
      </c>
      <c r="C9" s="365" t="s">
        <v>19</v>
      </c>
      <c r="D9" s="371" t="s">
        <v>20</v>
      </c>
      <c r="E9" s="374" t="s">
        <v>21</v>
      </c>
      <c r="G9" s="402" t="s">
        <v>22</v>
      </c>
      <c r="H9" s="403"/>
      <c r="I9" s="403"/>
      <c r="J9" s="403"/>
      <c r="K9" s="403"/>
      <c r="L9" s="404"/>
    </row>
    <row r="10" spans="2:22" ht="15" customHeight="1" x14ac:dyDescent="0.25">
      <c r="B10" s="388"/>
      <c r="C10" s="366"/>
      <c r="D10" s="372"/>
      <c r="E10" s="375"/>
      <c r="G10" s="381" t="s">
        <v>23</v>
      </c>
      <c r="H10" s="393" t="s">
        <v>18</v>
      </c>
      <c r="I10" s="347" t="s">
        <v>24</v>
      </c>
      <c r="J10" s="347" t="s">
        <v>25</v>
      </c>
      <c r="K10" s="347" t="s">
        <v>26</v>
      </c>
      <c r="L10" s="399" t="s">
        <v>27</v>
      </c>
      <c r="N10" s="341" t="s">
        <v>18</v>
      </c>
      <c r="O10" s="359" t="s">
        <v>28</v>
      </c>
      <c r="P10" s="353" t="s">
        <v>29</v>
      </c>
      <c r="Q10" s="353" t="s">
        <v>134</v>
      </c>
      <c r="R10" s="353" t="s">
        <v>159</v>
      </c>
      <c r="S10" s="353" t="s">
        <v>133</v>
      </c>
      <c r="T10" s="353" t="s">
        <v>132</v>
      </c>
      <c r="U10" s="384" t="s">
        <v>131</v>
      </c>
      <c r="V10" s="381" t="s">
        <v>130</v>
      </c>
    </row>
    <row r="11" spans="2:22" ht="15.75" thickBot="1" x14ac:dyDescent="0.3">
      <c r="B11" s="389"/>
      <c r="C11" s="396"/>
      <c r="D11" s="397"/>
      <c r="E11" s="398"/>
      <c r="G11" s="382"/>
      <c r="H11" s="394"/>
      <c r="I11" s="348"/>
      <c r="J11" s="348"/>
      <c r="K11" s="348"/>
      <c r="L11" s="400"/>
      <c r="N11" s="342"/>
      <c r="O11" s="360"/>
      <c r="P11" s="354"/>
      <c r="Q11" s="354"/>
      <c r="R11" s="354"/>
      <c r="S11" s="354"/>
      <c r="T11" s="354"/>
      <c r="U11" s="385"/>
      <c r="V11" s="382"/>
    </row>
    <row r="12" spans="2:22" ht="15.75" thickBot="1" x14ac:dyDescent="0.3">
      <c r="B12" s="97">
        <v>2019</v>
      </c>
      <c r="C12" s="94">
        <v>0</v>
      </c>
      <c r="D12" s="92">
        <v>0</v>
      </c>
      <c r="E12" s="93">
        <f t="shared" ref="E12:E17" si="0">C12-D12</f>
        <v>0</v>
      </c>
      <c r="G12" s="383"/>
      <c r="H12" s="395"/>
      <c r="I12" s="349"/>
      <c r="J12" s="349"/>
      <c r="K12" s="349"/>
      <c r="L12" s="401"/>
      <c r="N12" s="343"/>
      <c r="O12" s="361"/>
      <c r="P12" s="355"/>
      <c r="Q12" s="355"/>
      <c r="R12" s="355"/>
      <c r="S12" s="355"/>
      <c r="T12" s="355"/>
      <c r="U12" s="386"/>
      <c r="V12" s="383"/>
    </row>
    <row r="13" spans="2:22" x14ac:dyDescent="0.25">
      <c r="B13" s="98">
        <v>2020</v>
      </c>
      <c r="C13" s="95">
        <v>0</v>
      </c>
      <c r="D13" s="87">
        <v>0</v>
      </c>
      <c r="E13" s="88">
        <f t="shared" si="0"/>
        <v>0</v>
      </c>
      <c r="G13" s="111">
        <v>1</v>
      </c>
      <c r="H13" s="113" t="s">
        <v>158</v>
      </c>
      <c r="I13" s="114">
        <v>0</v>
      </c>
      <c r="J13" s="115">
        <v>0</v>
      </c>
      <c r="K13" s="115">
        <f>0.307*(I13^2.174)*J13</f>
        <v>0</v>
      </c>
      <c r="L13" s="116">
        <f>K13</f>
        <v>0</v>
      </c>
      <c r="N13" s="111">
        <v>1</v>
      </c>
      <c r="O13" s="125">
        <f>(L13*$E$14)/1000</f>
        <v>0</v>
      </c>
      <c r="P13" s="115">
        <f t="shared" ref="P13:P42" si="1">O13*$I$6</f>
        <v>0</v>
      </c>
      <c r="Q13" s="115">
        <f>O13+P13</f>
        <v>0</v>
      </c>
      <c r="R13" s="115">
        <f t="shared" ref="R13:R42" si="2">Q13*$I$7*$K$3</f>
        <v>0</v>
      </c>
      <c r="S13" s="115">
        <f t="shared" ref="S13:S42" si="3">R13*$K$4</f>
        <v>0</v>
      </c>
      <c r="T13" s="115">
        <f t="shared" ref="T13:T42" si="4">R13*$K$5</f>
        <v>0</v>
      </c>
      <c r="U13" s="137">
        <f>R13+S13+T13</f>
        <v>0</v>
      </c>
      <c r="V13" s="140">
        <f>U13</f>
        <v>0</v>
      </c>
    </row>
    <row r="14" spans="2:22" x14ac:dyDescent="0.25">
      <c r="B14" s="98">
        <v>2021</v>
      </c>
      <c r="C14" s="95">
        <f>('General Information'!$C$10*'General Information'!C13)</f>
        <v>14987.500000000005</v>
      </c>
      <c r="D14" s="87">
        <f>C14*10%</f>
        <v>1498.7500000000007</v>
      </c>
      <c r="E14" s="88">
        <f t="shared" si="0"/>
        <v>13488.750000000005</v>
      </c>
      <c r="G14" s="98">
        <v>2</v>
      </c>
      <c r="H14" s="29">
        <v>2</v>
      </c>
      <c r="I14" s="90">
        <v>0</v>
      </c>
      <c r="J14" s="32">
        <v>0</v>
      </c>
      <c r="K14" s="32">
        <f>0.307*(I14^2.174)*J14</f>
        <v>0</v>
      </c>
      <c r="L14" s="33">
        <f>K14-K13</f>
        <v>0</v>
      </c>
      <c r="N14" s="98">
        <f t="shared" ref="N14:N32" si="5">H14</f>
        <v>2</v>
      </c>
      <c r="O14" s="126">
        <f t="shared" ref="O14:O42" si="6">(L14*$E$14)/1000</f>
        <v>0</v>
      </c>
      <c r="P14" s="32">
        <f t="shared" si="1"/>
        <v>0</v>
      </c>
      <c r="Q14" s="32">
        <f t="shared" ref="Q14:Q42" si="7">O14+P14</f>
        <v>0</v>
      </c>
      <c r="R14" s="37">
        <f t="shared" si="2"/>
        <v>0</v>
      </c>
      <c r="S14" s="37">
        <f t="shared" si="3"/>
        <v>0</v>
      </c>
      <c r="T14" s="37">
        <f t="shared" si="4"/>
        <v>0</v>
      </c>
      <c r="U14" s="138">
        <f t="shared" ref="U14:U42" si="8">R14+S14+T14</f>
        <v>0</v>
      </c>
      <c r="V14" s="141">
        <f>U14+V13</f>
        <v>0</v>
      </c>
    </row>
    <row r="15" spans="2:22" x14ac:dyDescent="0.25">
      <c r="B15" s="98">
        <v>2022</v>
      </c>
      <c r="C15" s="95">
        <v>0</v>
      </c>
      <c r="D15" s="87">
        <f>C15*10%</f>
        <v>0</v>
      </c>
      <c r="E15" s="88">
        <f t="shared" si="0"/>
        <v>0</v>
      </c>
      <c r="G15" s="98">
        <v>3</v>
      </c>
      <c r="H15" s="29">
        <v>3</v>
      </c>
      <c r="I15" s="90">
        <f>I3</f>
        <v>6.46</v>
      </c>
      <c r="J15" s="32">
        <f>I4</f>
        <v>6.92</v>
      </c>
      <c r="K15" s="32">
        <f t="shared" ref="K15:K41" si="9">0.307*(I15^2.174)*J15</f>
        <v>122.65632944486175</v>
      </c>
      <c r="L15" s="33">
        <f t="shared" ref="L15:L19" si="10">K15-K14</f>
        <v>122.65632944486175</v>
      </c>
      <c r="N15" s="98">
        <f t="shared" si="5"/>
        <v>3</v>
      </c>
      <c r="O15" s="126">
        <f t="shared" si="6"/>
        <v>1654.4805637993795</v>
      </c>
      <c r="P15" s="32">
        <f t="shared" si="1"/>
        <v>413.62014094984488</v>
      </c>
      <c r="Q15" s="32">
        <f t="shared" si="7"/>
        <v>2068.1007047492244</v>
      </c>
      <c r="R15" s="37">
        <f t="shared" si="2"/>
        <v>3564.0268811844962</v>
      </c>
      <c r="S15" s="37">
        <f t="shared" si="3"/>
        <v>0</v>
      </c>
      <c r="T15" s="37">
        <f t="shared" si="4"/>
        <v>0</v>
      </c>
      <c r="U15" s="138">
        <f t="shared" si="8"/>
        <v>3564.0268811844962</v>
      </c>
      <c r="V15" s="141">
        <f t="shared" ref="V15:V42" si="11">U15+V14</f>
        <v>3564.0268811844962</v>
      </c>
    </row>
    <row r="16" spans="2:22" x14ac:dyDescent="0.25">
      <c r="B16" s="98">
        <v>2023</v>
      </c>
      <c r="C16" s="95">
        <v>0</v>
      </c>
      <c r="D16" s="87">
        <f>C16*10%</f>
        <v>0</v>
      </c>
      <c r="E16" s="88">
        <f t="shared" si="0"/>
        <v>0</v>
      </c>
      <c r="G16" s="98">
        <v>4</v>
      </c>
      <c r="H16" s="29">
        <v>4</v>
      </c>
      <c r="I16" s="90">
        <f t="shared" ref="I16:J31" si="12">I15</f>
        <v>6.46</v>
      </c>
      <c r="J16" s="32">
        <f>$I$4+J15</f>
        <v>13.84</v>
      </c>
      <c r="K16" s="32">
        <f t="shared" si="9"/>
        <v>245.31265888972351</v>
      </c>
      <c r="L16" s="33">
        <f t="shared" si="10"/>
        <v>122.65632944486175</v>
      </c>
      <c r="N16" s="98">
        <f t="shared" si="5"/>
        <v>4</v>
      </c>
      <c r="O16" s="126">
        <f t="shared" si="6"/>
        <v>1654.4805637993795</v>
      </c>
      <c r="P16" s="32">
        <f t="shared" si="1"/>
        <v>413.62014094984488</v>
      </c>
      <c r="Q16" s="32">
        <f t="shared" si="7"/>
        <v>2068.1007047492244</v>
      </c>
      <c r="R16" s="37">
        <f t="shared" si="2"/>
        <v>3564.0268811844962</v>
      </c>
      <c r="S16" s="37">
        <f t="shared" si="3"/>
        <v>0</v>
      </c>
      <c r="T16" s="37">
        <f t="shared" si="4"/>
        <v>0</v>
      </c>
      <c r="U16" s="138">
        <f t="shared" si="8"/>
        <v>3564.0268811844962</v>
      </c>
      <c r="V16" s="141">
        <f t="shared" si="11"/>
        <v>7128.0537623689925</v>
      </c>
    </row>
    <row r="17" spans="2:22" x14ac:dyDescent="0.25">
      <c r="B17" s="98">
        <v>2024</v>
      </c>
      <c r="C17" s="95">
        <v>0</v>
      </c>
      <c r="D17" s="87">
        <f>C17*10%</f>
        <v>0</v>
      </c>
      <c r="E17" s="88">
        <f t="shared" si="0"/>
        <v>0</v>
      </c>
      <c r="G17" s="98">
        <v>5</v>
      </c>
      <c r="H17" s="29">
        <v>5</v>
      </c>
      <c r="I17" s="90">
        <f t="shared" si="12"/>
        <v>6.46</v>
      </c>
      <c r="J17" s="32">
        <f>$I$4+J16</f>
        <v>20.759999999999998</v>
      </c>
      <c r="K17" s="32">
        <f t="shared" si="9"/>
        <v>367.96898833458522</v>
      </c>
      <c r="L17" s="33">
        <f t="shared" si="10"/>
        <v>122.65632944486171</v>
      </c>
      <c r="N17" s="98">
        <f t="shared" si="5"/>
        <v>5</v>
      </c>
      <c r="O17" s="126">
        <f t="shared" si="6"/>
        <v>1654.4805637993791</v>
      </c>
      <c r="P17" s="32">
        <f t="shared" si="1"/>
        <v>413.62014094984477</v>
      </c>
      <c r="Q17" s="32">
        <f t="shared" si="7"/>
        <v>2068.100704749224</v>
      </c>
      <c r="R17" s="37">
        <f t="shared" si="2"/>
        <v>3564.0268811844958</v>
      </c>
      <c r="S17" s="37">
        <f t="shared" si="3"/>
        <v>0</v>
      </c>
      <c r="T17" s="37">
        <f t="shared" si="4"/>
        <v>0</v>
      </c>
      <c r="U17" s="138">
        <f t="shared" si="8"/>
        <v>3564.0268811844958</v>
      </c>
      <c r="V17" s="141">
        <f t="shared" si="11"/>
        <v>10692.080643553489</v>
      </c>
    </row>
    <row r="18" spans="2:22" x14ac:dyDescent="0.25">
      <c r="B18" s="98">
        <v>2025</v>
      </c>
      <c r="C18" s="96">
        <v>0</v>
      </c>
      <c r="D18" s="89">
        <v>0</v>
      </c>
      <c r="E18" s="91">
        <v>0</v>
      </c>
      <c r="G18" s="98">
        <v>6</v>
      </c>
      <c r="H18" s="29">
        <v>6</v>
      </c>
      <c r="I18" s="90">
        <f t="shared" si="12"/>
        <v>6.46</v>
      </c>
      <c r="J18" s="32">
        <f>$I$4+J17</f>
        <v>27.68</v>
      </c>
      <c r="K18" s="32">
        <f t="shared" si="9"/>
        <v>490.62531777944702</v>
      </c>
      <c r="L18" s="33">
        <f t="shared" si="10"/>
        <v>122.6563294448618</v>
      </c>
      <c r="N18" s="98">
        <f t="shared" si="5"/>
        <v>6</v>
      </c>
      <c r="O18" s="126">
        <f t="shared" si="6"/>
        <v>1654.4805637993804</v>
      </c>
      <c r="P18" s="32">
        <f t="shared" si="1"/>
        <v>413.62014094984511</v>
      </c>
      <c r="Q18" s="32">
        <f t="shared" si="7"/>
        <v>2068.1007047492258</v>
      </c>
      <c r="R18" s="37">
        <f t="shared" si="2"/>
        <v>3564.0268811844985</v>
      </c>
      <c r="S18" s="37">
        <f t="shared" si="3"/>
        <v>0</v>
      </c>
      <c r="T18" s="37">
        <f t="shared" si="4"/>
        <v>0</v>
      </c>
      <c r="U18" s="138">
        <f t="shared" si="8"/>
        <v>3564.0268811844985</v>
      </c>
      <c r="V18" s="141">
        <f t="shared" si="11"/>
        <v>14256.107524737987</v>
      </c>
    </row>
    <row r="19" spans="2:22" x14ac:dyDescent="0.25">
      <c r="B19" s="98">
        <v>2026</v>
      </c>
      <c r="C19" s="96">
        <v>0</v>
      </c>
      <c r="D19" s="89">
        <f t="shared" ref="D19:D30" si="13">C19*10%</f>
        <v>0</v>
      </c>
      <c r="E19" s="91">
        <f t="shared" ref="E19:E30" si="14">C19-D19</f>
        <v>0</v>
      </c>
      <c r="G19" s="98">
        <v>7</v>
      </c>
      <c r="H19" s="29">
        <v>7</v>
      </c>
      <c r="I19" s="90">
        <f t="shared" si="12"/>
        <v>6.46</v>
      </c>
      <c r="J19" s="32">
        <f>$I$4+J18</f>
        <v>34.6</v>
      </c>
      <c r="K19" s="32">
        <f t="shared" si="9"/>
        <v>613.28164722430881</v>
      </c>
      <c r="L19" s="33">
        <f t="shared" si="10"/>
        <v>122.6563294448618</v>
      </c>
      <c r="N19" s="98">
        <f t="shared" si="5"/>
        <v>7</v>
      </c>
      <c r="O19" s="126">
        <f t="shared" si="6"/>
        <v>1654.4805637993804</v>
      </c>
      <c r="P19" s="32">
        <f t="shared" si="1"/>
        <v>413.62014094984511</v>
      </c>
      <c r="Q19" s="32">
        <f t="shared" si="7"/>
        <v>2068.1007047492258</v>
      </c>
      <c r="R19" s="37">
        <f t="shared" si="2"/>
        <v>3564.0268811844985</v>
      </c>
      <c r="S19" s="37">
        <f t="shared" si="3"/>
        <v>0</v>
      </c>
      <c r="T19" s="37">
        <f t="shared" si="4"/>
        <v>0</v>
      </c>
      <c r="U19" s="138">
        <f t="shared" si="8"/>
        <v>3564.0268811844985</v>
      </c>
      <c r="V19" s="141">
        <f t="shared" si="11"/>
        <v>17820.134405922487</v>
      </c>
    </row>
    <row r="20" spans="2:22" x14ac:dyDescent="0.25">
      <c r="B20" s="98">
        <v>2027</v>
      </c>
      <c r="C20" s="96">
        <v>0</v>
      </c>
      <c r="D20" s="89">
        <f t="shared" si="13"/>
        <v>0</v>
      </c>
      <c r="E20" s="91">
        <f t="shared" si="14"/>
        <v>0</v>
      </c>
      <c r="G20" s="98">
        <v>8</v>
      </c>
      <c r="H20" s="29">
        <v>8</v>
      </c>
      <c r="I20" s="90">
        <f t="shared" si="12"/>
        <v>6.46</v>
      </c>
      <c r="J20" s="32">
        <f>$I$4+J19</f>
        <v>41.52</v>
      </c>
      <c r="K20" s="32">
        <f t="shared" si="9"/>
        <v>735.93797666917055</v>
      </c>
      <c r="L20" s="33">
        <f>(K20-K19)*(1-$K$6)</f>
        <v>98.125063555889398</v>
      </c>
      <c r="N20" s="98">
        <f t="shared" si="5"/>
        <v>8</v>
      </c>
      <c r="O20" s="126">
        <f t="shared" si="6"/>
        <v>1323.5844510395036</v>
      </c>
      <c r="P20" s="32">
        <f t="shared" si="1"/>
        <v>330.8961127598759</v>
      </c>
      <c r="Q20" s="32">
        <f t="shared" si="7"/>
        <v>1654.4805637993795</v>
      </c>
      <c r="R20" s="37">
        <f t="shared" si="2"/>
        <v>2851.2215049475967</v>
      </c>
      <c r="S20" s="37">
        <f t="shared" si="3"/>
        <v>0</v>
      </c>
      <c r="T20" s="37">
        <f t="shared" si="4"/>
        <v>0</v>
      </c>
      <c r="U20" s="138">
        <f t="shared" si="8"/>
        <v>2851.2215049475967</v>
      </c>
      <c r="V20" s="141">
        <f t="shared" si="11"/>
        <v>20671.355910870083</v>
      </c>
    </row>
    <row r="21" spans="2:22" x14ac:dyDescent="0.25">
      <c r="B21" s="98">
        <v>2028</v>
      </c>
      <c r="C21" s="96">
        <v>0</v>
      </c>
      <c r="D21" s="89">
        <f t="shared" si="13"/>
        <v>0</v>
      </c>
      <c r="E21" s="91">
        <f t="shared" si="14"/>
        <v>0</v>
      </c>
      <c r="G21" s="98">
        <v>9</v>
      </c>
      <c r="H21" s="29">
        <v>9</v>
      </c>
      <c r="I21" s="90">
        <f t="shared" si="12"/>
        <v>6.46</v>
      </c>
      <c r="J21" s="32">
        <f>J20</f>
        <v>41.52</v>
      </c>
      <c r="K21" s="32">
        <f t="shared" si="9"/>
        <v>735.93797666917055</v>
      </c>
      <c r="L21" s="33">
        <f t="shared" ref="L21:L42" si="15">(K21-K20)*(1-$K$6)</f>
        <v>0</v>
      </c>
      <c r="N21" s="98">
        <f t="shared" si="5"/>
        <v>9</v>
      </c>
      <c r="O21" s="126">
        <f t="shared" si="6"/>
        <v>0</v>
      </c>
      <c r="P21" s="32">
        <f t="shared" si="1"/>
        <v>0</v>
      </c>
      <c r="Q21" s="32">
        <f t="shared" si="7"/>
        <v>0</v>
      </c>
      <c r="R21" s="37">
        <f t="shared" si="2"/>
        <v>0</v>
      </c>
      <c r="S21" s="37">
        <f t="shared" si="3"/>
        <v>0</v>
      </c>
      <c r="T21" s="37">
        <f t="shared" si="4"/>
        <v>0</v>
      </c>
      <c r="U21" s="138">
        <f t="shared" si="8"/>
        <v>0</v>
      </c>
      <c r="V21" s="141">
        <f t="shared" si="11"/>
        <v>20671.355910870083</v>
      </c>
    </row>
    <row r="22" spans="2:22" x14ac:dyDescent="0.25">
      <c r="B22" s="98">
        <v>2029</v>
      </c>
      <c r="C22" s="96">
        <v>0</v>
      </c>
      <c r="D22" s="89">
        <f t="shared" si="13"/>
        <v>0</v>
      </c>
      <c r="E22" s="91">
        <f t="shared" si="14"/>
        <v>0</v>
      </c>
      <c r="G22" s="98">
        <v>10</v>
      </c>
      <c r="H22" s="29">
        <v>10</v>
      </c>
      <c r="I22" s="90">
        <f t="shared" si="12"/>
        <v>6.46</v>
      </c>
      <c r="J22" s="32">
        <f t="shared" si="12"/>
        <v>41.52</v>
      </c>
      <c r="K22" s="32">
        <f t="shared" si="9"/>
        <v>735.93797666917055</v>
      </c>
      <c r="L22" s="33">
        <f t="shared" si="15"/>
        <v>0</v>
      </c>
      <c r="N22" s="98">
        <f t="shared" si="5"/>
        <v>10</v>
      </c>
      <c r="O22" s="126">
        <f t="shared" si="6"/>
        <v>0</v>
      </c>
      <c r="P22" s="32">
        <f t="shared" si="1"/>
        <v>0</v>
      </c>
      <c r="Q22" s="32">
        <f t="shared" si="7"/>
        <v>0</v>
      </c>
      <c r="R22" s="37">
        <f t="shared" si="2"/>
        <v>0</v>
      </c>
      <c r="S22" s="37">
        <f t="shared" si="3"/>
        <v>0</v>
      </c>
      <c r="T22" s="37">
        <f t="shared" si="4"/>
        <v>0</v>
      </c>
      <c r="U22" s="138">
        <f t="shared" si="8"/>
        <v>0</v>
      </c>
      <c r="V22" s="141">
        <f t="shared" si="11"/>
        <v>20671.355910870083</v>
      </c>
    </row>
    <row r="23" spans="2:22" x14ac:dyDescent="0.25">
      <c r="B23" s="98">
        <v>2030</v>
      </c>
      <c r="C23" s="96">
        <v>0</v>
      </c>
      <c r="D23" s="89">
        <f t="shared" si="13"/>
        <v>0</v>
      </c>
      <c r="E23" s="91">
        <f t="shared" si="14"/>
        <v>0</v>
      </c>
      <c r="G23" s="98">
        <v>11</v>
      </c>
      <c r="H23" s="29">
        <v>11</v>
      </c>
      <c r="I23" s="90">
        <f t="shared" si="12"/>
        <v>6.46</v>
      </c>
      <c r="J23" s="32">
        <f t="shared" si="12"/>
        <v>41.52</v>
      </c>
      <c r="K23" s="32">
        <f t="shared" si="9"/>
        <v>735.93797666917055</v>
      </c>
      <c r="L23" s="33">
        <f t="shared" si="15"/>
        <v>0</v>
      </c>
      <c r="N23" s="98">
        <f t="shared" si="5"/>
        <v>11</v>
      </c>
      <c r="O23" s="126">
        <f t="shared" si="6"/>
        <v>0</v>
      </c>
      <c r="P23" s="32">
        <f t="shared" si="1"/>
        <v>0</v>
      </c>
      <c r="Q23" s="32">
        <f t="shared" si="7"/>
        <v>0</v>
      </c>
      <c r="R23" s="37">
        <f t="shared" si="2"/>
        <v>0</v>
      </c>
      <c r="S23" s="37">
        <f t="shared" si="3"/>
        <v>0</v>
      </c>
      <c r="T23" s="37">
        <f t="shared" si="4"/>
        <v>0</v>
      </c>
      <c r="U23" s="138">
        <f t="shared" si="8"/>
        <v>0</v>
      </c>
      <c r="V23" s="141">
        <f t="shared" si="11"/>
        <v>20671.355910870083</v>
      </c>
    </row>
    <row r="24" spans="2:22" x14ac:dyDescent="0.25">
      <c r="B24" s="98">
        <v>2031</v>
      </c>
      <c r="C24" s="96">
        <v>0</v>
      </c>
      <c r="D24" s="89">
        <f t="shared" si="13"/>
        <v>0</v>
      </c>
      <c r="E24" s="91">
        <f t="shared" si="14"/>
        <v>0</v>
      </c>
      <c r="G24" s="98">
        <v>12</v>
      </c>
      <c r="H24" s="29">
        <v>12</v>
      </c>
      <c r="I24" s="90">
        <f t="shared" si="12"/>
        <v>6.46</v>
      </c>
      <c r="J24" s="32">
        <f t="shared" si="12"/>
        <v>41.52</v>
      </c>
      <c r="K24" s="32">
        <f t="shared" si="9"/>
        <v>735.93797666917055</v>
      </c>
      <c r="L24" s="33">
        <f t="shared" si="15"/>
        <v>0</v>
      </c>
      <c r="N24" s="98">
        <f t="shared" si="5"/>
        <v>12</v>
      </c>
      <c r="O24" s="126">
        <f t="shared" si="6"/>
        <v>0</v>
      </c>
      <c r="P24" s="32">
        <f t="shared" si="1"/>
        <v>0</v>
      </c>
      <c r="Q24" s="32">
        <f t="shared" si="7"/>
        <v>0</v>
      </c>
      <c r="R24" s="37">
        <f t="shared" si="2"/>
        <v>0</v>
      </c>
      <c r="S24" s="37">
        <f t="shared" si="3"/>
        <v>0</v>
      </c>
      <c r="T24" s="37">
        <f t="shared" si="4"/>
        <v>0</v>
      </c>
      <c r="U24" s="138">
        <f t="shared" si="8"/>
        <v>0</v>
      </c>
      <c r="V24" s="141">
        <f t="shared" si="11"/>
        <v>20671.355910870083</v>
      </c>
    </row>
    <row r="25" spans="2:22" x14ac:dyDescent="0.25">
      <c r="B25" s="98">
        <v>2032</v>
      </c>
      <c r="C25" s="96">
        <v>0</v>
      </c>
      <c r="D25" s="89">
        <f t="shared" si="13"/>
        <v>0</v>
      </c>
      <c r="E25" s="91">
        <f t="shared" si="14"/>
        <v>0</v>
      </c>
      <c r="G25" s="98">
        <v>13</v>
      </c>
      <c r="H25" s="29">
        <v>13</v>
      </c>
      <c r="I25" s="90">
        <f t="shared" si="12"/>
        <v>6.46</v>
      </c>
      <c r="J25" s="32">
        <f t="shared" si="12"/>
        <v>41.52</v>
      </c>
      <c r="K25" s="32">
        <f t="shared" si="9"/>
        <v>735.93797666917055</v>
      </c>
      <c r="L25" s="33">
        <f t="shared" si="15"/>
        <v>0</v>
      </c>
      <c r="N25" s="98">
        <f t="shared" si="5"/>
        <v>13</v>
      </c>
      <c r="O25" s="126">
        <f t="shared" si="6"/>
        <v>0</v>
      </c>
      <c r="P25" s="32">
        <f t="shared" si="1"/>
        <v>0</v>
      </c>
      <c r="Q25" s="32">
        <f t="shared" si="7"/>
        <v>0</v>
      </c>
      <c r="R25" s="37">
        <f t="shared" si="2"/>
        <v>0</v>
      </c>
      <c r="S25" s="37">
        <f t="shared" si="3"/>
        <v>0</v>
      </c>
      <c r="T25" s="37">
        <f t="shared" si="4"/>
        <v>0</v>
      </c>
      <c r="U25" s="138">
        <f t="shared" si="8"/>
        <v>0</v>
      </c>
      <c r="V25" s="141">
        <f t="shared" si="11"/>
        <v>20671.355910870083</v>
      </c>
    </row>
    <row r="26" spans="2:22" x14ac:dyDescent="0.25">
      <c r="B26" s="98">
        <v>2033</v>
      </c>
      <c r="C26" s="96">
        <v>0</v>
      </c>
      <c r="D26" s="89">
        <f t="shared" si="13"/>
        <v>0</v>
      </c>
      <c r="E26" s="91">
        <f t="shared" si="14"/>
        <v>0</v>
      </c>
      <c r="G26" s="98">
        <v>14</v>
      </c>
      <c r="H26" s="29">
        <v>14</v>
      </c>
      <c r="I26" s="90">
        <f t="shared" si="12"/>
        <v>6.46</v>
      </c>
      <c r="J26" s="32">
        <f t="shared" si="12"/>
        <v>41.52</v>
      </c>
      <c r="K26" s="32">
        <f t="shared" si="9"/>
        <v>735.93797666917055</v>
      </c>
      <c r="L26" s="33">
        <f t="shared" si="15"/>
        <v>0</v>
      </c>
      <c r="N26" s="98">
        <f t="shared" si="5"/>
        <v>14</v>
      </c>
      <c r="O26" s="126">
        <f t="shared" si="6"/>
        <v>0</v>
      </c>
      <c r="P26" s="32">
        <f t="shared" si="1"/>
        <v>0</v>
      </c>
      <c r="Q26" s="32">
        <f t="shared" si="7"/>
        <v>0</v>
      </c>
      <c r="R26" s="37">
        <f t="shared" si="2"/>
        <v>0</v>
      </c>
      <c r="S26" s="37">
        <f t="shared" si="3"/>
        <v>0</v>
      </c>
      <c r="T26" s="37">
        <f t="shared" si="4"/>
        <v>0</v>
      </c>
      <c r="U26" s="138">
        <f t="shared" si="8"/>
        <v>0</v>
      </c>
      <c r="V26" s="141">
        <f t="shared" si="11"/>
        <v>20671.355910870083</v>
      </c>
    </row>
    <row r="27" spans="2:22" x14ac:dyDescent="0.25">
      <c r="B27" s="98">
        <v>2034</v>
      </c>
      <c r="C27" s="96">
        <v>0</v>
      </c>
      <c r="D27" s="89">
        <f t="shared" si="13"/>
        <v>0</v>
      </c>
      <c r="E27" s="91">
        <f t="shared" si="14"/>
        <v>0</v>
      </c>
      <c r="G27" s="98">
        <v>15</v>
      </c>
      <c r="H27" s="29">
        <v>15</v>
      </c>
      <c r="I27" s="90">
        <f t="shared" si="12"/>
        <v>6.46</v>
      </c>
      <c r="J27" s="32">
        <f t="shared" si="12"/>
        <v>41.52</v>
      </c>
      <c r="K27" s="32">
        <f t="shared" si="9"/>
        <v>735.93797666917055</v>
      </c>
      <c r="L27" s="33">
        <f t="shared" si="15"/>
        <v>0</v>
      </c>
      <c r="N27" s="98">
        <f t="shared" si="5"/>
        <v>15</v>
      </c>
      <c r="O27" s="126">
        <f t="shared" si="6"/>
        <v>0</v>
      </c>
      <c r="P27" s="32">
        <f t="shared" si="1"/>
        <v>0</v>
      </c>
      <c r="Q27" s="32">
        <f t="shared" si="7"/>
        <v>0</v>
      </c>
      <c r="R27" s="37">
        <f t="shared" si="2"/>
        <v>0</v>
      </c>
      <c r="S27" s="37">
        <f t="shared" si="3"/>
        <v>0</v>
      </c>
      <c r="T27" s="37">
        <f t="shared" si="4"/>
        <v>0</v>
      </c>
      <c r="U27" s="138">
        <f t="shared" si="8"/>
        <v>0</v>
      </c>
      <c r="V27" s="141">
        <f t="shared" si="11"/>
        <v>20671.355910870083</v>
      </c>
    </row>
    <row r="28" spans="2:22" x14ac:dyDescent="0.25">
      <c r="B28" s="98">
        <v>2035</v>
      </c>
      <c r="C28" s="96">
        <v>0</v>
      </c>
      <c r="D28" s="89">
        <f t="shared" si="13"/>
        <v>0</v>
      </c>
      <c r="E28" s="91">
        <f t="shared" si="14"/>
        <v>0</v>
      </c>
      <c r="G28" s="98">
        <v>16</v>
      </c>
      <c r="H28" s="29">
        <v>16</v>
      </c>
      <c r="I28" s="90">
        <f t="shared" si="12"/>
        <v>6.46</v>
      </c>
      <c r="J28" s="32">
        <f t="shared" si="12"/>
        <v>41.52</v>
      </c>
      <c r="K28" s="32">
        <f t="shared" si="9"/>
        <v>735.93797666917055</v>
      </c>
      <c r="L28" s="33">
        <f t="shared" si="15"/>
        <v>0</v>
      </c>
      <c r="N28" s="98">
        <f t="shared" si="5"/>
        <v>16</v>
      </c>
      <c r="O28" s="126">
        <f t="shared" si="6"/>
        <v>0</v>
      </c>
      <c r="P28" s="32">
        <f t="shared" si="1"/>
        <v>0</v>
      </c>
      <c r="Q28" s="32">
        <f t="shared" si="7"/>
        <v>0</v>
      </c>
      <c r="R28" s="37">
        <f t="shared" si="2"/>
        <v>0</v>
      </c>
      <c r="S28" s="37">
        <f t="shared" si="3"/>
        <v>0</v>
      </c>
      <c r="T28" s="37">
        <f t="shared" si="4"/>
        <v>0</v>
      </c>
      <c r="U28" s="138">
        <f t="shared" si="8"/>
        <v>0</v>
      </c>
      <c r="V28" s="141">
        <f t="shared" si="11"/>
        <v>20671.355910870083</v>
      </c>
    </row>
    <row r="29" spans="2:22" x14ac:dyDescent="0.25">
      <c r="B29" s="98">
        <v>2036</v>
      </c>
      <c r="C29" s="96">
        <v>0</v>
      </c>
      <c r="D29" s="89">
        <f t="shared" si="13"/>
        <v>0</v>
      </c>
      <c r="E29" s="91">
        <f t="shared" si="14"/>
        <v>0</v>
      </c>
      <c r="G29" s="130">
        <v>17</v>
      </c>
      <c r="H29" s="29">
        <v>17</v>
      </c>
      <c r="I29" s="90">
        <f t="shared" si="12"/>
        <v>6.46</v>
      </c>
      <c r="J29" s="32">
        <f t="shared" si="12"/>
        <v>41.52</v>
      </c>
      <c r="K29" s="32">
        <f t="shared" si="9"/>
        <v>735.93797666917055</v>
      </c>
      <c r="L29" s="33">
        <f t="shared" si="15"/>
        <v>0</v>
      </c>
      <c r="N29" s="98">
        <f t="shared" si="5"/>
        <v>17</v>
      </c>
      <c r="O29" s="126">
        <f t="shared" si="6"/>
        <v>0</v>
      </c>
      <c r="P29" s="32">
        <f t="shared" si="1"/>
        <v>0</v>
      </c>
      <c r="Q29" s="32">
        <f t="shared" si="7"/>
        <v>0</v>
      </c>
      <c r="R29" s="37">
        <f t="shared" si="2"/>
        <v>0</v>
      </c>
      <c r="S29" s="37">
        <f t="shared" si="3"/>
        <v>0</v>
      </c>
      <c r="T29" s="37">
        <f t="shared" si="4"/>
        <v>0</v>
      </c>
      <c r="U29" s="138">
        <f t="shared" si="8"/>
        <v>0</v>
      </c>
      <c r="V29" s="141">
        <f>U29+V28</f>
        <v>20671.355910870083</v>
      </c>
    </row>
    <row r="30" spans="2:22" x14ac:dyDescent="0.25">
      <c r="B30" s="98">
        <v>2037</v>
      </c>
      <c r="C30" s="96">
        <v>0</v>
      </c>
      <c r="D30" s="89">
        <f t="shared" si="13"/>
        <v>0</v>
      </c>
      <c r="E30" s="91">
        <f t="shared" si="14"/>
        <v>0</v>
      </c>
      <c r="G30" s="98">
        <v>18</v>
      </c>
      <c r="H30" s="29">
        <v>18</v>
      </c>
      <c r="I30" s="90">
        <f t="shared" si="12"/>
        <v>6.46</v>
      </c>
      <c r="J30" s="32">
        <f t="shared" si="12"/>
        <v>41.52</v>
      </c>
      <c r="K30" s="32">
        <f t="shared" si="9"/>
        <v>735.93797666917055</v>
      </c>
      <c r="L30" s="33">
        <f t="shared" si="15"/>
        <v>0</v>
      </c>
      <c r="N30" s="98">
        <f t="shared" si="5"/>
        <v>18</v>
      </c>
      <c r="O30" s="126">
        <f t="shared" si="6"/>
        <v>0</v>
      </c>
      <c r="P30" s="32">
        <f t="shared" si="1"/>
        <v>0</v>
      </c>
      <c r="Q30" s="32">
        <f t="shared" si="7"/>
        <v>0</v>
      </c>
      <c r="R30" s="37">
        <f t="shared" si="2"/>
        <v>0</v>
      </c>
      <c r="S30" s="37">
        <f t="shared" si="3"/>
        <v>0</v>
      </c>
      <c r="T30" s="37">
        <f t="shared" si="4"/>
        <v>0</v>
      </c>
      <c r="U30" s="138">
        <f t="shared" si="8"/>
        <v>0</v>
      </c>
      <c r="V30" s="141">
        <f>U30+V29</f>
        <v>20671.355910870083</v>
      </c>
    </row>
    <row r="31" spans="2:22" x14ac:dyDescent="0.25">
      <c r="B31" s="98">
        <v>2038</v>
      </c>
      <c r="C31" s="96">
        <v>0</v>
      </c>
      <c r="D31" s="89">
        <v>0</v>
      </c>
      <c r="E31" s="91">
        <v>0</v>
      </c>
      <c r="G31" s="98">
        <v>19</v>
      </c>
      <c r="H31" s="29">
        <v>19</v>
      </c>
      <c r="I31" s="90">
        <f t="shared" si="12"/>
        <v>6.46</v>
      </c>
      <c r="J31" s="32">
        <f t="shared" si="12"/>
        <v>41.52</v>
      </c>
      <c r="K31" s="32">
        <f t="shared" si="9"/>
        <v>735.93797666917055</v>
      </c>
      <c r="L31" s="33">
        <f t="shared" si="15"/>
        <v>0</v>
      </c>
      <c r="N31" s="98">
        <f t="shared" si="5"/>
        <v>19</v>
      </c>
      <c r="O31" s="126">
        <f t="shared" si="6"/>
        <v>0</v>
      </c>
      <c r="P31" s="32">
        <f t="shared" si="1"/>
        <v>0</v>
      </c>
      <c r="Q31" s="32">
        <f t="shared" si="7"/>
        <v>0</v>
      </c>
      <c r="R31" s="37">
        <f t="shared" si="2"/>
        <v>0</v>
      </c>
      <c r="S31" s="37">
        <f t="shared" si="3"/>
        <v>0</v>
      </c>
      <c r="T31" s="37">
        <f t="shared" si="4"/>
        <v>0</v>
      </c>
      <c r="U31" s="138">
        <f t="shared" si="8"/>
        <v>0</v>
      </c>
      <c r="V31" s="141">
        <f t="shared" si="11"/>
        <v>20671.355910870083</v>
      </c>
    </row>
    <row r="32" spans="2:22" x14ac:dyDescent="0.25">
      <c r="B32" s="98">
        <v>2039</v>
      </c>
      <c r="C32" s="96">
        <v>0</v>
      </c>
      <c r="D32" s="89">
        <v>0</v>
      </c>
      <c r="E32" s="91">
        <v>0</v>
      </c>
      <c r="G32" s="98">
        <v>20</v>
      </c>
      <c r="H32" s="29">
        <v>20</v>
      </c>
      <c r="I32" s="90">
        <f t="shared" ref="I32:J42" si="16">I31</f>
        <v>6.46</v>
      </c>
      <c r="J32" s="32">
        <f t="shared" si="16"/>
        <v>41.52</v>
      </c>
      <c r="K32" s="32">
        <f t="shared" si="9"/>
        <v>735.93797666917055</v>
      </c>
      <c r="L32" s="33">
        <f t="shared" si="15"/>
        <v>0</v>
      </c>
      <c r="N32" s="98">
        <f t="shared" si="5"/>
        <v>20</v>
      </c>
      <c r="O32" s="126">
        <f t="shared" si="6"/>
        <v>0</v>
      </c>
      <c r="P32" s="32">
        <f t="shared" si="1"/>
        <v>0</v>
      </c>
      <c r="Q32" s="32">
        <f t="shared" si="7"/>
        <v>0</v>
      </c>
      <c r="R32" s="37">
        <f t="shared" si="2"/>
        <v>0</v>
      </c>
      <c r="S32" s="37">
        <f t="shared" si="3"/>
        <v>0</v>
      </c>
      <c r="T32" s="37">
        <f t="shared" si="4"/>
        <v>0</v>
      </c>
      <c r="U32" s="138">
        <f t="shared" si="8"/>
        <v>0</v>
      </c>
      <c r="V32" s="141">
        <f t="shared" si="11"/>
        <v>20671.355910870083</v>
      </c>
    </row>
    <row r="33" spans="2:22" x14ac:dyDescent="0.25">
      <c r="B33" s="98">
        <v>2040</v>
      </c>
      <c r="C33" s="96">
        <v>0</v>
      </c>
      <c r="D33" s="89">
        <v>0</v>
      </c>
      <c r="E33" s="91">
        <v>0</v>
      </c>
      <c r="G33" s="98">
        <v>21</v>
      </c>
      <c r="H33" s="29">
        <v>21</v>
      </c>
      <c r="I33" s="90">
        <f t="shared" si="16"/>
        <v>6.46</v>
      </c>
      <c r="J33" s="32">
        <f t="shared" si="16"/>
        <v>41.52</v>
      </c>
      <c r="K33" s="32">
        <f t="shared" si="9"/>
        <v>735.93797666917055</v>
      </c>
      <c r="L33" s="33">
        <f t="shared" si="15"/>
        <v>0</v>
      </c>
      <c r="N33" s="98">
        <f t="shared" ref="N33:N41" si="17">H33</f>
        <v>21</v>
      </c>
      <c r="O33" s="126">
        <f t="shared" si="6"/>
        <v>0</v>
      </c>
      <c r="P33" s="32">
        <f t="shared" si="1"/>
        <v>0</v>
      </c>
      <c r="Q33" s="32">
        <f t="shared" si="7"/>
        <v>0</v>
      </c>
      <c r="R33" s="37">
        <f t="shared" si="2"/>
        <v>0</v>
      </c>
      <c r="S33" s="37">
        <f t="shared" si="3"/>
        <v>0</v>
      </c>
      <c r="T33" s="37">
        <f t="shared" si="4"/>
        <v>0</v>
      </c>
      <c r="U33" s="138">
        <f t="shared" si="8"/>
        <v>0</v>
      </c>
      <c r="V33" s="141">
        <f t="shared" si="11"/>
        <v>20671.355910870083</v>
      </c>
    </row>
    <row r="34" spans="2:22" x14ac:dyDescent="0.25">
      <c r="B34" s="98">
        <v>2041</v>
      </c>
      <c r="C34" s="96">
        <v>0</v>
      </c>
      <c r="D34" s="89">
        <v>0</v>
      </c>
      <c r="E34" s="91">
        <v>0</v>
      </c>
      <c r="G34" s="98">
        <v>22</v>
      </c>
      <c r="H34" s="29">
        <v>22</v>
      </c>
      <c r="I34" s="90">
        <f t="shared" si="16"/>
        <v>6.46</v>
      </c>
      <c r="J34" s="32">
        <f t="shared" si="16"/>
        <v>41.52</v>
      </c>
      <c r="K34" s="32">
        <f t="shared" si="9"/>
        <v>735.93797666917055</v>
      </c>
      <c r="L34" s="33">
        <f t="shared" si="15"/>
        <v>0</v>
      </c>
      <c r="N34" s="98">
        <f t="shared" si="17"/>
        <v>22</v>
      </c>
      <c r="O34" s="126">
        <f t="shared" si="6"/>
        <v>0</v>
      </c>
      <c r="P34" s="32">
        <f t="shared" si="1"/>
        <v>0</v>
      </c>
      <c r="Q34" s="32">
        <f t="shared" si="7"/>
        <v>0</v>
      </c>
      <c r="R34" s="37">
        <f t="shared" si="2"/>
        <v>0</v>
      </c>
      <c r="S34" s="37">
        <f t="shared" si="3"/>
        <v>0</v>
      </c>
      <c r="T34" s="37">
        <f t="shared" si="4"/>
        <v>0</v>
      </c>
      <c r="U34" s="138">
        <f t="shared" si="8"/>
        <v>0</v>
      </c>
      <c r="V34" s="141">
        <f t="shared" si="11"/>
        <v>20671.355910870083</v>
      </c>
    </row>
    <row r="35" spans="2:22" x14ac:dyDescent="0.25">
      <c r="B35" s="98">
        <v>2042</v>
      </c>
      <c r="C35" s="96">
        <v>0</v>
      </c>
      <c r="D35" s="89">
        <v>0</v>
      </c>
      <c r="E35" s="91">
        <v>0</v>
      </c>
      <c r="G35" s="98">
        <v>23</v>
      </c>
      <c r="H35" s="29">
        <v>23</v>
      </c>
      <c r="I35" s="90">
        <f t="shared" si="16"/>
        <v>6.46</v>
      </c>
      <c r="J35" s="32">
        <f t="shared" si="16"/>
        <v>41.52</v>
      </c>
      <c r="K35" s="32">
        <f t="shared" si="9"/>
        <v>735.93797666917055</v>
      </c>
      <c r="L35" s="33">
        <f t="shared" si="15"/>
        <v>0</v>
      </c>
      <c r="N35" s="98">
        <f t="shared" si="17"/>
        <v>23</v>
      </c>
      <c r="O35" s="126">
        <f t="shared" si="6"/>
        <v>0</v>
      </c>
      <c r="P35" s="32">
        <f t="shared" si="1"/>
        <v>0</v>
      </c>
      <c r="Q35" s="32">
        <f t="shared" si="7"/>
        <v>0</v>
      </c>
      <c r="R35" s="37">
        <f t="shared" si="2"/>
        <v>0</v>
      </c>
      <c r="S35" s="37">
        <f t="shared" si="3"/>
        <v>0</v>
      </c>
      <c r="T35" s="37">
        <f t="shared" si="4"/>
        <v>0</v>
      </c>
      <c r="U35" s="138">
        <f t="shared" si="8"/>
        <v>0</v>
      </c>
      <c r="V35" s="141">
        <f t="shared" si="11"/>
        <v>20671.355910870083</v>
      </c>
    </row>
    <row r="36" spans="2:22" x14ac:dyDescent="0.25">
      <c r="B36" s="98">
        <v>2043</v>
      </c>
      <c r="C36" s="96">
        <v>0</v>
      </c>
      <c r="D36" s="89">
        <v>0</v>
      </c>
      <c r="E36" s="91">
        <v>0</v>
      </c>
      <c r="G36" s="98">
        <v>24</v>
      </c>
      <c r="H36" s="29">
        <v>24</v>
      </c>
      <c r="I36" s="90">
        <f t="shared" si="16"/>
        <v>6.46</v>
      </c>
      <c r="J36" s="32">
        <f t="shared" si="16"/>
        <v>41.52</v>
      </c>
      <c r="K36" s="32">
        <f t="shared" si="9"/>
        <v>735.93797666917055</v>
      </c>
      <c r="L36" s="33">
        <f t="shared" si="15"/>
        <v>0</v>
      </c>
      <c r="N36" s="98">
        <f t="shared" si="17"/>
        <v>24</v>
      </c>
      <c r="O36" s="126">
        <f t="shared" si="6"/>
        <v>0</v>
      </c>
      <c r="P36" s="32">
        <f t="shared" si="1"/>
        <v>0</v>
      </c>
      <c r="Q36" s="32">
        <f t="shared" si="7"/>
        <v>0</v>
      </c>
      <c r="R36" s="37">
        <f t="shared" si="2"/>
        <v>0</v>
      </c>
      <c r="S36" s="37">
        <f t="shared" si="3"/>
        <v>0</v>
      </c>
      <c r="T36" s="37">
        <f t="shared" si="4"/>
        <v>0</v>
      </c>
      <c r="U36" s="138">
        <f t="shared" si="8"/>
        <v>0</v>
      </c>
      <c r="V36" s="141">
        <f t="shared" si="11"/>
        <v>20671.355910870083</v>
      </c>
    </row>
    <row r="37" spans="2:22" x14ac:dyDescent="0.25">
      <c r="B37" s="98">
        <v>2044</v>
      </c>
      <c r="C37" s="96">
        <v>0</v>
      </c>
      <c r="D37" s="89">
        <v>0</v>
      </c>
      <c r="E37" s="91">
        <v>0</v>
      </c>
      <c r="G37" s="98">
        <v>25</v>
      </c>
      <c r="H37" s="29">
        <v>25</v>
      </c>
      <c r="I37" s="90">
        <f t="shared" si="16"/>
        <v>6.46</v>
      </c>
      <c r="J37" s="32">
        <f t="shared" si="16"/>
        <v>41.52</v>
      </c>
      <c r="K37" s="32">
        <f t="shared" si="9"/>
        <v>735.93797666917055</v>
      </c>
      <c r="L37" s="33">
        <f t="shared" si="15"/>
        <v>0</v>
      </c>
      <c r="N37" s="98">
        <f t="shared" si="17"/>
        <v>25</v>
      </c>
      <c r="O37" s="126">
        <f t="shared" si="6"/>
        <v>0</v>
      </c>
      <c r="P37" s="32">
        <f t="shared" si="1"/>
        <v>0</v>
      </c>
      <c r="Q37" s="32">
        <f t="shared" si="7"/>
        <v>0</v>
      </c>
      <c r="R37" s="37">
        <f t="shared" si="2"/>
        <v>0</v>
      </c>
      <c r="S37" s="37">
        <f t="shared" si="3"/>
        <v>0</v>
      </c>
      <c r="T37" s="37">
        <f t="shared" si="4"/>
        <v>0</v>
      </c>
      <c r="U37" s="138">
        <f t="shared" si="8"/>
        <v>0</v>
      </c>
      <c r="V37" s="141">
        <f t="shared" si="11"/>
        <v>20671.355910870083</v>
      </c>
    </row>
    <row r="38" spans="2:22" x14ac:dyDescent="0.25">
      <c r="B38" s="98">
        <v>2045</v>
      </c>
      <c r="C38" s="96">
        <v>0</v>
      </c>
      <c r="D38" s="89">
        <v>0</v>
      </c>
      <c r="E38" s="91">
        <v>0</v>
      </c>
      <c r="G38" s="98">
        <v>26</v>
      </c>
      <c r="H38" s="29">
        <v>26</v>
      </c>
      <c r="I38" s="90">
        <f t="shared" si="16"/>
        <v>6.46</v>
      </c>
      <c r="J38" s="32">
        <f t="shared" si="16"/>
        <v>41.52</v>
      </c>
      <c r="K38" s="32">
        <f t="shared" si="9"/>
        <v>735.93797666917055</v>
      </c>
      <c r="L38" s="33">
        <f t="shared" si="15"/>
        <v>0</v>
      </c>
      <c r="N38" s="98">
        <f t="shared" si="17"/>
        <v>26</v>
      </c>
      <c r="O38" s="126">
        <f t="shared" si="6"/>
        <v>0</v>
      </c>
      <c r="P38" s="32">
        <f t="shared" si="1"/>
        <v>0</v>
      </c>
      <c r="Q38" s="32">
        <f t="shared" si="7"/>
        <v>0</v>
      </c>
      <c r="R38" s="37">
        <f t="shared" si="2"/>
        <v>0</v>
      </c>
      <c r="S38" s="37">
        <f t="shared" si="3"/>
        <v>0</v>
      </c>
      <c r="T38" s="37">
        <f t="shared" si="4"/>
        <v>0</v>
      </c>
      <c r="U38" s="138">
        <f t="shared" si="8"/>
        <v>0</v>
      </c>
      <c r="V38" s="141">
        <f t="shared" si="11"/>
        <v>20671.355910870083</v>
      </c>
    </row>
    <row r="39" spans="2:22" x14ac:dyDescent="0.25">
      <c r="B39" s="98">
        <v>2046</v>
      </c>
      <c r="C39" s="96">
        <v>0</v>
      </c>
      <c r="D39" s="89">
        <v>0</v>
      </c>
      <c r="E39" s="91">
        <v>0</v>
      </c>
      <c r="G39" s="98">
        <v>27</v>
      </c>
      <c r="H39" s="29">
        <v>27</v>
      </c>
      <c r="I39" s="90">
        <f t="shared" si="16"/>
        <v>6.46</v>
      </c>
      <c r="J39" s="32">
        <f t="shared" si="16"/>
        <v>41.52</v>
      </c>
      <c r="K39" s="32">
        <f t="shared" si="9"/>
        <v>735.93797666917055</v>
      </c>
      <c r="L39" s="33">
        <f t="shared" si="15"/>
        <v>0</v>
      </c>
      <c r="N39" s="98">
        <f t="shared" si="17"/>
        <v>27</v>
      </c>
      <c r="O39" s="126">
        <f t="shared" si="6"/>
        <v>0</v>
      </c>
      <c r="P39" s="32">
        <f t="shared" si="1"/>
        <v>0</v>
      </c>
      <c r="Q39" s="32">
        <f t="shared" si="7"/>
        <v>0</v>
      </c>
      <c r="R39" s="37">
        <f t="shared" si="2"/>
        <v>0</v>
      </c>
      <c r="S39" s="37">
        <f t="shared" si="3"/>
        <v>0</v>
      </c>
      <c r="T39" s="37">
        <f t="shared" si="4"/>
        <v>0</v>
      </c>
      <c r="U39" s="138">
        <f t="shared" si="8"/>
        <v>0</v>
      </c>
      <c r="V39" s="141">
        <f t="shared" si="11"/>
        <v>20671.355910870083</v>
      </c>
    </row>
    <row r="40" spans="2:22" x14ac:dyDescent="0.25">
      <c r="B40" s="98">
        <v>2047</v>
      </c>
      <c r="C40" s="96">
        <v>0</v>
      </c>
      <c r="D40" s="89">
        <v>0</v>
      </c>
      <c r="E40" s="91">
        <v>0</v>
      </c>
      <c r="G40" s="98">
        <v>28</v>
      </c>
      <c r="H40" s="29">
        <v>28</v>
      </c>
      <c r="I40" s="90">
        <f t="shared" si="16"/>
        <v>6.46</v>
      </c>
      <c r="J40" s="32">
        <f t="shared" si="16"/>
        <v>41.52</v>
      </c>
      <c r="K40" s="32">
        <f t="shared" si="9"/>
        <v>735.93797666917055</v>
      </c>
      <c r="L40" s="33">
        <f t="shared" si="15"/>
        <v>0</v>
      </c>
      <c r="N40" s="98">
        <f t="shared" si="17"/>
        <v>28</v>
      </c>
      <c r="O40" s="126">
        <f t="shared" si="6"/>
        <v>0</v>
      </c>
      <c r="P40" s="32">
        <f t="shared" si="1"/>
        <v>0</v>
      </c>
      <c r="Q40" s="32">
        <f t="shared" si="7"/>
        <v>0</v>
      </c>
      <c r="R40" s="37">
        <f t="shared" si="2"/>
        <v>0</v>
      </c>
      <c r="S40" s="37">
        <f t="shared" si="3"/>
        <v>0</v>
      </c>
      <c r="T40" s="37">
        <f t="shared" si="4"/>
        <v>0</v>
      </c>
      <c r="U40" s="138">
        <f t="shared" si="8"/>
        <v>0</v>
      </c>
      <c r="V40" s="141">
        <f t="shared" si="11"/>
        <v>20671.355910870083</v>
      </c>
    </row>
    <row r="41" spans="2:22" ht="15.75" thickBot="1" x14ac:dyDescent="0.3">
      <c r="B41" s="99">
        <v>2048</v>
      </c>
      <c r="C41" s="100">
        <v>0</v>
      </c>
      <c r="D41" s="101">
        <v>0</v>
      </c>
      <c r="E41" s="102">
        <v>0</v>
      </c>
      <c r="F41" s="31"/>
      <c r="G41" s="98">
        <v>29</v>
      </c>
      <c r="H41" s="29">
        <v>29</v>
      </c>
      <c r="I41" s="90">
        <f t="shared" si="16"/>
        <v>6.46</v>
      </c>
      <c r="J41" s="32">
        <f t="shared" si="16"/>
        <v>41.52</v>
      </c>
      <c r="K41" s="32">
        <f t="shared" si="9"/>
        <v>735.93797666917055</v>
      </c>
      <c r="L41" s="33">
        <f t="shared" si="15"/>
        <v>0</v>
      </c>
      <c r="N41" s="98">
        <f t="shared" si="17"/>
        <v>29</v>
      </c>
      <c r="O41" s="126">
        <f t="shared" si="6"/>
        <v>0</v>
      </c>
      <c r="P41" s="32">
        <f t="shared" si="1"/>
        <v>0</v>
      </c>
      <c r="Q41" s="32">
        <f t="shared" si="7"/>
        <v>0</v>
      </c>
      <c r="R41" s="37">
        <f t="shared" si="2"/>
        <v>0</v>
      </c>
      <c r="S41" s="37">
        <f t="shared" si="3"/>
        <v>0</v>
      </c>
      <c r="T41" s="37">
        <f t="shared" si="4"/>
        <v>0</v>
      </c>
      <c r="U41" s="138">
        <f t="shared" si="8"/>
        <v>0</v>
      </c>
      <c r="V41" s="141">
        <f t="shared" si="11"/>
        <v>20671.355910870083</v>
      </c>
    </row>
    <row r="42" spans="2:22" ht="15.75" thickBot="1" x14ac:dyDescent="0.3">
      <c r="F42" s="31"/>
      <c r="G42" s="99">
        <v>30</v>
      </c>
      <c r="H42" s="100" t="s">
        <v>160</v>
      </c>
      <c r="I42" s="117">
        <f t="shared" si="16"/>
        <v>6.46</v>
      </c>
      <c r="J42" s="34">
        <f t="shared" si="16"/>
        <v>41.52</v>
      </c>
      <c r="K42" s="34">
        <f>0.307*(I42^2.174)*J42</f>
        <v>735.93797666917055</v>
      </c>
      <c r="L42" s="35">
        <f t="shared" si="15"/>
        <v>0</v>
      </c>
      <c r="N42" s="99">
        <v>30</v>
      </c>
      <c r="O42" s="127">
        <f t="shared" si="6"/>
        <v>0</v>
      </c>
      <c r="P42" s="34">
        <f t="shared" si="1"/>
        <v>0</v>
      </c>
      <c r="Q42" s="34">
        <f t="shared" si="7"/>
        <v>0</v>
      </c>
      <c r="R42" s="128">
        <f t="shared" si="2"/>
        <v>0</v>
      </c>
      <c r="S42" s="128">
        <f t="shared" si="3"/>
        <v>0</v>
      </c>
      <c r="T42" s="128">
        <f t="shared" si="4"/>
        <v>0</v>
      </c>
      <c r="U42" s="139">
        <f t="shared" si="8"/>
        <v>0</v>
      </c>
      <c r="V42" s="142">
        <f t="shared" si="11"/>
        <v>20671.355910870083</v>
      </c>
    </row>
  </sheetData>
  <mergeCells count="21">
    <mergeCell ref="R10:R12"/>
    <mergeCell ref="S10:S12"/>
    <mergeCell ref="G9:L9"/>
    <mergeCell ref="N10:N12"/>
    <mergeCell ref="H2:K2"/>
    <mergeCell ref="T10:T12"/>
    <mergeCell ref="U10:U12"/>
    <mergeCell ref="V10:V12"/>
    <mergeCell ref="B9:B11"/>
    <mergeCell ref="C9:C11"/>
    <mergeCell ref="D9:D11"/>
    <mergeCell ref="E9:E11"/>
    <mergeCell ref="G10:G12"/>
    <mergeCell ref="I10:I12"/>
    <mergeCell ref="J10:J12"/>
    <mergeCell ref="K10:K12"/>
    <mergeCell ref="L10:L12"/>
    <mergeCell ref="H10:H12"/>
    <mergeCell ref="O10:O12"/>
    <mergeCell ref="P10:P12"/>
    <mergeCell ref="Q10:Q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2D75-E245-45BB-8D0D-5C253AAD2C71}">
  <dimension ref="B1:V42"/>
  <sheetViews>
    <sheetView zoomScaleNormal="100" workbookViewId="0"/>
  </sheetViews>
  <sheetFormatPr defaultColWidth="9.28515625" defaultRowHeight="15" x14ac:dyDescent="0.25"/>
  <cols>
    <col min="1" max="1" width="9.28515625" style="1"/>
    <col min="2" max="2" width="11.28515625" style="1" customWidth="1"/>
    <col min="3" max="3" width="14.7109375" style="1" customWidth="1"/>
    <col min="4" max="4" width="13.42578125" style="1" customWidth="1"/>
    <col min="5" max="5" width="15.85546875" style="1" customWidth="1"/>
    <col min="6" max="6" width="12.7109375" style="1" customWidth="1"/>
    <col min="7" max="7" width="8.28515625" style="1" customWidth="1"/>
    <col min="8" max="8" width="29.85546875" style="1" bestFit="1" customWidth="1"/>
    <col min="9" max="9" width="20.7109375" style="1" customWidth="1"/>
    <col min="10" max="10" width="22.28515625" style="1" customWidth="1"/>
    <col min="11" max="11" width="16" style="1" customWidth="1"/>
    <col min="12" max="12" width="18.140625" style="1" customWidth="1"/>
    <col min="13" max="13" width="17.5703125" style="1" customWidth="1"/>
    <col min="14" max="14" width="10.7109375" style="1" bestFit="1" customWidth="1"/>
    <col min="15" max="16" width="18.28515625" style="1" bestFit="1" customWidth="1"/>
    <col min="17" max="17" width="16.7109375" style="1" bestFit="1" customWidth="1"/>
    <col min="18" max="18" width="17" style="1" bestFit="1" customWidth="1"/>
    <col min="19" max="19" width="13" style="1" customWidth="1"/>
    <col min="20" max="20" width="16" style="1" customWidth="1"/>
    <col min="21" max="21" width="19.28515625" style="1" bestFit="1" customWidth="1"/>
    <col min="22" max="22" width="17.5703125" style="1" bestFit="1" customWidth="1"/>
    <col min="23" max="23" width="11.42578125" style="1" customWidth="1"/>
    <col min="24" max="16384" width="9.28515625" style="1"/>
  </cols>
  <sheetData>
    <row r="1" spans="2:22" ht="15" customHeight="1" thickBot="1" x14ac:dyDescent="0.3"/>
    <row r="2" spans="2:22" ht="15" customHeight="1" thickBot="1" x14ac:dyDescent="0.3">
      <c r="H2" s="350" t="s">
        <v>129</v>
      </c>
      <c r="I2" s="351"/>
      <c r="J2" s="351"/>
      <c r="K2" s="352"/>
      <c r="L2"/>
    </row>
    <row r="3" spans="2:22" x14ac:dyDescent="0.25">
      <c r="H3" s="66" t="s">
        <v>190</v>
      </c>
      <c r="I3" s="67">
        <f>'General Information'!H3</f>
        <v>6.46</v>
      </c>
      <c r="J3" s="118" t="s">
        <v>15</v>
      </c>
      <c r="K3" s="119">
        <f>'General Information'!C6</f>
        <v>0.47</v>
      </c>
    </row>
    <row r="4" spans="2:22" ht="28.5" x14ac:dyDescent="0.25">
      <c r="H4" s="70" t="s">
        <v>155</v>
      </c>
      <c r="I4" s="44">
        <f>'General Information'!I3</f>
        <v>6.92</v>
      </c>
      <c r="J4" s="83" t="s">
        <v>6</v>
      </c>
      <c r="K4" s="120">
        <f>'General Information'!D6</f>
        <v>0</v>
      </c>
    </row>
    <row r="5" spans="2:22" x14ac:dyDescent="0.25">
      <c r="H5" s="121" t="s">
        <v>16</v>
      </c>
      <c r="I5" s="44" t="str">
        <f>'General Information'!E3</f>
        <v>Y=0.307*DBH^2.174</v>
      </c>
      <c r="J5" s="83" t="s">
        <v>7</v>
      </c>
      <c r="K5" s="120">
        <f>'General Information'!E6</f>
        <v>0</v>
      </c>
    </row>
    <row r="6" spans="2:22" x14ac:dyDescent="0.25">
      <c r="H6" s="121" t="s">
        <v>17</v>
      </c>
      <c r="I6" s="84">
        <f>'General Information'!B6</f>
        <v>0.25</v>
      </c>
      <c r="J6" s="43" t="s">
        <v>202</v>
      </c>
      <c r="K6" s="71">
        <f>'General Information'!K3</f>
        <v>0.2</v>
      </c>
    </row>
    <row r="7" spans="2:22" ht="18" thickBot="1" x14ac:dyDescent="0.35">
      <c r="H7" s="72" t="s">
        <v>156</v>
      </c>
      <c r="I7" s="73">
        <f>'General Information'!F6</f>
        <v>3.6666666666666665</v>
      </c>
      <c r="J7" s="122"/>
      <c r="K7" s="123"/>
    </row>
    <row r="8" spans="2:22" ht="15.75" thickBot="1" x14ac:dyDescent="0.3"/>
    <row r="9" spans="2:22" ht="15" customHeight="1" thickBot="1" x14ac:dyDescent="0.3">
      <c r="B9" s="387" t="s">
        <v>18</v>
      </c>
      <c r="C9" s="365" t="s">
        <v>19</v>
      </c>
      <c r="D9" s="371" t="s">
        <v>20</v>
      </c>
      <c r="E9" s="374" t="s">
        <v>21</v>
      </c>
      <c r="G9" s="390" t="s">
        <v>22</v>
      </c>
      <c r="H9" s="391"/>
      <c r="I9" s="391"/>
      <c r="J9" s="391"/>
      <c r="K9" s="391"/>
      <c r="L9" s="392"/>
    </row>
    <row r="10" spans="2:22" ht="15" customHeight="1" x14ac:dyDescent="0.25">
      <c r="B10" s="388"/>
      <c r="C10" s="366"/>
      <c r="D10" s="372"/>
      <c r="E10" s="375"/>
      <c r="G10" s="381" t="s">
        <v>23</v>
      </c>
      <c r="H10" s="413" t="s">
        <v>18</v>
      </c>
      <c r="I10" s="347" t="s">
        <v>24</v>
      </c>
      <c r="J10" s="347" t="s">
        <v>25</v>
      </c>
      <c r="K10" s="378" t="s">
        <v>26</v>
      </c>
      <c r="L10" s="368" t="s">
        <v>27</v>
      </c>
      <c r="N10" s="341" t="s">
        <v>18</v>
      </c>
      <c r="O10" s="359" t="s">
        <v>28</v>
      </c>
      <c r="P10" s="353" t="s">
        <v>29</v>
      </c>
      <c r="Q10" s="353" t="s">
        <v>30</v>
      </c>
      <c r="R10" s="353" t="s">
        <v>159</v>
      </c>
      <c r="S10" s="353" t="s">
        <v>133</v>
      </c>
      <c r="T10" s="353" t="s">
        <v>132</v>
      </c>
      <c r="U10" s="405" t="s">
        <v>131</v>
      </c>
      <c r="V10" s="408" t="s">
        <v>130</v>
      </c>
    </row>
    <row r="11" spans="2:22" ht="15.75" thickBot="1" x14ac:dyDescent="0.3">
      <c r="B11" s="411"/>
      <c r="C11" s="367"/>
      <c r="D11" s="373"/>
      <c r="E11" s="376"/>
      <c r="G11" s="382"/>
      <c r="H11" s="414"/>
      <c r="I11" s="348"/>
      <c r="J11" s="348"/>
      <c r="K11" s="379"/>
      <c r="L11" s="369"/>
      <c r="N11" s="342"/>
      <c r="O11" s="360"/>
      <c r="P11" s="354"/>
      <c r="Q11" s="354"/>
      <c r="R11" s="354"/>
      <c r="S11" s="354"/>
      <c r="T11" s="354"/>
      <c r="U11" s="406"/>
      <c r="V11" s="409"/>
    </row>
    <row r="12" spans="2:22" ht="15.75" thickBot="1" x14ac:dyDescent="0.3">
      <c r="B12" s="97">
        <v>2019</v>
      </c>
      <c r="C12" s="94">
        <v>0</v>
      </c>
      <c r="D12" s="85">
        <v>0</v>
      </c>
      <c r="E12" s="86">
        <f t="shared" ref="E12:E17" si="0">C12-D12</f>
        <v>0</v>
      </c>
      <c r="G12" s="412"/>
      <c r="H12" s="415"/>
      <c r="I12" s="349"/>
      <c r="J12" s="349"/>
      <c r="K12" s="380"/>
      <c r="L12" s="370"/>
      <c r="N12" s="343"/>
      <c r="O12" s="361"/>
      <c r="P12" s="355"/>
      <c r="Q12" s="355"/>
      <c r="R12" s="355"/>
      <c r="S12" s="355"/>
      <c r="T12" s="355"/>
      <c r="U12" s="407"/>
      <c r="V12" s="410"/>
    </row>
    <row r="13" spans="2:22" x14ac:dyDescent="0.25">
      <c r="B13" s="98">
        <v>2020</v>
      </c>
      <c r="C13" s="95">
        <v>0</v>
      </c>
      <c r="D13" s="87">
        <v>0</v>
      </c>
      <c r="E13" s="88">
        <f t="shared" si="0"/>
        <v>0</v>
      </c>
      <c r="G13" s="112">
        <v>1</v>
      </c>
      <c r="H13" s="113" t="s">
        <v>158</v>
      </c>
      <c r="I13" s="232">
        <v>0</v>
      </c>
      <c r="J13" s="37">
        <v>0</v>
      </c>
      <c r="K13" s="37">
        <f>0.307*(I13^2.174)*J13</f>
        <v>0</v>
      </c>
      <c r="L13" s="38">
        <f>K13</f>
        <v>0</v>
      </c>
      <c r="N13" s="111">
        <v>1</v>
      </c>
      <c r="O13" s="124">
        <f>(L13*$E$15)/1000</f>
        <v>0</v>
      </c>
      <c r="P13" s="32">
        <f t="shared" ref="P13:P42" si="1">O13*$I$6</f>
        <v>0</v>
      </c>
      <c r="Q13" s="37">
        <f>O13+P13</f>
        <v>0</v>
      </c>
      <c r="R13" s="37">
        <f t="shared" ref="R13:R42" si="2">Q13*$I$7*$K$3</f>
        <v>0</v>
      </c>
      <c r="S13" s="37">
        <f t="shared" ref="S13:S42" si="3">R13*$K$4</f>
        <v>0</v>
      </c>
      <c r="T13" s="37">
        <f t="shared" ref="T13:T42" si="4">R13*$K$5</f>
        <v>0</v>
      </c>
      <c r="U13" s="38">
        <f>R13+S13+T13</f>
        <v>0</v>
      </c>
      <c r="V13" s="143">
        <f>U13</f>
        <v>0</v>
      </c>
    </row>
    <row r="14" spans="2:22" x14ac:dyDescent="0.25">
      <c r="B14" s="98">
        <v>2021</v>
      </c>
      <c r="C14" s="95">
        <v>0</v>
      </c>
      <c r="D14" s="87">
        <f>C14*10%</f>
        <v>0</v>
      </c>
      <c r="E14" s="88">
        <f t="shared" si="0"/>
        <v>0</v>
      </c>
      <c r="G14" s="98">
        <v>2</v>
      </c>
      <c r="H14" s="96">
        <v>2</v>
      </c>
      <c r="I14" s="90">
        <v>0</v>
      </c>
      <c r="J14" s="32">
        <v>0</v>
      </c>
      <c r="K14" s="32">
        <f>0.307*(I14^2.174)*J14</f>
        <v>0</v>
      </c>
      <c r="L14" s="33">
        <f>K14-K13</f>
        <v>0</v>
      </c>
      <c r="N14" s="98">
        <f t="shared" ref="N14:N32" si="5">H14</f>
        <v>2</v>
      </c>
      <c r="O14" s="124">
        <f t="shared" ref="O14:O42" si="6">(L14*$E$15)/1000</f>
        <v>0</v>
      </c>
      <c r="P14" s="32">
        <f t="shared" si="1"/>
        <v>0</v>
      </c>
      <c r="Q14" s="32">
        <f t="shared" ref="Q14:Q42" si="7">O14+P14</f>
        <v>0</v>
      </c>
      <c r="R14" s="37">
        <f t="shared" si="2"/>
        <v>0</v>
      </c>
      <c r="S14" s="37">
        <f t="shared" si="3"/>
        <v>0</v>
      </c>
      <c r="T14" s="37">
        <f t="shared" si="4"/>
        <v>0</v>
      </c>
      <c r="U14" s="38">
        <f t="shared" ref="U14:U42" si="8">R14+S14+T14</f>
        <v>0</v>
      </c>
      <c r="V14" s="144">
        <f>U14+V13</f>
        <v>0</v>
      </c>
    </row>
    <row r="15" spans="2:22" x14ac:dyDescent="0.25">
      <c r="B15" s="98">
        <v>2022</v>
      </c>
      <c r="C15" s="95">
        <f>('General Information'!$C$10*'General Information'!C14)</f>
        <v>2682.5</v>
      </c>
      <c r="D15" s="87">
        <f>C15*10%</f>
        <v>268.25</v>
      </c>
      <c r="E15" s="88">
        <f t="shared" si="0"/>
        <v>2414.25</v>
      </c>
      <c r="G15" s="98">
        <v>3</v>
      </c>
      <c r="H15" s="96">
        <v>3</v>
      </c>
      <c r="I15" s="90">
        <v>0</v>
      </c>
      <c r="J15" s="32">
        <v>0</v>
      </c>
      <c r="K15" s="32">
        <f t="shared" ref="K15:K41" si="9">0.307*(I15^2.174)*J15</f>
        <v>0</v>
      </c>
      <c r="L15" s="33">
        <f t="shared" ref="L15:L20" si="10">K15-K14</f>
        <v>0</v>
      </c>
      <c r="N15" s="98">
        <f t="shared" si="5"/>
        <v>3</v>
      </c>
      <c r="O15" s="124">
        <f t="shared" si="6"/>
        <v>0</v>
      </c>
      <c r="P15" s="32">
        <f t="shared" si="1"/>
        <v>0</v>
      </c>
      <c r="Q15" s="32">
        <f t="shared" si="7"/>
        <v>0</v>
      </c>
      <c r="R15" s="37">
        <f t="shared" si="2"/>
        <v>0</v>
      </c>
      <c r="S15" s="37">
        <f t="shared" si="3"/>
        <v>0</v>
      </c>
      <c r="T15" s="37">
        <f t="shared" si="4"/>
        <v>0</v>
      </c>
      <c r="U15" s="38">
        <f t="shared" si="8"/>
        <v>0</v>
      </c>
      <c r="V15" s="144">
        <f t="shared" ref="V15:V42" si="11">U15+V14</f>
        <v>0</v>
      </c>
    </row>
    <row r="16" spans="2:22" x14ac:dyDescent="0.25">
      <c r="B16" s="98">
        <v>2023</v>
      </c>
      <c r="C16" s="95">
        <v>0</v>
      </c>
      <c r="D16" s="87">
        <f>C16*10%</f>
        <v>0</v>
      </c>
      <c r="E16" s="88">
        <f t="shared" si="0"/>
        <v>0</v>
      </c>
      <c r="G16" s="98">
        <v>4</v>
      </c>
      <c r="H16" s="96">
        <v>4</v>
      </c>
      <c r="I16" s="90">
        <f>I3</f>
        <v>6.46</v>
      </c>
      <c r="J16" s="32">
        <f>I4</f>
        <v>6.92</v>
      </c>
      <c r="K16" s="32">
        <f t="shared" si="9"/>
        <v>122.65632944486175</v>
      </c>
      <c r="L16" s="33">
        <f t="shared" si="10"/>
        <v>122.65632944486175</v>
      </c>
      <c r="N16" s="98">
        <f t="shared" si="5"/>
        <v>4</v>
      </c>
      <c r="O16" s="124">
        <f t="shared" si="6"/>
        <v>296.12304336225748</v>
      </c>
      <c r="P16" s="32">
        <f t="shared" si="1"/>
        <v>74.030760840564369</v>
      </c>
      <c r="Q16" s="32">
        <f t="shared" si="7"/>
        <v>370.15380420282185</v>
      </c>
      <c r="R16" s="37">
        <f t="shared" si="2"/>
        <v>637.89838924286289</v>
      </c>
      <c r="S16" s="37">
        <f t="shared" si="3"/>
        <v>0</v>
      </c>
      <c r="T16" s="37">
        <f t="shared" si="4"/>
        <v>0</v>
      </c>
      <c r="U16" s="38">
        <f t="shared" si="8"/>
        <v>637.89838924286289</v>
      </c>
      <c r="V16" s="144">
        <f t="shared" si="11"/>
        <v>637.89838924286289</v>
      </c>
    </row>
    <row r="17" spans="2:22" x14ac:dyDescent="0.25">
      <c r="B17" s="98">
        <v>2024</v>
      </c>
      <c r="C17" s="95">
        <v>0</v>
      </c>
      <c r="D17" s="87">
        <f>C17*10%</f>
        <v>0</v>
      </c>
      <c r="E17" s="88">
        <f t="shared" si="0"/>
        <v>0</v>
      </c>
      <c r="G17" s="98">
        <v>5</v>
      </c>
      <c r="H17" s="96">
        <v>5</v>
      </c>
      <c r="I17" s="90">
        <f t="shared" ref="I17:J31" si="12">I16</f>
        <v>6.46</v>
      </c>
      <c r="J17" s="32">
        <f>J16+$I$4</f>
        <v>13.84</v>
      </c>
      <c r="K17" s="32">
        <f t="shared" si="9"/>
        <v>245.31265888972351</v>
      </c>
      <c r="L17" s="33">
        <f t="shared" si="10"/>
        <v>122.65632944486175</v>
      </c>
      <c r="N17" s="98">
        <f t="shared" si="5"/>
        <v>5</v>
      </c>
      <c r="O17" s="124">
        <f t="shared" si="6"/>
        <v>296.12304336225748</v>
      </c>
      <c r="P17" s="32">
        <f t="shared" si="1"/>
        <v>74.030760840564369</v>
      </c>
      <c r="Q17" s="32">
        <f t="shared" si="7"/>
        <v>370.15380420282185</v>
      </c>
      <c r="R17" s="37">
        <f t="shared" si="2"/>
        <v>637.89838924286289</v>
      </c>
      <c r="S17" s="37">
        <f t="shared" si="3"/>
        <v>0</v>
      </c>
      <c r="T17" s="37">
        <f t="shared" si="4"/>
        <v>0</v>
      </c>
      <c r="U17" s="38">
        <f t="shared" si="8"/>
        <v>637.89838924286289</v>
      </c>
      <c r="V17" s="144">
        <f t="shared" si="11"/>
        <v>1275.7967784857258</v>
      </c>
    </row>
    <row r="18" spans="2:22" x14ac:dyDescent="0.25">
      <c r="B18" s="98">
        <v>2025</v>
      </c>
      <c r="C18" s="96">
        <v>0</v>
      </c>
      <c r="D18" s="89">
        <v>0</v>
      </c>
      <c r="E18" s="91">
        <v>0</v>
      </c>
      <c r="G18" s="98">
        <v>6</v>
      </c>
      <c r="H18" s="96">
        <v>6</v>
      </c>
      <c r="I18" s="90">
        <f t="shared" si="12"/>
        <v>6.46</v>
      </c>
      <c r="J18" s="32">
        <f>J17+$I$4</f>
        <v>20.759999999999998</v>
      </c>
      <c r="K18" s="32">
        <f t="shared" si="9"/>
        <v>367.96898833458522</v>
      </c>
      <c r="L18" s="33">
        <f t="shared" si="10"/>
        <v>122.65632944486171</v>
      </c>
      <c r="N18" s="98">
        <f t="shared" si="5"/>
        <v>6</v>
      </c>
      <c r="O18" s="124">
        <f t="shared" si="6"/>
        <v>296.12304336225736</v>
      </c>
      <c r="P18" s="32">
        <f t="shared" si="1"/>
        <v>74.030760840564341</v>
      </c>
      <c r="Q18" s="32">
        <f t="shared" si="7"/>
        <v>370.15380420282168</v>
      </c>
      <c r="R18" s="37">
        <f t="shared" si="2"/>
        <v>637.89838924286255</v>
      </c>
      <c r="S18" s="37">
        <f t="shared" si="3"/>
        <v>0</v>
      </c>
      <c r="T18" s="37">
        <f t="shared" si="4"/>
        <v>0</v>
      </c>
      <c r="U18" s="38">
        <f t="shared" si="8"/>
        <v>637.89838924286255</v>
      </c>
      <c r="V18" s="144">
        <f t="shared" si="11"/>
        <v>1913.6951677285883</v>
      </c>
    </row>
    <row r="19" spans="2:22" x14ac:dyDescent="0.25">
      <c r="B19" s="98">
        <v>2026</v>
      </c>
      <c r="C19" s="96">
        <v>0</v>
      </c>
      <c r="D19" s="89">
        <f t="shared" ref="D19:D30" si="13">C19*10%</f>
        <v>0</v>
      </c>
      <c r="E19" s="91">
        <f t="shared" ref="E19:E30" si="14">C19-D19</f>
        <v>0</v>
      </c>
      <c r="G19" s="98">
        <v>7</v>
      </c>
      <c r="H19" s="96">
        <v>7</v>
      </c>
      <c r="I19" s="90">
        <f t="shared" si="12"/>
        <v>6.46</v>
      </c>
      <c r="J19" s="32">
        <f>J18+$I$4</f>
        <v>27.68</v>
      </c>
      <c r="K19" s="32">
        <f t="shared" si="9"/>
        <v>490.62531777944702</v>
      </c>
      <c r="L19" s="33">
        <f t="shared" si="10"/>
        <v>122.6563294448618</v>
      </c>
      <c r="N19" s="98">
        <f t="shared" si="5"/>
        <v>7</v>
      </c>
      <c r="O19" s="124">
        <f t="shared" si="6"/>
        <v>296.12304336225759</v>
      </c>
      <c r="P19" s="32">
        <f t="shared" si="1"/>
        <v>74.030760840564398</v>
      </c>
      <c r="Q19" s="32">
        <f t="shared" si="7"/>
        <v>370.15380420282202</v>
      </c>
      <c r="R19" s="37">
        <f t="shared" si="2"/>
        <v>637.89838924286323</v>
      </c>
      <c r="S19" s="37">
        <f t="shared" si="3"/>
        <v>0</v>
      </c>
      <c r="T19" s="37">
        <f t="shared" si="4"/>
        <v>0</v>
      </c>
      <c r="U19" s="38">
        <f t="shared" si="8"/>
        <v>637.89838924286323</v>
      </c>
      <c r="V19" s="144">
        <f t="shared" si="11"/>
        <v>2551.5935569714516</v>
      </c>
    </row>
    <row r="20" spans="2:22" x14ac:dyDescent="0.25">
      <c r="B20" s="98">
        <v>2027</v>
      </c>
      <c r="C20" s="96">
        <v>0</v>
      </c>
      <c r="D20" s="89">
        <f t="shared" si="13"/>
        <v>0</v>
      </c>
      <c r="E20" s="91">
        <f t="shared" si="14"/>
        <v>0</v>
      </c>
      <c r="G20" s="98">
        <v>8</v>
      </c>
      <c r="H20" s="96">
        <v>8</v>
      </c>
      <c r="I20" s="90">
        <f t="shared" si="12"/>
        <v>6.46</v>
      </c>
      <c r="J20" s="32">
        <f>J19+$I$4</f>
        <v>34.6</v>
      </c>
      <c r="K20" s="32">
        <f t="shared" si="9"/>
        <v>613.28164722430881</v>
      </c>
      <c r="L20" s="33">
        <f t="shared" si="10"/>
        <v>122.6563294448618</v>
      </c>
      <c r="N20" s="98">
        <f t="shared" si="5"/>
        <v>8</v>
      </c>
      <c r="O20" s="124">
        <f t="shared" si="6"/>
        <v>296.12304336225759</v>
      </c>
      <c r="P20" s="32">
        <f t="shared" si="1"/>
        <v>74.030760840564398</v>
      </c>
      <c r="Q20" s="32">
        <f t="shared" si="7"/>
        <v>370.15380420282202</v>
      </c>
      <c r="R20" s="37">
        <f t="shared" si="2"/>
        <v>637.89838924286323</v>
      </c>
      <c r="S20" s="37">
        <f t="shared" si="3"/>
        <v>0</v>
      </c>
      <c r="T20" s="37">
        <f t="shared" si="4"/>
        <v>0</v>
      </c>
      <c r="U20" s="38">
        <f t="shared" si="8"/>
        <v>637.89838924286323</v>
      </c>
      <c r="V20" s="144">
        <f t="shared" si="11"/>
        <v>3189.4919462143148</v>
      </c>
    </row>
    <row r="21" spans="2:22" x14ac:dyDescent="0.25">
      <c r="B21" s="98">
        <v>2028</v>
      </c>
      <c r="C21" s="96">
        <v>0</v>
      </c>
      <c r="D21" s="89">
        <f t="shared" si="13"/>
        <v>0</v>
      </c>
      <c r="E21" s="91">
        <f t="shared" si="14"/>
        <v>0</v>
      </c>
      <c r="G21" s="98">
        <v>9</v>
      </c>
      <c r="H21" s="96">
        <v>9</v>
      </c>
      <c r="I21" s="90">
        <f t="shared" si="12"/>
        <v>6.46</v>
      </c>
      <c r="J21" s="32">
        <f>J20+$I$4</f>
        <v>41.52</v>
      </c>
      <c r="K21" s="32">
        <f t="shared" si="9"/>
        <v>735.93797666917055</v>
      </c>
      <c r="L21" s="33">
        <f>(K21-K20)*(1-$K$6)</f>
        <v>98.125063555889398</v>
      </c>
      <c r="N21" s="98">
        <f t="shared" si="5"/>
        <v>9</v>
      </c>
      <c r="O21" s="124">
        <f t="shared" si="6"/>
        <v>236.89843468980598</v>
      </c>
      <c r="P21" s="32">
        <f t="shared" si="1"/>
        <v>59.224608672451495</v>
      </c>
      <c r="Q21" s="32">
        <f t="shared" si="7"/>
        <v>296.12304336225748</v>
      </c>
      <c r="R21" s="37">
        <f t="shared" si="2"/>
        <v>510.31871139429035</v>
      </c>
      <c r="S21" s="37">
        <f t="shared" si="3"/>
        <v>0</v>
      </c>
      <c r="T21" s="37">
        <f t="shared" si="4"/>
        <v>0</v>
      </c>
      <c r="U21" s="38">
        <f t="shared" si="8"/>
        <v>510.31871139429035</v>
      </c>
      <c r="V21" s="144">
        <f t="shared" si="11"/>
        <v>3699.8106576086052</v>
      </c>
    </row>
    <row r="22" spans="2:22" x14ac:dyDescent="0.25">
      <c r="B22" s="98">
        <v>2029</v>
      </c>
      <c r="C22" s="96">
        <v>0</v>
      </c>
      <c r="D22" s="89">
        <f t="shared" si="13"/>
        <v>0</v>
      </c>
      <c r="E22" s="91">
        <f t="shared" si="14"/>
        <v>0</v>
      </c>
      <c r="G22" s="98">
        <v>10</v>
      </c>
      <c r="H22" s="96">
        <v>10</v>
      </c>
      <c r="I22" s="90">
        <f t="shared" si="12"/>
        <v>6.46</v>
      </c>
      <c r="J22" s="32">
        <f t="shared" si="12"/>
        <v>41.52</v>
      </c>
      <c r="K22" s="32">
        <f t="shared" si="9"/>
        <v>735.93797666917055</v>
      </c>
      <c r="L22" s="33">
        <f t="shared" ref="L22:L42" si="15">(K22-K21)*(1-$K$6)</f>
        <v>0</v>
      </c>
      <c r="N22" s="98">
        <f t="shared" si="5"/>
        <v>10</v>
      </c>
      <c r="O22" s="124">
        <f t="shared" si="6"/>
        <v>0</v>
      </c>
      <c r="P22" s="32">
        <f t="shared" si="1"/>
        <v>0</v>
      </c>
      <c r="Q22" s="32">
        <f t="shared" si="7"/>
        <v>0</v>
      </c>
      <c r="R22" s="37">
        <f t="shared" si="2"/>
        <v>0</v>
      </c>
      <c r="S22" s="37">
        <f t="shared" si="3"/>
        <v>0</v>
      </c>
      <c r="T22" s="37">
        <f t="shared" si="4"/>
        <v>0</v>
      </c>
      <c r="U22" s="38">
        <f t="shared" si="8"/>
        <v>0</v>
      </c>
      <c r="V22" s="144">
        <f t="shared" si="11"/>
        <v>3699.8106576086052</v>
      </c>
    </row>
    <row r="23" spans="2:22" x14ac:dyDescent="0.25">
      <c r="B23" s="98">
        <v>2030</v>
      </c>
      <c r="C23" s="96">
        <v>0</v>
      </c>
      <c r="D23" s="89">
        <f t="shared" si="13"/>
        <v>0</v>
      </c>
      <c r="E23" s="91">
        <f t="shared" si="14"/>
        <v>0</v>
      </c>
      <c r="G23" s="98">
        <v>11</v>
      </c>
      <c r="H23" s="96">
        <v>11</v>
      </c>
      <c r="I23" s="90">
        <f t="shared" si="12"/>
        <v>6.46</v>
      </c>
      <c r="J23" s="32">
        <f t="shared" si="12"/>
        <v>41.52</v>
      </c>
      <c r="K23" s="32">
        <f t="shared" si="9"/>
        <v>735.93797666917055</v>
      </c>
      <c r="L23" s="33">
        <f t="shared" si="15"/>
        <v>0</v>
      </c>
      <c r="N23" s="98">
        <f t="shared" si="5"/>
        <v>11</v>
      </c>
      <c r="O23" s="124">
        <f t="shared" si="6"/>
        <v>0</v>
      </c>
      <c r="P23" s="32">
        <f t="shared" si="1"/>
        <v>0</v>
      </c>
      <c r="Q23" s="32">
        <f t="shared" si="7"/>
        <v>0</v>
      </c>
      <c r="R23" s="37">
        <f t="shared" si="2"/>
        <v>0</v>
      </c>
      <c r="S23" s="37">
        <f t="shared" si="3"/>
        <v>0</v>
      </c>
      <c r="T23" s="37">
        <f t="shared" si="4"/>
        <v>0</v>
      </c>
      <c r="U23" s="38">
        <f t="shared" si="8"/>
        <v>0</v>
      </c>
      <c r="V23" s="144">
        <f t="shared" si="11"/>
        <v>3699.8106576086052</v>
      </c>
    </row>
    <row r="24" spans="2:22" x14ac:dyDescent="0.25">
      <c r="B24" s="98">
        <v>2031</v>
      </c>
      <c r="C24" s="96">
        <v>0</v>
      </c>
      <c r="D24" s="89">
        <f t="shared" si="13"/>
        <v>0</v>
      </c>
      <c r="E24" s="91">
        <f t="shared" si="14"/>
        <v>0</v>
      </c>
      <c r="G24" s="98">
        <v>12</v>
      </c>
      <c r="H24" s="96">
        <v>12</v>
      </c>
      <c r="I24" s="90">
        <f t="shared" si="12"/>
        <v>6.46</v>
      </c>
      <c r="J24" s="32">
        <f t="shared" si="12"/>
        <v>41.52</v>
      </c>
      <c r="K24" s="32">
        <f t="shared" si="9"/>
        <v>735.93797666917055</v>
      </c>
      <c r="L24" s="33">
        <f t="shared" si="15"/>
        <v>0</v>
      </c>
      <c r="N24" s="98">
        <f t="shared" si="5"/>
        <v>12</v>
      </c>
      <c r="O24" s="124">
        <f t="shared" si="6"/>
        <v>0</v>
      </c>
      <c r="P24" s="32">
        <f t="shared" si="1"/>
        <v>0</v>
      </c>
      <c r="Q24" s="32">
        <f t="shared" si="7"/>
        <v>0</v>
      </c>
      <c r="R24" s="37">
        <f t="shared" si="2"/>
        <v>0</v>
      </c>
      <c r="S24" s="37">
        <f t="shared" si="3"/>
        <v>0</v>
      </c>
      <c r="T24" s="37">
        <f t="shared" si="4"/>
        <v>0</v>
      </c>
      <c r="U24" s="38">
        <f t="shared" si="8"/>
        <v>0</v>
      </c>
      <c r="V24" s="144">
        <f t="shared" si="11"/>
        <v>3699.8106576086052</v>
      </c>
    </row>
    <row r="25" spans="2:22" x14ac:dyDescent="0.25">
      <c r="B25" s="98">
        <v>2032</v>
      </c>
      <c r="C25" s="96">
        <v>0</v>
      </c>
      <c r="D25" s="89">
        <f t="shared" si="13"/>
        <v>0</v>
      </c>
      <c r="E25" s="91">
        <f t="shared" si="14"/>
        <v>0</v>
      </c>
      <c r="G25" s="98">
        <v>13</v>
      </c>
      <c r="H25" s="96">
        <v>13</v>
      </c>
      <c r="I25" s="90">
        <f t="shared" si="12"/>
        <v>6.46</v>
      </c>
      <c r="J25" s="32">
        <f t="shared" si="12"/>
        <v>41.52</v>
      </c>
      <c r="K25" s="32">
        <f t="shared" si="9"/>
        <v>735.93797666917055</v>
      </c>
      <c r="L25" s="33">
        <f t="shared" si="15"/>
        <v>0</v>
      </c>
      <c r="N25" s="98">
        <f t="shared" si="5"/>
        <v>13</v>
      </c>
      <c r="O25" s="124">
        <f t="shared" si="6"/>
        <v>0</v>
      </c>
      <c r="P25" s="32">
        <f t="shared" si="1"/>
        <v>0</v>
      </c>
      <c r="Q25" s="32">
        <f t="shared" si="7"/>
        <v>0</v>
      </c>
      <c r="R25" s="37">
        <f t="shared" si="2"/>
        <v>0</v>
      </c>
      <c r="S25" s="37">
        <f t="shared" si="3"/>
        <v>0</v>
      </c>
      <c r="T25" s="37">
        <f t="shared" si="4"/>
        <v>0</v>
      </c>
      <c r="U25" s="38">
        <f t="shared" si="8"/>
        <v>0</v>
      </c>
      <c r="V25" s="144">
        <f t="shared" si="11"/>
        <v>3699.8106576086052</v>
      </c>
    </row>
    <row r="26" spans="2:22" x14ac:dyDescent="0.25">
      <c r="B26" s="98">
        <v>2033</v>
      </c>
      <c r="C26" s="96">
        <v>0</v>
      </c>
      <c r="D26" s="89">
        <f t="shared" si="13"/>
        <v>0</v>
      </c>
      <c r="E26" s="91">
        <f t="shared" si="14"/>
        <v>0</v>
      </c>
      <c r="G26" s="98">
        <v>14</v>
      </c>
      <c r="H26" s="96">
        <v>14</v>
      </c>
      <c r="I26" s="90">
        <f t="shared" si="12"/>
        <v>6.46</v>
      </c>
      <c r="J26" s="32">
        <f t="shared" si="12"/>
        <v>41.52</v>
      </c>
      <c r="K26" s="32">
        <f t="shared" si="9"/>
        <v>735.93797666917055</v>
      </c>
      <c r="L26" s="33">
        <f t="shared" si="15"/>
        <v>0</v>
      </c>
      <c r="N26" s="98">
        <f t="shared" si="5"/>
        <v>14</v>
      </c>
      <c r="O26" s="124">
        <f t="shared" si="6"/>
        <v>0</v>
      </c>
      <c r="P26" s="32">
        <f t="shared" si="1"/>
        <v>0</v>
      </c>
      <c r="Q26" s="32">
        <f t="shared" si="7"/>
        <v>0</v>
      </c>
      <c r="R26" s="37">
        <f t="shared" si="2"/>
        <v>0</v>
      </c>
      <c r="S26" s="37">
        <f t="shared" si="3"/>
        <v>0</v>
      </c>
      <c r="T26" s="37">
        <f t="shared" si="4"/>
        <v>0</v>
      </c>
      <c r="U26" s="38">
        <f t="shared" si="8"/>
        <v>0</v>
      </c>
      <c r="V26" s="144">
        <f t="shared" si="11"/>
        <v>3699.8106576086052</v>
      </c>
    </row>
    <row r="27" spans="2:22" x14ac:dyDescent="0.25">
      <c r="B27" s="98">
        <v>2034</v>
      </c>
      <c r="C27" s="96">
        <v>0</v>
      </c>
      <c r="D27" s="89">
        <f t="shared" si="13"/>
        <v>0</v>
      </c>
      <c r="E27" s="91">
        <f t="shared" si="14"/>
        <v>0</v>
      </c>
      <c r="G27" s="98">
        <v>15</v>
      </c>
      <c r="H27" s="96">
        <v>15</v>
      </c>
      <c r="I27" s="90">
        <f t="shared" si="12"/>
        <v>6.46</v>
      </c>
      <c r="J27" s="32">
        <f t="shared" si="12"/>
        <v>41.52</v>
      </c>
      <c r="K27" s="32">
        <f t="shared" si="9"/>
        <v>735.93797666917055</v>
      </c>
      <c r="L27" s="33">
        <f t="shared" si="15"/>
        <v>0</v>
      </c>
      <c r="N27" s="98">
        <f t="shared" si="5"/>
        <v>15</v>
      </c>
      <c r="O27" s="124">
        <f t="shared" si="6"/>
        <v>0</v>
      </c>
      <c r="P27" s="32">
        <f t="shared" si="1"/>
        <v>0</v>
      </c>
      <c r="Q27" s="32">
        <f t="shared" si="7"/>
        <v>0</v>
      </c>
      <c r="R27" s="37">
        <f t="shared" si="2"/>
        <v>0</v>
      </c>
      <c r="S27" s="37">
        <f t="shared" si="3"/>
        <v>0</v>
      </c>
      <c r="T27" s="37">
        <f t="shared" si="4"/>
        <v>0</v>
      </c>
      <c r="U27" s="38">
        <f t="shared" si="8"/>
        <v>0</v>
      </c>
      <c r="V27" s="144">
        <f t="shared" si="11"/>
        <v>3699.8106576086052</v>
      </c>
    </row>
    <row r="28" spans="2:22" x14ac:dyDescent="0.25">
      <c r="B28" s="98">
        <v>2035</v>
      </c>
      <c r="C28" s="96">
        <v>0</v>
      </c>
      <c r="D28" s="89">
        <f t="shared" si="13"/>
        <v>0</v>
      </c>
      <c r="E28" s="91">
        <f t="shared" si="14"/>
        <v>0</v>
      </c>
      <c r="G28" s="98">
        <v>16</v>
      </c>
      <c r="H28" s="96">
        <v>16</v>
      </c>
      <c r="I28" s="90">
        <f t="shared" si="12"/>
        <v>6.46</v>
      </c>
      <c r="J28" s="32">
        <f t="shared" si="12"/>
        <v>41.52</v>
      </c>
      <c r="K28" s="32">
        <f t="shared" si="9"/>
        <v>735.93797666917055</v>
      </c>
      <c r="L28" s="33">
        <f t="shared" si="15"/>
        <v>0</v>
      </c>
      <c r="N28" s="98">
        <f t="shared" si="5"/>
        <v>16</v>
      </c>
      <c r="O28" s="124">
        <f t="shared" si="6"/>
        <v>0</v>
      </c>
      <c r="P28" s="32">
        <f t="shared" si="1"/>
        <v>0</v>
      </c>
      <c r="Q28" s="32">
        <f t="shared" si="7"/>
        <v>0</v>
      </c>
      <c r="R28" s="37">
        <f t="shared" si="2"/>
        <v>0</v>
      </c>
      <c r="S28" s="37">
        <f t="shared" si="3"/>
        <v>0</v>
      </c>
      <c r="T28" s="37">
        <f t="shared" si="4"/>
        <v>0</v>
      </c>
      <c r="U28" s="38">
        <f t="shared" si="8"/>
        <v>0</v>
      </c>
      <c r="V28" s="144">
        <f t="shared" si="11"/>
        <v>3699.8106576086052</v>
      </c>
    </row>
    <row r="29" spans="2:22" x14ac:dyDescent="0.25">
      <c r="B29" s="98">
        <v>2036</v>
      </c>
      <c r="C29" s="96">
        <v>0</v>
      </c>
      <c r="D29" s="89">
        <f t="shared" si="13"/>
        <v>0</v>
      </c>
      <c r="E29" s="91">
        <f t="shared" si="14"/>
        <v>0</v>
      </c>
      <c r="G29" s="130">
        <v>17</v>
      </c>
      <c r="H29" s="96">
        <v>17</v>
      </c>
      <c r="I29" s="90">
        <f t="shared" si="12"/>
        <v>6.46</v>
      </c>
      <c r="J29" s="32">
        <f t="shared" si="12"/>
        <v>41.52</v>
      </c>
      <c r="K29" s="32">
        <f t="shared" si="9"/>
        <v>735.93797666917055</v>
      </c>
      <c r="L29" s="33">
        <f t="shared" si="15"/>
        <v>0</v>
      </c>
      <c r="N29" s="98">
        <f t="shared" si="5"/>
        <v>17</v>
      </c>
      <c r="O29" s="124">
        <f t="shared" si="6"/>
        <v>0</v>
      </c>
      <c r="P29" s="32">
        <f t="shared" si="1"/>
        <v>0</v>
      </c>
      <c r="Q29" s="32">
        <f t="shared" si="7"/>
        <v>0</v>
      </c>
      <c r="R29" s="37">
        <f t="shared" si="2"/>
        <v>0</v>
      </c>
      <c r="S29" s="37">
        <f t="shared" si="3"/>
        <v>0</v>
      </c>
      <c r="T29" s="37">
        <f t="shared" si="4"/>
        <v>0</v>
      </c>
      <c r="U29" s="38">
        <f t="shared" si="8"/>
        <v>0</v>
      </c>
      <c r="V29" s="144">
        <f>U29+V28</f>
        <v>3699.8106576086052</v>
      </c>
    </row>
    <row r="30" spans="2:22" x14ac:dyDescent="0.25">
      <c r="B30" s="98">
        <v>2037</v>
      </c>
      <c r="C30" s="96">
        <v>0</v>
      </c>
      <c r="D30" s="89">
        <f t="shared" si="13"/>
        <v>0</v>
      </c>
      <c r="E30" s="91">
        <f t="shared" si="14"/>
        <v>0</v>
      </c>
      <c r="G30" s="98">
        <v>18</v>
      </c>
      <c r="H30" s="96">
        <v>18</v>
      </c>
      <c r="I30" s="90">
        <f t="shared" si="12"/>
        <v>6.46</v>
      </c>
      <c r="J30" s="32">
        <f t="shared" si="12"/>
        <v>41.52</v>
      </c>
      <c r="K30" s="32">
        <f t="shared" si="9"/>
        <v>735.93797666917055</v>
      </c>
      <c r="L30" s="33">
        <f t="shared" si="15"/>
        <v>0</v>
      </c>
      <c r="N30" s="98">
        <f t="shared" si="5"/>
        <v>18</v>
      </c>
      <c r="O30" s="124">
        <f t="shared" si="6"/>
        <v>0</v>
      </c>
      <c r="P30" s="32">
        <f t="shared" si="1"/>
        <v>0</v>
      </c>
      <c r="Q30" s="32">
        <f t="shared" si="7"/>
        <v>0</v>
      </c>
      <c r="R30" s="37">
        <f t="shared" si="2"/>
        <v>0</v>
      </c>
      <c r="S30" s="37">
        <f t="shared" si="3"/>
        <v>0</v>
      </c>
      <c r="T30" s="37">
        <f t="shared" si="4"/>
        <v>0</v>
      </c>
      <c r="U30" s="38">
        <f t="shared" si="8"/>
        <v>0</v>
      </c>
      <c r="V30" s="144">
        <f>U30+V29</f>
        <v>3699.8106576086052</v>
      </c>
    </row>
    <row r="31" spans="2:22" x14ac:dyDescent="0.25">
      <c r="B31" s="98">
        <v>2038</v>
      </c>
      <c r="C31" s="96">
        <v>0</v>
      </c>
      <c r="D31" s="89">
        <v>0</v>
      </c>
      <c r="E31" s="91">
        <v>0</v>
      </c>
      <c r="G31" s="98">
        <v>19</v>
      </c>
      <c r="H31" s="96">
        <v>19</v>
      </c>
      <c r="I31" s="90">
        <f t="shared" si="12"/>
        <v>6.46</v>
      </c>
      <c r="J31" s="32">
        <f t="shared" si="12"/>
        <v>41.52</v>
      </c>
      <c r="K31" s="32">
        <f t="shared" si="9"/>
        <v>735.93797666917055</v>
      </c>
      <c r="L31" s="33">
        <f t="shared" si="15"/>
        <v>0</v>
      </c>
      <c r="N31" s="98">
        <f t="shared" si="5"/>
        <v>19</v>
      </c>
      <c r="O31" s="124">
        <f t="shared" si="6"/>
        <v>0</v>
      </c>
      <c r="P31" s="32">
        <f t="shared" si="1"/>
        <v>0</v>
      </c>
      <c r="Q31" s="32">
        <f t="shared" si="7"/>
        <v>0</v>
      </c>
      <c r="R31" s="37">
        <f t="shared" si="2"/>
        <v>0</v>
      </c>
      <c r="S31" s="37">
        <f t="shared" si="3"/>
        <v>0</v>
      </c>
      <c r="T31" s="37">
        <f t="shared" si="4"/>
        <v>0</v>
      </c>
      <c r="U31" s="38">
        <f t="shared" si="8"/>
        <v>0</v>
      </c>
      <c r="V31" s="144">
        <f t="shared" si="11"/>
        <v>3699.8106576086052</v>
      </c>
    </row>
    <row r="32" spans="2:22" x14ac:dyDescent="0.25">
      <c r="B32" s="98">
        <v>2039</v>
      </c>
      <c r="C32" s="96">
        <v>0</v>
      </c>
      <c r="D32" s="89">
        <v>0</v>
      </c>
      <c r="E32" s="91">
        <v>0</v>
      </c>
      <c r="G32" s="98">
        <v>20</v>
      </c>
      <c r="H32" s="96">
        <v>20</v>
      </c>
      <c r="I32" s="90">
        <f t="shared" ref="I32:J42" si="16">I31</f>
        <v>6.46</v>
      </c>
      <c r="J32" s="32">
        <f t="shared" si="16"/>
        <v>41.52</v>
      </c>
      <c r="K32" s="32">
        <f t="shared" si="9"/>
        <v>735.93797666917055</v>
      </c>
      <c r="L32" s="33">
        <f t="shared" si="15"/>
        <v>0</v>
      </c>
      <c r="N32" s="98">
        <f t="shared" si="5"/>
        <v>20</v>
      </c>
      <c r="O32" s="124">
        <f t="shared" si="6"/>
        <v>0</v>
      </c>
      <c r="P32" s="32">
        <f t="shared" si="1"/>
        <v>0</v>
      </c>
      <c r="Q32" s="32">
        <f t="shared" si="7"/>
        <v>0</v>
      </c>
      <c r="R32" s="37">
        <f t="shared" si="2"/>
        <v>0</v>
      </c>
      <c r="S32" s="37">
        <f t="shared" si="3"/>
        <v>0</v>
      </c>
      <c r="T32" s="37">
        <f t="shared" si="4"/>
        <v>0</v>
      </c>
      <c r="U32" s="38">
        <f t="shared" si="8"/>
        <v>0</v>
      </c>
      <c r="V32" s="144">
        <f t="shared" si="11"/>
        <v>3699.8106576086052</v>
      </c>
    </row>
    <row r="33" spans="2:22" x14ac:dyDescent="0.25">
      <c r="B33" s="98">
        <v>2040</v>
      </c>
      <c r="C33" s="96">
        <v>0</v>
      </c>
      <c r="D33" s="89">
        <v>0</v>
      </c>
      <c r="E33" s="91">
        <v>0</v>
      </c>
      <c r="G33" s="98">
        <v>21</v>
      </c>
      <c r="H33" s="96">
        <v>21</v>
      </c>
      <c r="I33" s="90">
        <f t="shared" si="16"/>
        <v>6.46</v>
      </c>
      <c r="J33" s="32">
        <f t="shared" si="16"/>
        <v>41.52</v>
      </c>
      <c r="K33" s="32">
        <f t="shared" si="9"/>
        <v>735.93797666917055</v>
      </c>
      <c r="L33" s="33">
        <f t="shared" si="15"/>
        <v>0</v>
      </c>
      <c r="N33" s="98">
        <f t="shared" ref="N33:N41" si="17">H33</f>
        <v>21</v>
      </c>
      <c r="O33" s="124">
        <f t="shared" si="6"/>
        <v>0</v>
      </c>
      <c r="P33" s="32">
        <f t="shared" si="1"/>
        <v>0</v>
      </c>
      <c r="Q33" s="32">
        <f t="shared" si="7"/>
        <v>0</v>
      </c>
      <c r="R33" s="37">
        <f t="shared" si="2"/>
        <v>0</v>
      </c>
      <c r="S33" s="37">
        <f t="shared" si="3"/>
        <v>0</v>
      </c>
      <c r="T33" s="37">
        <f t="shared" si="4"/>
        <v>0</v>
      </c>
      <c r="U33" s="38">
        <f t="shared" si="8"/>
        <v>0</v>
      </c>
      <c r="V33" s="144">
        <f t="shared" si="11"/>
        <v>3699.8106576086052</v>
      </c>
    </row>
    <row r="34" spans="2:22" x14ac:dyDescent="0.25">
      <c r="B34" s="98">
        <v>2041</v>
      </c>
      <c r="C34" s="96">
        <v>0</v>
      </c>
      <c r="D34" s="89">
        <v>0</v>
      </c>
      <c r="E34" s="91">
        <v>0</v>
      </c>
      <c r="G34" s="98">
        <v>22</v>
      </c>
      <c r="H34" s="96">
        <v>22</v>
      </c>
      <c r="I34" s="90">
        <f t="shared" si="16"/>
        <v>6.46</v>
      </c>
      <c r="J34" s="32">
        <f t="shared" si="16"/>
        <v>41.52</v>
      </c>
      <c r="K34" s="32">
        <f t="shared" si="9"/>
        <v>735.93797666917055</v>
      </c>
      <c r="L34" s="33">
        <f t="shared" si="15"/>
        <v>0</v>
      </c>
      <c r="N34" s="98">
        <f t="shared" si="17"/>
        <v>22</v>
      </c>
      <c r="O34" s="124">
        <f t="shared" si="6"/>
        <v>0</v>
      </c>
      <c r="P34" s="32">
        <f t="shared" si="1"/>
        <v>0</v>
      </c>
      <c r="Q34" s="32">
        <f t="shared" si="7"/>
        <v>0</v>
      </c>
      <c r="R34" s="37">
        <f t="shared" si="2"/>
        <v>0</v>
      </c>
      <c r="S34" s="37">
        <f t="shared" si="3"/>
        <v>0</v>
      </c>
      <c r="T34" s="37">
        <f t="shared" si="4"/>
        <v>0</v>
      </c>
      <c r="U34" s="38">
        <f t="shared" si="8"/>
        <v>0</v>
      </c>
      <c r="V34" s="144">
        <f t="shared" si="11"/>
        <v>3699.8106576086052</v>
      </c>
    </row>
    <row r="35" spans="2:22" x14ac:dyDescent="0.25">
      <c r="B35" s="98">
        <v>2042</v>
      </c>
      <c r="C35" s="96">
        <v>0</v>
      </c>
      <c r="D35" s="89">
        <v>0</v>
      </c>
      <c r="E35" s="91">
        <v>0</v>
      </c>
      <c r="G35" s="98">
        <v>23</v>
      </c>
      <c r="H35" s="96">
        <v>23</v>
      </c>
      <c r="I35" s="90">
        <f t="shared" si="16"/>
        <v>6.46</v>
      </c>
      <c r="J35" s="32">
        <f t="shared" si="16"/>
        <v>41.52</v>
      </c>
      <c r="K35" s="32">
        <f t="shared" si="9"/>
        <v>735.93797666917055</v>
      </c>
      <c r="L35" s="33">
        <f t="shared" si="15"/>
        <v>0</v>
      </c>
      <c r="N35" s="98">
        <f t="shared" si="17"/>
        <v>23</v>
      </c>
      <c r="O35" s="124">
        <f t="shared" si="6"/>
        <v>0</v>
      </c>
      <c r="P35" s="32">
        <f t="shared" si="1"/>
        <v>0</v>
      </c>
      <c r="Q35" s="32">
        <f t="shared" si="7"/>
        <v>0</v>
      </c>
      <c r="R35" s="37">
        <f t="shared" si="2"/>
        <v>0</v>
      </c>
      <c r="S35" s="37">
        <f t="shared" si="3"/>
        <v>0</v>
      </c>
      <c r="T35" s="37">
        <f t="shared" si="4"/>
        <v>0</v>
      </c>
      <c r="U35" s="38">
        <f t="shared" si="8"/>
        <v>0</v>
      </c>
      <c r="V35" s="144">
        <f t="shared" si="11"/>
        <v>3699.8106576086052</v>
      </c>
    </row>
    <row r="36" spans="2:22" x14ac:dyDescent="0.25">
      <c r="B36" s="98">
        <v>2043</v>
      </c>
      <c r="C36" s="96">
        <v>0</v>
      </c>
      <c r="D36" s="89">
        <v>0</v>
      </c>
      <c r="E36" s="91">
        <v>0</v>
      </c>
      <c r="G36" s="98">
        <v>24</v>
      </c>
      <c r="H36" s="96">
        <v>24</v>
      </c>
      <c r="I36" s="90">
        <f t="shared" si="16"/>
        <v>6.46</v>
      </c>
      <c r="J36" s="32">
        <f t="shared" si="16"/>
        <v>41.52</v>
      </c>
      <c r="K36" s="32">
        <f t="shared" si="9"/>
        <v>735.93797666917055</v>
      </c>
      <c r="L36" s="33">
        <f t="shared" si="15"/>
        <v>0</v>
      </c>
      <c r="N36" s="98">
        <f t="shared" si="17"/>
        <v>24</v>
      </c>
      <c r="O36" s="124">
        <f t="shared" si="6"/>
        <v>0</v>
      </c>
      <c r="P36" s="32">
        <f t="shared" si="1"/>
        <v>0</v>
      </c>
      <c r="Q36" s="32">
        <f t="shared" si="7"/>
        <v>0</v>
      </c>
      <c r="R36" s="37">
        <f t="shared" si="2"/>
        <v>0</v>
      </c>
      <c r="S36" s="37">
        <f t="shared" si="3"/>
        <v>0</v>
      </c>
      <c r="T36" s="37">
        <f t="shared" si="4"/>
        <v>0</v>
      </c>
      <c r="U36" s="38">
        <f t="shared" si="8"/>
        <v>0</v>
      </c>
      <c r="V36" s="144">
        <f t="shared" si="11"/>
        <v>3699.8106576086052</v>
      </c>
    </row>
    <row r="37" spans="2:22" x14ac:dyDescent="0.25">
      <c r="B37" s="98">
        <v>2044</v>
      </c>
      <c r="C37" s="96">
        <v>0</v>
      </c>
      <c r="D37" s="89">
        <v>0</v>
      </c>
      <c r="E37" s="91">
        <v>0</v>
      </c>
      <c r="G37" s="98">
        <v>25</v>
      </c>
      <c r="H37" s="96">
        <v>25</v>
      </c>
      <c r="I37" s="90">
        <f t="shared" si="16"/>
        <v>6.46</v>
      </c>
      <c r="J37" s="32">
        <f t="shared" si="16"/>
        <v>41.52</v>
      </c>
      <c r="K37" s="32">
        <f t="shared" si="9"/>
        <v>735.93797666917055</v>
      </c>
      <c r="L37" s="33">
        <f t="shared" si="15"/>
        <v>0</v>
      </c>
      <c r="N37" s="98">
        <f t="shared" si="17"/>
        <v>25</v>
      </c>
      <c r="O37" s="124">
        <f t="shared" si="6"/>
        <v>0</v>
      </c>
      <c r="P37" s="32">
        <f t="shared" si="1"/>
        <v>0</v>
      </c>
      <c r="Q37" s="32">
        <f t="shared" si="7"/>
        <v>0</v>
      </c>
      <c r="R37" s="37">
        <f t="shared" si="2"/>
        <v>0</v>
      </c>
      <c r="S37" s="37">
        <f t="shared" si="3"/>
        <v>0</v>
      </c>
      <c r="T37" s="37">
        <f t="shared" si="4"/>
        <v>0</v>
      </c>
      <c r="U37" s="38">
        <f t="shared" si="8"/>
        <v>0</v>
      </c>
      <c r="V37" s="144">
        <f t="shared" si="11"/>
        <v>3699.8106576086052</v>
      </c>
    </row>
    <row r="38" spans="2:22" x14ac:dyDescent="0.25">
      <c r="B38" s="98">
        <v>2045</v>
      </c>
      <c r="C38" s="96">
        <v>0</v>
      </c>
      <c r="D38" s="89">
        <v>0</v>
      </c>
      <c r="E38" s="91">
        <v>0</v>
      </c>
      <c r="G38" s="98">
        <v>26</v>
      </c>
      <c r="H38" s="96">
        <v>26</v>
      </c>
      <c r="I38" s="90">
        <f t="shared" si="16"/>
        <v>6.46</v>
      </c>
      <c r="J38" s="32">
        <f t="shared" si="16"/>
        <v>41.52</v>
      </c>
      <c r="K38" s="32">
        <f t="shared" si="9"/>
        <v>735.93797666917055</v>
      </c>
      <c r="L38" s="33">
        <f t="shared" si="15"/>
        <v>0</v>
      </c>
      <c r="N38" s="98">
        <f t="shared" si="17"/>
        <v>26</v>
      </c>
      <c r="O38" s="124">
        <f t="shared" si="6"/>
        <v>0</v>
      </c>
      <c r="P38" s="32">
        <f t="shared" si="1"/>
        <v>0</v>
      </c>
      <c r="Q38" s="32">
        <f t="shared" si="7"/>
        <v>0</v>
      </c>
      <c r="R38" s="37">
        <f t="shared" si="2"/>
        <v>0</v>
      </c>
      <c r="S38" s="37">
        <f t="shared" si="3"/>
        <v>0</v>
      </c>
      <c r="T38" s="37">
        <f t="shared" si="4"/>
        <v>0</v>
      </c>
      <c r="U38" s="38">
        <f t="shared" si="8"/>
        <v>0</v>
      </c>
      <c r="V38" s="144">
        <f t="shared" si="11"/>
        <v>3699.8106576086052</v>
      </c>
    </row>
    <row r="39" spans="2:22" x14ac:dyDescent="0.25">
      <c r="B39" s="98">
        <v>2046</v>
      </c>
      <c r="C39" s="96">
        <v>0</v>
      </c>
      <c r="D39" s="89">
        <v>0</v>
      </c>
      <c r="E39" s="91">
        <v>0</v>
      </c>
      <c r="G39" s="98">
        <v>27</v>
      </c>
      <c r="H39" s="96">
        <v>27</v>
      </c>
      <c r="I39" s="90">
        <f t="shared" si="16"/>
        <v>6.46</v>
      </c>
      <c r="J39" s="32">
        <f t="shared" si="16"/>
        <v>41.52</v>
      </c>
      <c r="K39" s="32">
        <f t="shared" si="9"/>
        <v>735.93797666917055</v>
      </c>
      <c r="L39" s="33">
        <f t="shared" si="15"/>
        <v>0</v>
      </c>
      <c r="N39" s="98">
        <f t="shared" si="17"/>
        <v>27</v>
      </c>
      <c r="O39" s="124">
        <f t="shared" si="6"/>
        <v>0</v>
      </c>
      <c r="P39" s="32">
        <f t="shared" si="1"/>
        <v>0</v>
      </c>
      <c r="Q39" s="32">
        <f t="shared" si="7"/>
        <v>0</v>
      </c>
      <c r="R39" s="37">
        <f t="shared" si="2"/>
        <v>0</v>
      </c>
      <c r="S39" s="37">
        <f t="shared" si="3"/>
        <v>0</v>
      </c>
      <c r="T39" s="37">
        <f t="shared" si="4"/>
        <v>0</v>
      </c>
      <c r="U39" s="38">
        <f t="shared" si="8"/>
        <v>0</v>
      </c>
      <c r="V39" s="144">
        <f t="shared" si="11"/>
        <v>3699.8106576086052</v>
      </c>
    </row>
    <row r="40" spans="2:22" x14ac:dyDescent="0.25">
      <c r="B40" s="98">
        <v>2047</v>
      </c>
      <c r="C40" s="96">
        <v>0</v>
      </c>
      <c r="D40" s="89">
        <v>0</v>
      </c>
      <c r="E40" s="91">
        <v>0</v>
      </c>
      <c r="G40" s="98">
        <v>28</v>
      </c>
      <c r="H40" s="96">
        <v>28</v>
      </c>
      <c r="I40" s="90">
        <f t="shared" si="16"/>
        <v>6.46</v>
      </c>
      <c r="J40" s="32">
        <f t="shared" si="16"/>
        <v>41.52</v>
      </c>
      <c r="K40" s="32">
        <f t="shared" si="9"/>
        <v>735.93797666917055</v>
      </c>
      <c r="L40" s="33">
        <f t="shared" si="15"/>
        <v>0</v>
      </c>
      <c r="N40" s="98">
        <f t="shared" si="17"/>
        <v>28</v>
      </c>
      <c r="O40" s="124">
        <f t="shared" si="6"/>
        <v>0</v>
      </c>
      <c r="P40" s="32">
        <f t="shared" si="1"/>
        <v>0</v>
      </c>
      <c r="Q40" s="32">
        <f t="shared" si="7"/>
        <v>0</v>
      </c>
      <c r="R40" s="37">
        <f t="shared" si="2"/>
        <v>0</v>
      </c>
      <c r="S40" s="37">
        <f t="shared" si="3"/>
        <v>0</v>
      </c>
      <c r="T40" s="37">
        <f t="shared" si="4"/>
        <v>0</v>
      </c>
      <c r="U40" s="38">
        <f t="shared" si="8"/>
        <v>0</v>
      </c>
      <c r="V40" s="144">
        <f t="shared" si="11"/>
        <v>3699.8106576086052</v>
      </c>
    </row>
    <row r="41" spans="2:22" ht="15.75" thickBot="1" x14ac:dyDescent="0.3">
      <c r="B41" s="99">
        <v>2048</v>
      </c>
      <c r="C41" s="100">
        <v>0</v>
      </c>
      <c r="D41" s="101">
        <v>0</v>
      </c>
      <c r="E41" s="102">
        <v>0</v>
      </c>
      <c r="F41" s="31"/>
      <c r="G41" s="98">
        <v>29</v>
      </c>
      <c r="H41" s="96">
        <v>29</v>
      </c>
      <c r="I41" s="90">
        <f t="shared" si="16"/>
        <v>6.46</v>
      </c>
      <c r="J41" s="32">
        <f t="shared" si="16"/>
        <v>41.52</v>
      </c>
      <c r="K41" s="32">
        <f t="shared" si="9"/>
        <v>735.93797666917055</v>
      </c>
      <c r="L41" s="33">
        <f t="shared" si="15"/>
        <v>0</v>
      </c>
      <c r="N41" s="98">
        <f t="shared" si="17"/>
        <v>29</v>
      </c>
      <c r="O41" s="124">
        <f t="shared" si="6"/>
        <v>0</v>
      </c>
      <c r="P41" s="32">
        <f t="shared" si="1"/>
        <v>0</v>
      </c>
      <c r="Q41" s="32">
        <f t="shared" si="7"/>
        <v>0</v>
      </c>
      <c r="R41" s="37">
        <f t="shared" si="2"/>
        <v>0</v>
      </c>
      <c r="S41" s="37">
        <f t="shared" si="3"/>
        <v>0</v>
      </c>
      <c r="T41" s="37">
        <f t="shared" si="4"/>
        <v>0</v>
      </c>
      <c r="U41" s="38">
        <f t="shared" si="8"/>
        <v>0</v>
      </c>
      <c r="V41" s="144">
        <f t="shared" si="11"/>
        <v>3699.8106576086052</v>
      </c>
    </row>
    <row r="42" spans="2:22" ht="15.75" thickBot="1" x14ac:dyDescent="0.3">
      <c r="F42" s="31"/>
      <c r="G42" s="99">
        <v>30</v>
      </c>
      <c r="H42" s="100" t="s">
        <v>160</v>
      </c>
      <c r="I42" s="117">
        <f t="shared" si="16"/>
        <v>6.46</v>
      </c>
      <c r="J42" s="34">
        <f t="shared" si="16"/>
        <v>41.52</v>
      </c>
      <c r="K42" s="34">
        <f>0.307*(I42^2.174)*J42</f>
        <v>735.93797666917055</v>
      </c>
      <c r="L42" s="35">
        <f t="shared" si="15"/>
        <v>0</v>
      </c>
      <c r="N42" s="99">
        <v>30</v>
      </c>
      <c r="O42" s="145">
        <f t="shared" si="6"/>
        <v>0</v>
      </c>
      <c r="P42" s="34">
        <f t="shared" si="1"/>
        <v>0</v>
      </c>
      <c r="Q42" s="34">
        <f t="shared" si="7"/>
        <v>0</v>
      </c>
      <c r="R42" s="128">
        <f t="shared" si="2"/>
        <v>0</v>
      </c>
      <c r="S42" s="128">
        <f t="shared" si="3"/>
        <v>0</v>
      </c>
      <c r="T42" s="128">
        <f t="shared" si="4"/>
        <v>0</v>
      </c>
      <c r="U42" s="146">
        <f t="shared" si="8"/>
        <v>0</v>
      </c>
      <c r="V42" s="147">
        <f t="shared" si="11"/>
        <v>3699.8106576086052</v>
      </c>
    </row>
  </sheetData>
  <mergeCells count="21">
    <mergeCell ref="R10:R12"/>
    <mergeCell ref="S10:S12"/>
    <mergeCell ref="G9:L9"/>
    <mergeCell ref="N10:N12"/>
    <mergeCell ref="H2:K2"/>
    <mergeCell ref="T10:T12"/>
    <mergeCell ref="U10:U12"/>
    <mergeCell ref="V10:V12"/>
    <mergeCell ref="B9:B11"/>
    <mergeCell ref="C9:C11"/>
    <mergeCell ref="D9:D11"/>
    <mergeCell ref="E9:E11"/>
    <mergeCell ref="G10:G12"/>
    <mergeCell ref="I10:I12"/>
    <mergeCell ref="J10:J12"/>
    <mergeCell ref="K10:K12"/>
    <mergeCell ref="L10:L12"/>
    <mergeCell ref="H10:H12"/>
    <mergeCell ref="O10:O12"/>
    <mergeCell ref="P10:P12"/>
    <mergeCell ref="Q10:Q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483E-7FCC-473B-8FDD-A807821FAE4F}">
  <dimension ref="B1:P43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23.140625" style="31" bestFit="1" customWidth="1"/>
    <col min="3" max="3" width="12.140625" style="31" bestFit="1" customWidth="1"/>
    <col min="4" max="4" width="18" style="31" customWidth="1"/>
    <col min="5" max="5" width="38.140625" style="31" bestFit="1" customWidth="1"/>
    <col min="6" max="6" width="36.7109375" style="31" bestFit="1" customWidth="1"/>
    <col min="7" max="7" width="31.85546875" style="31" bestFit="1" customWidth="1"/>
    <col min="8" max="8" width="19.140625" style="1" customWidth="1"/>
    <col min="9" max="9" width="12" style="31" bestFit="1" customWidth="1"/>
    <col min="10" max="10" width="15.28515625" style="31" customWidth="1"/>
    <col min="11" max="11" width="19" style="31" customWidth="1"/>
    <col min="12" max="12" width="18.7109375" style="31" customWidth="1"/>
    <col min="13" max="13" width="17" style="31" customWidth="1"/>
    <col min="14" max="14" width="16.140625" style="31" bestFit="1" customWidth="1"/>
    <col min="15" max="15" width="10.5703125" style="31" bestFit="1" customWidth="1"/>
    <col min="16" max="16" width="21.42578125" style="31" customWidth="1"/>
    <col min="17" max="16384" width="9.140625" style="31"/>
  </cols>
  <sheetData>
    <row r="1" spans="2:12" ht="15.75" thickBot="1" x14ac:dyDescent="0.3"/>
    <row r="2" spans="2:12" ht="15.75" thickBot="1" x14ac:dyDescent="0.3">
      <c r="B2" s="416" t="s">
        <v>31</v>
      </c>
      <c r="C2" s="417"/>
      <c r="D2" s="417"/>
      <c r="E2" s="417"/>
      <c r="F2" s="417"/>
      <c r="G2" s="418"/>
    </row>
    <row r="3" spans="2:12" ht="15.75" customHeight="1" thickBot="1" x14ac:dyDescent="0.3">
      <c r="B3" s="26" t="s">
        <v>32</v>
      </c>
      <c r="C3" s="27" t="s">
        <v>33</v>
      </c>
      <c r="D3" s="27" t="s">
        <v>34</v>
      </c>
      <c r="E3" s="27" t="s">
        <v>35</v>
      </c>
      <c r="F3" s="27"/>
      <c r="G3" s="28"/>
    </row>
    <row r="4" spans="2:12" ht="17.25" x14ac:dyDescent="0.25">
      <c r="B4" s="22" t="s">
        <v>36</v>
      </c>
      <c r="C4" s="23" t="s">
        <v>161</v>
      </c>
      <c r="D4" s="24">
        <v>65</v>
      </c>
      <c r="E4" s="25" t="s">
        <v>195</v>
      </c>
      <c r="F4" s="24" t="s">
        <v>137</v>
      </c>
      <c r="G4" s="20">
        <f>44/12</f>
        <v>3.6666666666666665</v>
      </c>
    </row>
    <row r="5" spans="2:12" ht="30" x14ac:dyDescent="0.25">
      <c r="B5" s="19" t="s">
        <v>37</v>
      </c>
      <c r="C5" s="14" t="s">
        <v>162</v>
      </c>
      <c r="D5" s="16">
        <v>0.82</v>
      </c>
      <c r="E5" s="41" t="s">
        <v>138</v>
      </c>
      <c r="F5" s="15" t="s">
        <v>165</v>
      </c>
      <c r="G5" s="296">
        <f>D4*D5*D6*D7</f>
        <v>49.036000000000001</v>
      </c>
    </row>
    <row r="6" spans="2:12" ht="17.25" x14ac:dyDescent="0.25">
      <c r="B6" s="18" t="s">
        <v>38</v>
      </c>
      <c r="C6" s="4" t="s">
        <v>163</v>
      </c>
      <c r="D6" s="6">
        <v>1</v>
      </c>
      <c r="E6" s="4" t="s">
        <v>39</v>
      </c>
      <c r="F6" s="5" t="s">
        <v>166</v>
      </c>
      <c r="G6" s="21">
        <v>0</v>
      </c>
    </row>
    <row r="7" spans="2:12" ht="18" thickBot="1" x14ac:dyDescent="0.3">
      <c r="B7" s="152" t="s">
        <v>40</v>
      </c>
      <c r="C7" s="153" t="s">
        <v>164</v>
      </c>
      <c r="D7" s="154">
        <v>0.92</v>
      </c>
      <c r="E7" s="155" t="s">
        <v>196</v>
      </c>
      <c r="F7" s="156" t="s">
        <v>167</v>
      </c>
      <c r="G7" s="297">
        <f>IF((($D$4-($G$5-$G$6))/20)&gt;0.8,0.8,(($D$4-($G$5-$G$6))/20))</f>
        <v>0.79819999999999991</v>
      </c>
    </row>
    <row r="8" spans="2:12" ht="15.75" thickBot="1" x14ac:dyDescent="0.3"/>
    <row r="9" spans="2:12" ht="18" thickBot="1" x14ac:dyDescent="0.3">
      <c r="B9" s="39" t="s">
        <v>23</v>
      </c>
      <c r="C9" s="148" t="s">
        <v>18</v>
      </c>
      <c r="D9" s="148" t="s">
        <v>41</v>
      </c>
      <c r="E9" s="148" t="s">
        <v>168</v>
      </c>
      <c r="F9" s="148" t="s">
        <v>135</v>
      </c>
      <c r="G9" s="149" t="s">
        <v>136</v>
      </c>
    </row>
    <row r="10" spans="2:12" x14ac:dyDescent="0.25">
      <c r="B10" s="36">
        <v>1</v>
      </c>
      <c r="C10" s="110" t="s">
        <v>42</v>
      </c>
      <c r="D10" s="37">
        <f>'General Information'!C11</f>
        <v>540.47999999999979</v>
      </c>
      <c r="E10" s="37">
        <f>D10*$G$7</f>
        <v>431.41113599999977</v>
      </c>
      <c r="F10" s="37">
        <f>E10*$G$4</f>
        <v>1581.8408319999992</v>
      </c>
      <c r="G10" s="38">
        <f>F10</f>
        <v>1581.8408319999992</v>
      </c>
      <c r="H10"/>
      <c r="I10" s="295"/>
      <c r="J10"/>
      <c r="L10" s="294"/>
    </row>
    <row r="11" spans="2:12" x14ac:dyDescent="0.25">
      <c r="B11" s="29">
        <v>2</v>
      </c>
      <c r="C11" s="89" t="s">
        <v>43</v>
      </c>
      <c r="D11" s="32">
        <f>'General Information'!C12+SOC!D10</f>
        <v>763.64999999999964</v>
      </c>
      <c r="E11" s="32">
        <f t="shared" ref="E11:E29" si="0">D11*$G$7</f>
        <v>609.54542999999967</v>
      </c>
      <c r="F11" s="37">
        <f t="shared" ref="F11:F39" si="1">E11*$G$4</f>
        <v>2234.9999099999986</v>
      </c>
      <c r="G11" s="33">
        <f>G10+F11</f>
        <v>3816.8407419999976</v>
      </c>
      <c r="H11"/>
      <c r="I11" s="295"/>
      <c r="J11"/>
      <c r="L11" s="294"/>
    </row>
    <row r="12" spans="2:12" x14ac:dyDescent="0.25">
      <c r="B12" s="29">
        <v>3</v>
      </c>
      <c r="C12" s="89" t="s">
        <v>44</v>
      </c>
      <c r="D12" s="32">
        <f>'General Information'!C13+SOC!D11</f>
        <v>823.59999999999968</v>
      </c>
      <c r="E12" s="32">
        <f t="shared" si="0"/>
        <v>657.39751999999964</v>
      </c>
      <c r="F12" s="37">
        <f t="shared" si="1"/>
        <v>2410.4575733333318</v>
      </c>
      <c r="G12" s="33">
        <f>G11+F12</f>
        <v>6227.2983153333298</v>
      </c>
      <c r="H12"/>
      <c r="I12" s="295"/>
      <c r="J12"/>
      <c r="L12" s="294"/>
    </row>
    <row r="13" spans="2:12" x14ac:dyDescent="0.25">
      <c r="B13" s="29">
        <v>4</v>
      </c>
      <c r="C13" s="89" t="s">
        <v>45</v>
      </c>
      <c r="D13" s="32">
        <f>'General Information'!C14+SOC!D12</f>
        <v>834.3299999999997</v>
      </c>
      <c r="E13" s="32">
        <f t="shared" si="0"/>
        <v>665.9622059999997</v>
      </c>
      <c r="F13" s="37">
        <f t="shared" si="1"/>
        <v>2441.8614219999986</v>
      </c>
      <c r="G13" s="33">
        <f>G12+F13</f>
        <v>8669.1597373333279</v>
      </c>
      <c r="H13"/>
      <c r="I13" s="295"/>
      <c r="J13"/>
      <c r="L13" s="294"/>
    </row>
    <row r="14" spans="2:12" x14ac:dyDescent="0.25">
      <c r="B14" s="29">
        <v>5</v>
      </c>
      <c r="C14" s="89" t="s">
        <v>46</v>
      </c>
      <c r="D14" s="32">
        <f>D13</f>
        <v>834.3299999999997</v>
      </c>
      <c r="E14" s="32">
        <f t="shared" si="0"/>
        <v>665.9622059999997</v>
      </c>
      <c r="F14" s="37">
        <f t="shared" si="1"/>
        <v>2441.8614219999986</v>
      </c>
      <c r="G14" s="33">
        <f>G13+F14</f>
        <v>11111.021159333326</v>
      </c>
      <c r="H14"/>
      <c r="I14" s="295"/>
      <c r="J14"/>
      <c r="L14" s="294"/>
    </row>
    <row r="15" spans="2:12" x14ac:dyDescent="0.25">
      <c r="B15" s="29">
        <v>6</v>
      </c>
      <c r="C15" s="89" t="s">
        <v>47</v>
      </c>
      <c r="D15" s="32">
        <f t="shared" ref="D15:D29" si="2">D14</f>
        <v>834.3299999999997</v>
      </c>
      <c r="E15" s="32">
        <f t="shared" si="0"/>
        <v>665.9622059999997</v>
      </c>
      <c r="F15" s="37">
        <f t="shared" si="1"/>
        <v>2441.8614219999986</v>
      </c>
      <c r="G15" s="33">
        <f t="shared" ref="G15:G39" si="3">G14+F15</f>
        <v>13552.882581333324</v>
      </c>
      <c r="H15"/>
      <c r="I15" s="295"/>
      <c r="J15"/>
      <c r="L15" s="294"/>
    </row>
    <row r="16" spans="2:12" x14ac:dyDescent="0.25">
      <c r="B16" s="29">
        <v>7</v>
      </c>
      <c r="C16" s="89" t="s">
        <v>48</v>
      </c>
      <c r="D16" s="32">
        <f t="shared" si="2"/>
        <v>834.3299999999997</v>
      </c>
      <c r="E16" s="32">
        <f t="shared" si="0"/>
        <v>665.9622059999997</v>
      </c>
      <c r="F16" s="37">
        <f t="shared" si="1"/>
        <v>2441.8614219999986</v>
      </c>
      <c r="G16" s="33">
        <f t="shared" si="3"/>
        <v>15994.744003333322</v>
      </c>
    </row>
    <row r="17" spans="2:7" x14ac:dyDescent="0.25">
      <c r="B17" s="29">
        <v>8</v>
      </c>
      <c r="C17" s="89" t="s">
        <v>49</v>
      </c>
      <c r="D17" s="32">
        <f t="shared" si="2"/>
        <v>834.3299999999997</v>
      </c>
      <c r="E17" s="32">
        <f t="shared" si="0"/>
        <v>665.9622059999997</v>
      </c>
      <c r="F17" s="37">
        <f t="shared" si="1"/>
        <v>2441.8614219999986</v>
      </c>
      <c r="G17" s="33">
        <f t="shared" si="3"/>
        <v>18436.60542533332</v>
      </c>
    </row>
    <row r="18" spans="2:7" x14ac:dyDescent="0.25">
      <c r="B18" s="29">
        <v>9</v>
      </c>
      <c r="C18" s="89" t="s">
        <v>50</v>
      </c>
      <c r="D18" s="32">
        <f t="shared" si="2"/>
        <v>834.3299999999997</v>
      </c>
      <c r="E18" s="32">
        <f t="shared" si="0"/>
        <v>665.9622059999997</v>
      </c>
      <c r="F18" s="37">
        <f t="shared" si="1"/>
        <v>2441.8614219999986</v>
      </c>
      <c r="G18" s="33">
        <f t="shared" si="3"/>
        <v>20878.466847333319</v>
      </c>
    </row>
    <row r="19" spans="2:7" x14ac:dyDescent="0.25">
      <c r="B19" s="29">
        <v>10</v>
      </c>
      <c r="C19" s="89" t="s">
        <v>51</v>
      </c>
      <c r="D19" s="32">
        <f t="shared" si="2"/>
        <v>834.3299999999997</v>
      </c>
      <c r="E19" s="32">
        <f t="shared" si="0"/>
        <v>665.9622059999997</v>
      </c>
      <c r="F19" s="37">
        <f t="shared" si="1"/>
        <v>2441.8614219999986</v>
      </c>
      <c r="G19" s="33">
        <f t="shared" si="3"/>
        <v>23320.328269333317</v>
      </c>
    </row>
    <row r="20" spans="2:7" ht="15.75" customHeight="1" x14ac:dyDescent="0.25">
      <c r="B20" s="29">
        <v>11</v>
      </c>
      <c r="C20" s="89" t="s">
        <v>52</v>
      </c>
      <c r="D20" s="32">
        <f t="shared" si="2"/>
        <v>834.3299999999997</v>
      </c>
      <c r="E20" s="32">
        <f t="shared" si="0"/>
        <v>665.9622059999997</v>
      </c>
      <c r="F20" s="37">
        <f t="shared" si="1"/>
        <v>2441.8614219999986</v>
      </c>
      <c r="G20" s="33">
        <f t="shared" si="3"/>
        <v>25762.189691333315</v>
      </c>
    </row>
    <row r="21" spans="2:7" x14ac:dyDescent="0.25">
      <c r="B21" s="29">
        <v>12</v>
      </c>
      <c r="C21" s="89" t="s">
        <v>53</v>
      </c>
      <c r="D21" s="32">
        <f t="shared" si="2"/>
        <v>834.3299999999997</v>
      </c>
      <c r="E21" s="32">
        <f t="shared" si="0"/>
        <v>665.9622059999997</v>
      </c>
      <c r="F21" s="37">
        <f t="shared" si="1"/>
        <v>2441.8614219999986</v>
      </c>
      <c r="G21" s="33">
        <f t="shared" si="3"/>
        <v>28204.051113333313</v>
      </c>
    </row>
    <row r="22" spans="2:7" x14ac:dyDescent="0.25">
      <c r="B22" s="29">
        <v>13</v>
      </c>
      <c r="C22" s="89" t="s">
        <v>54</v>
      </c>
      <c r="D22" s="32">
        <f t="shared" si="2"/>
        <v>834.3299999999997</v>
      </c>
      <c r="E22" s="32">
        <f t="shared" si="0"/>
        <v>665.9622059999997</v>
      </c>
      <c r="F22" s="37">
        <f t="shared" si="1"/>
        <v>2441.8614219999986</v>
      </c>
      <c r="G22" s="33">
        <f t="shared" si="3"/>
        <v>30645.912535333311</v>
      </c>
    </row>
    <row r="23" spans="2:7" x14ac:dyDescent="0.25">
      <c r="B23" s="29">
        <v>14</v>
      </c>
      <c r="C23" s="89" t="s">
        <v>55</v>
      </c>
      <c r="D23" s="32">
        <f t="shared" si="2"/>
        <v>834.3299999999997</v>
      </c>
      <c r="E23" s="32">
        <f t="shared" si="0"/>
        <v>665.9622059999997</v>
      </c>
      <c r="F23" s="37">
        <f t="shared" si="1"/>
        <v>2441.8614219999986</v>
      </c>
      <c r="G23" s="33">
        <f t="shared" si="3"/>
        <v>33087.773957333309</v>
      </c>
    </row>
    <row r="24" spans="2:7" x14ac:dyDescent="0.25">
      <c r="B24" s="29">
        <v>15</v>
      </c>
      <c r="C24" s="89" t="s">
        <v>56</v>
      </c>
      <c r="D24" s="32">
        <f t="shared" si="2"/>
        <v>834.3299999999997</v>
      </c>
      <c r="E24" s="32">
        <f t="shared" si="0"/>
        <v>665.9622059999997</v>
      </c>
      <c r="F24" s="37">
        <f t="shared" si="1"/>
        <v>2441.8614219999986</v>
      </c>
      <c r="G24" s="33">
        <f t="shared" si="3"/>
        <v>35529.635379333311</v>
      </c>
    </row>
    <row r="25" spans="2:7" x14ac:dyDescent="0.25">
      <c r="B25" s="29">
        <v>16</v>
      </c>
      <c r="C25" s="89" t="s">
        <v>57</v>
      </c>
      <c r="D25" s="32">
        <f t="shared" si="2"/>
        <v>834.3299999999997</v>
      </c>
      <c r="E25" s="32">
        <f t="shared" si="0"/>
        <v>665.9622059999997</v>
      </c>
      <c r="F25" s="37">
        <f t="shared" si="1"/>
        <v>2441.8614219999986</v>
      </c>
      <c r="G25" s="33">
        <f t="shared" si="3"/>
        <v>37971.496801333313</v>
      </c>
    </row>
    <row r="26" spans="2:7" x14ac:dyDescent="0.25">
      <c r="B26" s="29">
        <v>17</v>
      </c>
      <c r="C26" s="89" t="s">
        <v>58</v>
      </c>
      <c r="D26" s="32">
        <f t="shared" si="2"/>
        <v>834.3299999999997</v>
      </c>
      <c r="E26" s="32">
        <f t="shared" si="0"/>
        <v>665.9622059999997</v>
      </c>
      <c r="F26" s="37">
        <f t="shared" si="1"/>
        <v>2441.8614219999986</v>
      </c>
      <c r="G26" s="33">
        <f t="shared" si="3"/>
        <v>40413.358223333315</v>
      </c>
    </row>
    <row r="27" spans="2:7" x14ac:dyDescent="0.25">
      <c r="B27" s="29">
        <v>18</v>
      </c>
      <c r="C27" s="89" t="s">
        <v>59</v>
      </c>
      <c r="D27" s="32">
        <f t="shared" si="2"/>
        <v>834.3299999999997</v>
      </c>
      <c r="E27" s="32">
        <f t="shared" si="0"/>
        <v>665.9622059999997</v>
      </c>
      <c r="F27" s="37">
        <f t="shared" si="1"/>
        <v>2441.8614219999986</v>
      </c>
      <c r="G27" s="33">
        <f t="shared" si="3"/>
        <v>42855.219645333316</v>
      </c>
    </row>
    <row r="28" spans="2:7" x14ac:dyDescent="0.25">
      <c r="B28" s="29">
        <v>19</v>
      </c>
      <c r="C28" s="89" t="s">
        <v>60</v>
      </c>
      <c r="D28" s="32">
        <f t="shared" si="2"/>
        <v>834.3299999999997</v>
      </c>
      <c r="E28" s="32">
        <f t="shared" si="0"/>
        <v>665.9622059999997</v>
      </c>
      <c r="F28" s="37">
        <f t="shared" si="1"/>
        <v>2441.8614219999986</v>
      </c>
      <c r="G28" s="33">
        <f t="shared" si="3"/>
        <v>45297.081067333318</v>
      </c>
    </row>
    <row r="29" spans="2:7" x14ac:dyDescent="0.25">
      <c r="B29" s="29">
        <v>20</v>
      </c>
      <c r="C29" s="89" t="s">
        <v>61</v>
      </c>
      <c r="D29" s="32">
        <f t="shared" si="2"/>
        <v>834.3299999999997</v>
      </c>
      <c r="E29" s="32">
        <f t="shared" si="0"/>
        <v>665.9622059999997</v>
      </c>
      <c r="F29" s="37">
        <f t="shared" si="1"/>
        <v>2441.8614219999986</v>
      </c>
      <c r="G29" s="33">
        <f t="shared" si="3"/>
        <v>47738.94248933332</v>
      </c>
    </row>
    <row r="30" spans="2:7" x14ac:dyDescent="0.25">
      <c r="B30" s="29">
        <v>21</v>
      </c>
      <c r="C30" s="89" t="s">
        <v>62</v>
      </c>
      <c r="D30" s="32">
        <f>$D$29-D10</f>
        <v>293.84999999999991</v>
      </c>
      <c r="E30" s="32">
        <f>$E$29-E10</f>
        <v>234.55106999999992</v>
      </c>
      <c r="F30" s="37">
        <f t="shared" si="1"/>
        <v>860.02058999999974</v>
      </c>
      <c r="G30" s="33">
        <f t="shared" si="3"/>
        <v>48598.96307933332</v>
      </c>
    </row>
    <row r="31" spans="2:7" x14ac:dyDescent="0.25">
      <c r="B31" s="29">
        <v>22</v>
      </c>
      <c r="C31" s="89" t="s">
        <v>63</v>
      </c>
      <c r="D31" s="32">
        <f t="shared" ref="D31:D39" si="4">$D$29-D11</f>
        <v>70.680000000000064</v>
      </c>
      <c r="E31" s="32">
        <f t="shared" ref="E31:E39" si="5">$E$29-E11</f>
        <v>56.416776000000027</v>
      </c>
      <c r="F31" s="37">
        <f t="shared" si="1"/>
        <v>206.86151200000009</v>
      </c>
      <c r="G31" s="33">
        <f t="shared" si="3"/>
        <v>48805.824591333323</v>
      </c>
    </row>
    <row r="32" spans="2:7" x14ac:dyDescent="0.25">
      <c r="B32" s="29">
        <v>23</v>
      </c>
      <c r="C32" s="89" t="s">
        <v>64</v>
      </c>
      <c r="D32" s="32">
        <f t="shared" si="4"/>
        <v>10.730000000000018</v>
      </c>
      <c r="E32" s="32">
        <f t="shared" si="5"/>
        <v>8.5646860000000515</v>
      </c>
      <c r="F32" s="37">
        <f t="shared" si="1"/>
        <v>31.403848666666853</v>
      </c>
      <c r="G32" s="33">
        <f t="shared" si="3"/>
        <v>48837.228439999992</v>
      </c>
    </row>
    <row r="33" spans="2:16" x14ac:dyDescent="0.25">
      <c r="B33" s="29">
        <v>24</v>
      </c>
      <c r="C33" s="89" t="s">
        <v>65</v>
      </c>
      <c r="D33" s="32">
        <f t="shared" si="4"/>
        <v>0</v>
      </c>
      <c r="E33" s="32">
        <f t="shared" si="5"/>
        <v>0</v>
      </c>
      <c r="F33" s="37">
        <f t="shared" si="1"/>
        <v>0</v>
      </c>
      <c r="G33" s="33">
        <f t="shared" si="3"/>
        <v>48837.228439999992</v>
      </c>
    </row>
    <row r="34" spans="2:16" x14ac:dyDescent="0.25">
      <c r="B34" s="29">
        <v>25</v>
      </c>
      <c r="C34" s="89" t="s">
        <v>66</v>
      </c>
      <c r="D34" s="32">
        <f t="shared" si="4"/>
        <v>0</v>
      </c>
      <c r="E34" s="32">
        <f t="shared" si="5"/>
        <v>0</v>
      </c>
      <c r="F34" s="37">
        <f t="shared" si="1"/>
        <v>0</v>
      </c>
      <c r="G34" s="33">
        <f t="shared" si="3"/>
        <v>48837.228439999992</v>
      </c>
    </row>
    <row r="35" spans="2:16" x14ac:dyDescent="0.25">
      <c r="B35" s="29">
        <v>26</v>
      </c>
      <c r="C35" s="89" t="s">
        <v>67</v>
      </c>
      <c r="D35" s="32">
        <f t="shared" si="4"/>
        <v>0</v>
      </c>
      <c r="E35" s="32">
        <f t="shared" si="5"/>
        <v>0</v>
      </c>
      <c r="F35" s="37">
        <f t="shared" si="1"/>
        <v>0</v>
      </c>
      <c r="G35" s="33">
        <f t="shared" si="3"/>
        <v>48837.228439999992</v>
      </c>
    </row>
    <row r="36" spans="2:16" x14ac:dyDescent="0.25">
      <c r="B36" s="29">
        <v>27</v>
      </c>
      <c r="C36" s="89" t="s">
        <v>68</v>
      </c>
      <c r="D36" s="32">
        <f t="shared" si="4"/>
        <v>0</v>
      </c>
      <c r="E36" s="32">
        <f t="shared" si="5"/>
        <v>0</v>
      </c>
      <c r="F36" s="37">
        <f>E36*$G$4</f>
        <v>0</v>
      </c>
      <c r="G36" s="33">
        <f t="shared" si="3"/>
        <v>48837.228439999992</v>
      </c>
    </row>
    <row r="37" spans="2:16" x14ac:dyDescent="0.25">
      <c r="B37" s="29">
        <v>28</v>
      </c>
      <c r="C37" s="89" t="s">
        <v>69</v>
      </c>
      <c r="D37" s="32">
        <f t="shared" si="4"/>
        <v>0</v>
      </c>
      <c r="E37" s="32">
        <f t="shared" si="5"/>
        <v>0</v>
      </c>
      <c r="F37" s="37">
        <f t="shared" si="1"/>
        <v>0</v>
      </c>
      <c r="G37" s="33">
        <f t="shared" si="3"/>
        <v>48837.228439999992</v>
      </c>
    </row>
    <row r="38" spans="2:16" x14ac:dyDescent="0.25">
      <c r="B38" s="29">
        <v>29</v>
      </c>
      <c r="C38" s="150" t="s">
        <v>70</v>
      </c>
      <c r="D38" s="32">
        <f t="shared" si="4"/>
        <v>0</v>
      </c>
      <c r="E38" s="32">
        <f t="shared" si="5"/>
        <v>0</v>
      </c>
      <c r="F38" s="37">
        <f t="shared" si="1"/>
        <v>0</v>
      </c>
      <c r="G38" s="33">
        <f t="shared" si="3"/>
        <v>48837.228439999992</v>
      </c>
    </row>
    <row r="39" spans="2:16" ht="15.75" thickBot="1" x14ac:dyDescent="0.3">
      <c r="B39" s="30">
        <v>30</v>
      </c>
      <c r="C39" s="101" t="s">
        <v>71</v>
      </c>
      <c r="D39" s="34">
        <f t="shared" si="4"/>
        <v>0</v>
      </c>
      <c r="E39" s="34">
        <f t="shared" si="5"/>
        <v>0</v>
      </c>
      <c r="F39" s="34">
        <f t="shared" si="1"/>
        <v>0</v>
      </c>
      <c r="G39" s="35">
        <f t="shared" si="3"/>
        <v>48837.228439999992</v>
      </c>
    </row>
    <row r="43" spans="2:16" ht="15.75" thickBot="1" x14ac:dyDescent="0.3">
      <c r="O43" s="30"/>
      <c r="P43" s="151"/>
    </row>
  </sheetData>
  <mergeCells count="1">
    <mergeCell ref="B2:G2"/>
  </mergeCells>
  <dataValidations count="3">
    <dataValidation type="list" allowBlank="1" showInputMessage="1" showErrorMessage="1" sqref="E5" xr:uid="{426A926F-4934-4E72-BF0E-B6B78A767533}">
      <formula1>FLU</formula1>
    </dataValidation>
    <dataValidation type="list" allowBlank="1" showInputMessage="1" showErrorMessage="1" sqref="E6" xr:uid="{A6850835-E990-4E05-A3F2-EDD8316DD958}">
      <formula1>IF(#REF!&lt;&gt;"3. Grassland",FMG_Cropland,FMG_Grassland)</formula1>
    </dataValidation>
    <dataValidation type="list" allowBlank="1" showInputMessage="1" showErrorMessage="1" sqref="E7" xr:uid="{E72B4512-6113-4485-87B3-A073157AABA9}">
      <formula1>IF(#REF!&lt;&gt;"3. Grassland",FI_Cropland,FI_Grassland)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E343-85AD-42EC-82FF-A561EE565F8D}">
  <dimension ref="B1:AJ42"/>
  <sheetViews>
    <sheetView topLeftCell="W1" workbookViewId="0">
      <selection activeCell="AA7" sqref="AA7"/>
    </sheetView>
  </sheetViews>
  <sheetFormatPr defaultColWidth="9.140625" defaultRowHeight="15" x14ac:dyDescent="0.25"/>
  <cols>
    <col min="1" max="2" width="9.140625" style="31"/>
    <col min="3" max="3" width="10.85546875" style="31" bestFit="1" customWidth="1"/>
    <col min="4" max="4" width="10.28515625" style="31" bestFit="1" customWidth="1"/>
    <col min="5" max="5" width="11.42578125" style="31" bestFit="1" customWidth="1"/>
    <col min="6" max="6" width="9.140625" style="31"/>
    <col min="7" max="7" width="8.7109375" style="31"/>
    <col min="8" max="11" width="15.42578125" style="31" customWidth="1"/>
    <col min="12" max="12" width="16.28515625" style="31" customWidth="1"/>
    <col min="13" max="13" width="23.85546875" style="31" bestFit="1" customWidth="1"/>
    <col min="14" max="17" width="13.140625" style="31" bestFit="1" customWidth="1"/>
    <col min="18" max="18" width="15.5703125" style="31" bestFit="1" customWidth="1"/>
    <col min="19" max="19" width="10.5703125" style="31" customWidth="1"/>
    <col min="20" max="23" width="13.140625" style="31" bestFit="1" customWidth="1"/>
    <col min="24" max="26" width="14.85546875" style="157" bestFit="1" customWidth="1"/>
    <col min="27" max="27" width="14.5703125" style="157" customWidth="1"/>
    <col min="28" max="28" width="13.5703125" style="157" bestFit="1" customWidth="1"/>
    <col min="29" max="29" width="12.28515625" style="31" bestFit="1" customWidth="1"/>
    <col min="30" max="16384" width="9.140625" style="31"/>
  </cols>
  <sheetData>
    <row r="1" spans="2:36" ht="15.75" thickBot="1" x14ac:dyDescent="0.3"/>
    <row r="2" spans="2:36" ht="145.5" thickBot="1" x14ac:dyDescent="0.3">
      <c r="B2" s="233" t="s">
        <v>23</v>
      </c>
      <c r="C2" s="161" t="s">
        <v>114</v>
      </c>
      <c r="D2" s="159" t="s">
        <v>115</v>
      </c>
      <c r="E2" s="160" t="s">
        <v>197</v>
      </c>
      <c r="G2" s="240" t="s">
        <v>18</v>
      </c>
      <c r="H2" s="242" t="s">
        <v>175</v>
      </c>
      <c r="I2" s="243" t="s">
        <v>176</v>
      </c>
      <c r="J2" s="243" t="s">
        <v>178</v>
      </c>
      <c r="K2" s="243" t="s">
        <v>177</v>
      </c>
      <c r="L2" s="243" t="s">
        <v>179</v>
      </c>
      <c r="M2" s="243" t="s">
        <v>180</v>
      </c>
      <c r="N2" s="243" t="s">
        <v>181</v>
      </c>
      <c r="O2" s="243" t="s">
        <v>182</v>
      </c>
      <c r="P2" s="243" t="s">
        <v>183</v>
      </c>
      <c r="Q2" s="243" t="s">
        <v>184</v>
      </c>
      <c r="R2" s="243" t="s">
        <v>116</v>
      </c>
      <c r="S2" s="243" t="s">
        <v>117</v>
      </c>
      <c r="T2" s="243" t="s">
        <v>118</v>
      </c>
      <c r="U2" s="243" t="s">
        <v>119</v>
      </c>
      <c r="V2" s="243" t="s">
        <v>120</v>
      </c>
      <c r="W2" s="243" t="s">
        <v>122</v>
      </c>
      <c r="X2" s="244" t="s">
        <v>169</v>
      </c>
      <c r="Y2" s="244" t="s">
        <v>170</v>
      </c>
      <c r="Z2" s="244" t="s">
        <v>171</v>
      </c>
      <c r="AA2" s="244" t="s">
        <v>172</v>
      </c>
      <c r="AB2" s="244" t="s">
        <v>173</v>
      </c>
      <c r="AC2" s="245" t="s">
        <v>174</v>
      </c>
    </row>
    <row r="3" spans="2:36" ht="18" thickBot="1" x14ac:dyDescent="0.35">
      <c r="B3" s="234">
        <v>1</v>
      </c>
      <c r="C3" s="237">
        <f>'Tulda 2019'!U13+'Tulda 2020'!U13+'Tulda 2021'!U13+'Tulda 2022'!U13+SOC!F10</f>
        <v>33713.371253060803</v>
      </c>
      <c r="D3" s="85">
        <f>AC4</f>
        <v>1098.5805117093407</v>
      </c>
      <c r="E3" s="86">
        <f>C3-D3</f>
        <v>32614.790741351462</v>
      </c>
      <c r="G3" s="241" t="s">
        <v>121</v>
      </c>
      <c r="H3" s="246" t="s">
        <v>139</v>
      </c>
      <c r="I3" s="247" t="s">
        <v>139</v>
      </c>
      <c r="J3" s="247" t="s">
        <v>139</v>
      </c>
      <c r="K3" s="247" t="s">
        <v>139</v>
      </c>
      <c r="L3" s="247" t="s">
        <v>140</v>
      </c>
      <c r="M3" s="247" t="s">
        <v>141</v>
      </c>
      <c r="N3" s="247" t="s">
        <v>142</v>
      </c>
      <c r="O3" s="247" t="s">
        <v>142</v>
      </c>
      <c r="P3" s="247" t="s">
        <v>142</v>
      </c>
      <c r="Q3" s="247" t="s">
        <v>142</v>
      </c>
      <c r="R3" s="248" t="s">
        <v>143</v>
      </c>
      <c r="S3" s="248" t="s">
        <v>144</v>
      </c>
      <c r="T3" s="247" t="s">
        <v>145</v>
      </c>
      <c r="U3" s="247" t="s">
        <v>145</v>
      </c>
      <c r="V3" s="247" t="s">
        <v>145</v>
      </c>
      <c r="W3" s="247" t="s">
        <v>145</v>
      </c>
      <c r="X3" s="249" t="s">
        <v>146</v>
      </c>
      <c r="Y3" s="249" t="s">
        <v>146</v>
      </c>
      <c r="Z3" s="249" t="s">
        <v>146</v>
      </c>
      <c r="AA3" s="249" t="s">
        <v>146</v>
      </c>
      <c r="AB3" s="250" t="s">
        <v>147</v>
      </c>
      <c r="AC3" s="251" t="s">
        <v>148</v>
      </c>
      <c r="AG3" s="157"/>
      <c r="AH3" s="157"/>
      <c r="AI3" s="157"/>
      <c r="AJ3" s="157"/>
    </row>
    <row r="4" spans="2:36" x14ac:dyDescent="0.25">
      <c r="B4" s="235">
        <v>2</v>
      </c>
      <c r="C4" s="95">
        <f>'Tulda 2019'!U14+'Tulda 2020'!U14+'Tulda 2021'!U14+'Tulda 2022'!U14+SOC!F11</f>
        <v>47633.984527456851</v>
      </c>
      <c r="D4" s="87">
        <f t="shared" ref="D4:D32" si="0">AC5</f>
        <v>1560.9586850698142</v>
      </c>
      <c r="E4" s="88">
        <f t="shared" ref="E4:E32" si="1">C4-D4</f>
        <v>46073.02584238704</v>
      </c>
      <c r="G4" s="112">
        <v>1</v>
      </c>
      <c r="H4" s="125">
        <v>0.11540698055021227</v>
      </c>
      <c r="I4" s="115">
        <v>0</v>
      </c>
      <c r="J4" s="115">
        <v>0</v>
      </c>
      <c r="K4" s="115">
        <v>0</v>
      </c>
      <c r="L4" s="252">
        <v>73</v>
      </c>
      <c r="M4" s="253">
        <v>0.1</v>
      </c>
      <c r="N4" s="115">
        <f>H4*L4*M4</f>
        <v>0.8424709580165497</v>
      </c>
      <c r="O4" s="115">
        <v>0</v>
      </c>
      <c r="P4" s="115">
        <v>0</v>
      </c>
      <c r="Q4" s="115">
        <v>0</v>
      </c>
      <c r="R4" s="252">
        <v>0.47</v>
      </c>
      <c r="S4" s="252">
        <v>0.4</v>
      </c>
      <c r="T4" s="298">
        <f>'General Information'!$D$11</f>
        <v>540.47999999999979</v>
      </c>
      <c r="U4" s="252">
        <v>0</v>
      </c>
      <c r="V4" s="252">
        <v>0</v>
      </c>
      <c r="W4" s="252">
        <v>0</v>
      </c>
      <c r="X4" s="115">
        <f>(44/12)*$R4*(1+$S4)*(T4*N4)</f>
        <v>1098.5805117093407</v>
      </c>
      <c r="Y4" s="115">
        <f>(44/12)*$L4*(1+$M4)*(U4*O4)</f>
        <v>0</v>
      </c>
      <c r="Z4" s="115">
        <f>(44/12)*$L4*(1+$M4)*(V4*P4)</f>
        <v>0</v>
      </c>
      <c r="AA4" s="115">
        <f>(44/12)*$L4*(1+$M4)*(W4*Q4)</f>
        <v>0</v>
      </c>
      <c r="AB4" s="115">
        <f>X4+Y4+Z4+AA4</f>
        <v>1098.5805117093407</v>
      </c>
      <c r="AC4" s="116">
        <f>AB4</f>
        <v>1098.5805117093407</v>
      </c>
    </row>
    <row r="5" spans="2:36" x14ac:dyDescent="0.25">
      <c r="B5" s="235">
        <v>3</v>
      </c>
      <c r="C5" s="95">
        <f>'Tulda 2019'!U15+'Tulda 2020'!U15+'Tulda 2021'!U15+'Tulda 2022'!U15+SOC!F12</f>
        <v>51373.469071974665</v>
      </c>
      <c r="D5" s="87">
        <f t="shared" si="0"/>
        <v>1686.9928605212115</v>
      </c>
      <c r="E5" s="88">
        <f t="shared" si="1"/>
        <v>49686.476211453453</v>
      </c>
      <c r="G5" s="98">
        <v>2</v>
      </c>
      <c r="H5" s="254">
        <f>H4</f>
        <v>0.11540698055021227</v>
      </c>
      <c r="I5" s="32">
        <v>0.1176362921751692</v>
      </c>
      <c r="J5" s="32">
        <v>0</v>
      </c>
      <c r="K5" s="32">
        <v>0</v>
      </c>
      <c r="L5" s="89">
        <v>73</v>
      </c>
      <c r="M5" s="89">
        <v>0.1</v>
      </c>
      <c r="N5" s="32">
        <f t="shared" ref="N5:N23" si="2">H5*L5*M5</f>
        <v>0.8424709580165497</v>
      </c>
      <c r="O5" s="32">
        <f>I5*L5*M5</f>
        <v>0.85874493287873532</v>
      </c>
      <c r="P5" s="32">
        <v>0</v>
      </c>
      <c r="Q5" s="32">
        <v>0</v>
      </c>
      <c r="R5" s="89">
        <v>0.47</v>
      </c>
      <c r="S5" s="89">
        <v>0.4</v>
      </c>
      <c r="T5" s="32">
        <f>'General Information'!$D$11</f>
        <v>540.47999999999979</v>
      </c>
      <c r="U5" s="32">
        <f>'General Information'!$D$12</f>
        <v>223.1699999999999</v>
      </c>
      <c r="V5" s="89">
        <v>0</v>
      </c>
      <c r="W5" s="89">
        <v>0</v>
      </c>
      <c r="X5" s="32">
        <f t="shared" ref="X5:X33" si="3">(44/12)*$R5*(1+$S5)*(T5*N5)</f>
        <v>1098.5805117093407</v>
      </c>
      <c r="Y5" s="32">
        <f>(44/12)*$R5*(1+$S5)*(U5*O5)</f>
        <v>462.37817336047362</v>
      </c>
      <c r="Z5" s="32">
        <f>(44/12)*$L5*(1+$M5)*(V5*P5)</f>
        <v>0</v>
      </c>
      <c r="AA5" s="32">
        <f>(44/12)*$L5*(1+$M5)*(W5*Q5)</f>
        <v>0</v>
      </c>
      <c r="AB5" s="32">
        <f t="shared" ref="AB5" si="4">X5+Y5+Z5+AA5</f>
        <v>1560.9586850698142</v>
      </c>
      <c r="AC5" s="33">
        <f>AB5</f>
        <v>1560.9586850698142</v>
      </c>
    </row>
    <row r="6" spans="2:36" x14ac:dyDescent="0.25">
      <c r="B6" s="235">
        <v>4</v>
      </c>
      <c r="C6" s="95">
        <f>'Tulda 2019'!U16+'Tulda 2020'!U16+'Tulda 2021'!U16+'Tulda 2022'!U16+SOC!F13</f>
        <v>52042.771309884229</v>
      </c>
      <c r="D6" s="87">
        <f t="shared" si="0"/>
        <v>1710.6094747182206</v>
      </c>
      <c r="E6" s="88">
        <f t="shared" si="1"/>
        <v>50332.161835166007</v>
      </c>
      <c r="G6" s="98">
        <v>3</v>
      </c>
      <c r="H6" s="254">
        <f t="shared" ref="H6:I23" si="5">H5</f>
        <v>0.11540698055021227</v>
      </c>
      <c r="I6" s="32">
        <f>I5</f>
        <v>0.1176362921751692</v>
      </c>
      <c r="J6" s="32">
        <v>0.11936553608586944</v>
      </c>
      <c r="K6" s="32">
        <v>0</v>
      </c>
      <c r="L6" s="89">
        <v>73</v>
      </c>
      <c r="M6" s="89">
        <v>0.1</v>
      </c>
      <c r="N6" s="32">
        <f t="shared" si="2"/>
        <v>0.8424709580165497</v>
      </c>
      <c r="O6" s="32">
        <f t="shared" ref="O6:O24" si="6">I6*L6*M6</f>
        <v>0.85874493287873532</v>
      </c>
      <c r="P6" s="32">
        <f>J6*L6*M6</f>
        <v>0.8713684134268469</v>
      </c>
      <c r="Q6" s="32">
        <v>0</v>
      </c>
      <c r="R6" s="89">
        <v>0.47</v>
      </c>
      <c r="S6" s="89">
        <v>0.4</v>
      </c>
      <c r="T6" s="32">
        <f>'General Information'!$D$11</f>
        <v>540.47999999999979</v>
      </c>
      <c r="U6" s="32">
        <f>'General Information'!$D$12</f>
        <v>223.1699999999999</v>
      </c>
      <c r="V6" s="32">
        <f>'General Information'!$D$13</f>
        <v>59.950000000000024</v>
      </c>
      <c r="W6" s="89">
        <v>0</v>
      </c>
      <c r="X6" s="32">
        <f t="shared" si="3"/>
        <v>1098.5805117093407</v>
      </c>
      <c r="Y6" s="32">
        <f t="shared" ref="Y6:Z33" si="7">(44/12)*$R6*(1+$S6)*(U6*O6)</f>
        <v>462.37817336047362</v>
      </c>
      <c r="Z6" s="32">
        <f t="shared" si="7"/>
        <v>126.03417545139732</v>
      </c>
      <c r="AA6" s="32">
        <f>(44/12)*$L6*(1+$M6)*(W6*Q6)</f>
        <v>0</v>
      </c>
      <c r="AB6" s="32">
        <f>X6+Y6+Z6+AA6</f>
        <v>1686.9928605212115</v>
      </c>
      <c r="AC6" s="33">
        <f>AB6</f>
        <v>1686.9928605212115</v>
      </c>
    </row>
    <row r="7" spans="2:36" x14ac:dyDescent="0.25">
      <c r="B7" s="235">
        <v>5</v>
      </c>
      <c r="C7" s="95">
        <f>'Tulda 2019'!U17+'Tulda 2020'!U17+'Tulda 2021'!U17+'Tulda 2022'!U17+SOC!F14</f>
        <v>52042.771309884229</v>
      </c>
      <c r="D7" s="87">
        <f t="shared" si="0"/>
        <v>1710.6094747182206</v>
      </c>
      <c r="E7" s="88">
        <f t="shared" si="1"/>
        <v>50332.161835166007</v>
      </c>
      <c r="G7" s="98">
        <v>4</v>
      </c>
      <c r="H7" s="254">
        <f t="shared" si="5"/>
        <v>0.11540698055021227</v>
      </c>
      <c r="I7" s="32">
        <f t="shared" si="5"/>
        <v>0.1176362921751692</v>
      </c>
      <c r="J7" s="32">
        <v>0.11936553608586944</v>
      </c>
      <c r="K7" s="32">
        <v>0.12496768619669593</v>
      </c>
      <c r="L7" s="89">
        <v>73</v>
      </c>
      <c r="M7" s="89">
        <v>0.1</v>
      </c>
      <c r="N7" s="32">
        <f t="shared" si="2"/>
        <v>0.8424709580165497</v>
      </c>
      <c r="O7" s="32">
        <f t="shared" si="6"/>
        <v>0.85874493287873532</v>
      </c>
      <c r="P7" s="32">
        <f t="shared" ref="P7:P25" si="8">J7*L7*M7</f>
        <v>0.8713684134268469</v>
      </c>
      <c r="Q7" s="32">
        <f>K7*L7*M7</f>
        <v>0.9122641092358803</v>
      </c>
      <c r="R7" s="89">
        <v>0.47</v>
      </c>
      <c r="S7" s="89">
        <v>0.4</v>
      </c>
      <c r="T7" s="32">
        <f>'General Information'!$D$11</f>
        <v>540.47999999999979</v>
      </c>
      <c r="U7" s="32">
        <f>'General Information'!$D$12</f>
        <v>223.1699999999999</v>
      </c>
      <c r="V7" s="32">
        <f>'General Information'!$D$13</f>
        <v>59.950000000000024</v>
      </c>
      <c r="W7" s="32">
        <f>'General Information'!$D$14</f>
        <v>10.73</v>
      </c>
      <c r="X7" s="32">
        <f>(44/12)*$R7*(1+$S7)*(T7*N7)</f>
        <v>1098.5805117093407</v>
      </c>
      <c r="Y7" s="32">
        <f t="shared" si="7"/>
        <v>462.37817336047362</v>
      </c>
      <c r="Z7" s="32">
        <f t="shared" si="7"/>
        <v>126.03417545139732</v>
      </c>
      <c r="AA7" s="32">
        <f>(44/12)*$R7*(1+$S7)*(W7*Q7)</f>
        <v>23.616614197009</v>
      </c>
      <c r="AB7" s="32">
        <f t="shared" ref="AB7:AB33" si="9">X7+Y7+Z7+AA7</f>
        <v>1710.6094747182206</v>
      </c>
      <c r="AC7" s="33">
        <f>AB7</f>
        <v>1710.6094747182206</v>
      </c>
    </row>
    <row r="8" spans="2:36" x14ac:dyDescent="0.25">
      <c r="B8" s="235">
        <v>6</v>
      </c>
      <c r="C8" s="95">
        <f>'Tulda 2019'!U18+'Tulda 2020'!U18+'Tulda 2021'!U18+'Tulda 2022'!U18+SOC!F15</f>
        <v>45616.465225672066</v>
      </c>
      <c r="D8" s="87">
        <f t="shared" si="0"/>
        <v>1710.6094747182206</v>
      </c>
      <c r="E8" s="88">
        <f t="shared" si="1"/>
        <v>43905.855750953844</v>
      </c>
      <c r="G8" s="98">
        <v>5</v>
      </c>
      <c r="H8" s="254">
        <f t="shared" si="5"/>
        <v>0.11540698055021227</v>
      </c>
      <c r="I8" s="32">
        <f t="shared" si="5"/>
        <v>0.1176362921751692</v>
      </c>
      <c r="J8" s="32">
        <v>0.11936553608586944</v>
      </c>
      <c r="K8" s="32">
        <v>0.12496768619669593</v>
      </c>
      <c r="L8" s="89">
        <v>73</v>
      </c>
      <c r="M8" s="89">
        <v>0.1</v>
      </c>
      <c r="N8" s="32">
        <f t="shared" si="2"/>
        <v>0.8424709580165497</v>
      </c>
      <c r="O8" s="32">
        <f t="shared" si="6"/>
        <v>0.85874493287873532</v>
      </c>
      <c r="P8" s="32">
        <f t="shared" si="8"/>
        <v>0.8713684134268469</v>
      </c>
      <c r="Q8" s="32">
        <f t="shared" ref="Q8:Q26" si="10">K8*L8*M8</f>
        <v>0.9122641092358803</v>
      </c>
      <c r="R8" s="89">
        <v>0.47</v>
      </c>
      <c r="S8" s="89">
        <v>0.4</v>
      </c>
      <c r="T8" s="32">
        <f>'General Information'!$D$11</f>
        <v>540.47999999999979</v>
      </c>
      <c r="U8" s="32">
        <f>'General Information'!$D$12</f>
        <v>223.1699999999999</v>
      </c>
      <c r="V8" s="32">
        <f>'General Information'!$D$13</f>
        <v>59.950000000000024</v>
      </c>
      <c r="W8" s="32">
        <f>'General Information'!$D$14</f>
        <v>10.73</v>
      </c>
      <c r="X8" s="32">
        <f t="shared" si="3"/>
        <v>1098.5805117093407</v>
      </c>
      <c r="Y8" s="32">
        <f t="shared" si="7"/>
        <v>462.37817336047362</v>
      </c>
      <c r="Z8" s="32">
        <f t="shared" si="7"/>
        <v>126.03417545139732</v>
      </c>
      <c r="AA8" s="32">
        <f t="shared" ref="AA8:AA33" si="11">(44/12)*$R8*(1+$S8)*(W8*Q8)</f>
        <v>23.616614197009</v>
      </c>
      <c r="AB8" s="32">
        <f t="shared" si="9"/>
        <v>1710.6094747182206</v>
      </c>
      <c r="AC8" s="33">
        <f>AB8</f>
        <v>1710.6094747182206</v>
      </c>
    </row>
    <row r="9" spans="2:36" x14ac:dyDescent="0.25">
      <c r="B9" s="235">
        <v>7</v>
      </c>
      <c r="C9" s="95">
        <f>'Tulda 2019'!U19+'Tulda 2020'!U19+'Tulda 2021'!U19+'Tulda 2022'!U19+SOC!F16</f>
        <v>17257.750049544204</v>
      </c>
      <c r="D9" s="87">
        <f t="shared" si="0"/>
        <v>1710.6094747182206</v>
      </c>
      <c r="E9" s="88">
        <f t="shared" si="1"/>
        <v>15547.140574825982</v>
      </c>
      <c r="G9" s="98">
        <v>6</v>
      </c>
      <c r="H9" s="254">
        <f t="shared" si="5"/>
        <v>0.11540698055021227</v>
      </c>
      <c r="I9" s="32">
        <f t="shared" si="5"/>
        <v>0.1176362921751692</v>
      </c>
      <c r="J9" s="32">
        <v>0.11936553608586944</v>
      </c>
      <c r="K9" s="32">
        <v>0.12496768619669593</v>
      </c>
      <c r="L9" s="89">
        <v>73</v>
      </c>
      <c r="M9" s="89">
        <v>0.1</v>
      </c>
      <c r="N9" s="32">
        <f t="shared" si="2"/>
        <v>0.8424709580165497</v>
      </c>
      <c r="O9" s="32">
        <f t="shared" si="6"/>
        <v>0.85874493287873532</v>
      </c>
      <c r="P9" s="32">
        <f t="shared" si="8"/>
        <v>0.8713684134268469</v>
      </c>
      <c r="Q9" s="32">
        <f t="shared" si="10"/>
        <v>0.9122641092358803</v>
      </c>
      <c r="R9" s="89">
        <v>0.47</v>
      </c>
      <c r="S9" s="89">
        <v>0.4</v>
      </c>
      <c r="T9" s="32">
        <f>'General Information'!$D$11</f>
        <v>540.47999999999979</v>
      </c>
      <c r="U9" s="32">
        <f>'General Information'!$D$12</f>
        <v>223.1699999999999</v>
      </c>
      <c r="V9" s="32">
        <f>'General Information'!$D$13</f>
        <v>59.950000000000024</v>
      </c>
      <c r="W9" s="32">
        <f>'General Information'!$D$14</f>
        <v>10.73</v>
      </c>
      <c r="X9" s="32">
        <f t="shared" si="3"/>
        <v>1098.5805117093407</v>
      </c>
      <c r="Y9" s="32">
        <f t="shared" si="7"/>
        <v>462.37817336047362</v>
      </c>
      <c r="Z9" s="32">
        <f t="shared" si="7"/>
        <v>126.03417545139732</v>
      </c>
      <c r="AA9" s="32">
        <f t="shared" si="11"/>
        <v>23.616614197009</v>
      </c>
      <c r="AB9" s="32">
        <f t="shared" si="9"/>
        <v>1710.6094747182206</v>
      </c>
      <c r="AC9" s="33">
        <f t="shared" ref="AC9:AC33" si="12">AB9</f>
        <v>1710.6094747182206</v>
      </c>
    </row>
    <row r="10" spans="2:36" x14ac:dyDescent="0.25">
      <c r="B10" s="235">
        <v>8</v>
      </c>
      <c r="C10" s="95">
        <f>'Tulda 2019'!U20+'Tulda 2020'!U20+'Tulda 2021'!U20+'Tulda 2022'!U20+SOC!F17</f>
        <v>5930.9813161904585</v>
      </c>
      <c r="D10" s="87">
        <f t="shared" si="0"/>
        <v>1710.6094747182206</v>
      </c>
      <c r="E10" s="88">
        <f t="shared" si="1"/>
        <v>4220.371841472238</v>
      </c>
      <c r="G10" s="98">
        <v>7</v>
      </c>
      <c r="H10" s="254">
        <f t="shared" si="5"/>
        <v>0.11540698055021227</v>
      </c>
      <c r="I10" s="32">
        <f t="shared" si="5"/>
        <v>0.1176362921751692</v>
      </c>
      <c r="J10" s="32">
        <v>0.11936553608586944</v>
      </c>
      <c r="K10" s="32">
        <v>0.12496768619669593</v>
      </c>
      <c r="L10" s="89">
        <v>73</v>
      </c>
      <c r="M10" s="89">
        <v>0.1</v>
      </c>
      <c r="N10" s="32">
        <f t="shared" si="2"/>
        <v>0.8424709580165497</v>
      </c>
      <c r="O10" s="32">
        <f t="shared" si="6"/>
        <v>0.85874493287873532</v>
      </c>
      <c r="P10" s="32">
        <f t="shared" si="8"/>
        <v>0.8713684134268469</v>
      </c>
      <c r="Q10" s="32">
        <f t="shared" si="10"/>
        <v>0.9122641092358803</v>
      </c>
      <c r="R10" s="89">
        <v>0.47</v>
      </c>
      <c r="S10" s="89">
        <v>0.4</v>
      </c>
      <c r="T10" s="32">
        <f>'General Information'!$D$11</f>
        <v>540.47999999999979</v>
      </c>
      <c r="U10" s="32">
        <f>'General Information'!$D$12</f>
        <v>223.1699999999999</v>
      </c>
      <c r="V10" s="32">
        <f>'General Information'!$D$13</f>
        <v>59.950000000000024</v>
      </c>
      <c r="W10" s="32">
        <f>'General Information'!$D$14</f>
        <v>10.73</v>
      </c>
      <c r="X10" s="32">
        <f t="shared" si="3"/>
        <v>1098.5805117093407</v>
      </c>
      <c r="Y10" s="32">
        <f t="shared" si="7"/>
        <v>462.37817336047362</v>
      </c>
      <c r="Z10" s="32">
        <f t="shared" si="7"/>
        <v>126.03417545139732</v>
      </c>
      <c r="AA10" s="32">
        <f t="shared" si="11"/>
        <v>23.616614197009</v>
      </c>
      <c r="AB10" s="32">
        <f t="shared" si="9"/>
        <v>1710.6094747182206</v>
      </c>
      <c r="AC10" s="33">
        <f t="shared" si="12"/>
        <v>1710.6094747182206</v>
      </c>
    </row>
    <row r="11" spans="2:36" x14ac:dyDescent="0.25">
      <c r="B11" s="235">
        <v>9</v>
      </c>
      <c r="C11" s="95">
        <f>'Tulda 2019'!U21+'Tulda 2020'!U21+'Tulda 2021'!U21+'Tulda 2022'!U21+SOC!F18</f>
        <v>2952.180133394289</v>
      </c>
      <c r="D11" s="87">
        <f t="shared" si="0"/>
        <v>1710.6094747182206</v>
      </c>
      <c r="E11" s="88">
        <f t="shared" si="1"/>
        <v>1241.5706586760684</v>
      </c>
      <c r="G11" s="98">
        <v>8</v>
      </c>
      <c r="H11" s="254">
        <f t="shared" si="5"/>
        <v>0.11540698055021227</v>
      </c>
      <c r="I11" s="32">
        <f t="shared" si="5"/>
        <v>0.1176362921751692</v>
      </c>
      <c r="J11" s="32">
        <v>0.11936553608586944</v>
      </c>
      <c r="K11" s="32">
        <v>0.12496768619669593</v>
      </c>
      <c r="L11" s="89">
        <v>73</v>
      </c>
      <c r="M11" s="89">
        <v>0.1</v>
      </c>
      <c r="N11" s="32">
        <f t="shared" si="2"/>
        <v>0.8424709580165497</v>
      </c>
      <c r="O11" s="32">
        <f t="shared" si="6"/>
        <v>0.85874493287873532</v>
      </c>
      <c r="P11" s="32">
        <f t="shared" si="8"/>
        <v>0.8713684134268469</v>
      </c>
      <c r="Q11" s="32">
        <f t="shared" si="10"/>
        <v>0.9122641092358803</v>
      </c>
      <c r="R11" s="89">
        <v>0.47</v>
      </c>
      <c r="S11" s="89">
        <v>0.4</v>
      </c>
      <c r="T11" s="32">
        <f>'General Information'!$D$11</f>
        <v>540.47999999999979</v>
      </c>
      <c r="U11" s="32">
        <f>'General Information'!$D$12</f>
        <v>223.1699999999999</v>
      </c>
      <c r="V11" s="32">
        <f>'General Information'!$D$13</f>
        <v>59.950000000000024</v>
      </c>
      <c r="W11" s="32">
        <f>'General Information'!$D$14</f>
        <v>10.73</v>
      </c>
      <c r="X11" s="32">
        <f t="shared" si="3"/>
        <v>1098.5805117093407</v>
      </c>
      <c r="Y11" s="32">
        <f t="shared" si="7"/>
        <v>462.37817336047362</v>
      </c>
      <c r="Z11" s="32">
        <f t="shared" si="7"/>
        <v>126.03417545139732</v>
      </c>
      <c r="AA11" s="32">
        <f t="shared" si="11"/>
        <v>23.616614197009</v>
      </c>
      <c r="AB11" s="32">
        <f t="shared" si="9"/>
        <v>1710.6094747182206</v>
      </c>
      <c r="AC11" s="33">
        <f t="shared" si="12"/>
        <v>1710.6094747182206</v>
      </c>
    </row>
    <row r="12" spans="2:36" x14ac:dyDescent="0.25">
      <c r="B12" s="235">
        <v>10</v>
      </c>
      <c r="C12" s="95">
        <f>'Tulda 2019'!U22+'Tulda 2020'!U22+'Tulda 2021'!U22+'Tulda 2022'!U22+SOC!F19</f>
        <v>2441.8614219999986</v>
      </c>
      <c r="D12" s="87">
        <f t="shared" si="0"/>
        <v>1710.6094747182206</v>
      </c>
      <c r="E12" s="88">
        <f t="shared" si="1"/>
        <v>731.25194728177803</v>
      </c>
      <c r="G12" s="98">
        <v>9</v>
      </c>
      <c r="H12" s="254">
        <f t="shared" si="5"/>
        <v>0.11540698055021227</v>
      </c>
      <c r="I12" s="32">
        <f t="shared" si="5"/>
        <v>0.1176362921751692</v>
      </c>
      <c r="J12" s="32">
        <v>0.11936553608586944</v>
      </c>
      <c r="K12" s="32">
        <v>0.12496768619669593</v>
      </c>
      <c r="L12" s="89">
        <v>73</v>
      </c>
      <c r="M12" s="89">
        <v>0.1</v>
      </c>
      <c r="N12" s="32">
        <f t="shared" si="2"/>
        <v>0.8424709580165497</v>
      </c>
      <c r="O12" s="32">
        <f t="shared" si="6"/>
        <v>0.85874493287873532</v>
      </c>
      <c r="P12" s="32">
        <f t="shared" si="8"/>
        <v>0.8713684134268469</v>
      </c>
      <c r="Q12" s="32">
        <f t="shared" si="10"/>
        <v>0.9122641092358803</v>
      </c>
      <c r="R12" s="89">
        <v>0.47</v>
      </c>
      <c r="S12" s="89">
        <v>0.4</v>
      </c>
      <c r="T12" s="32">
        <f>'General Information'!$D$11</f>
        <v>540.47999999999979</v>
      </c>
      <c r="U12" s="32">
        <f>'General Information'!$D$12</f>
        <v>223.1699999999999</v>
      </c>
      <c r="V12" s="32">
        <f>'General Information'!$D$13</f>
        <v>59.950000000000024</v>
      </c>
      <c r="W12" s="32">
        <f>'General Information'!$D$14</f>
        <v>10.73</v>
      </c>
      <c r="X12" s="32">
        <f t="shared" si="3"/>
        <v>1098.5805117093407</v>
      </c>
      <c r="Y12" s="32">
        <f t="shared" si="7"/>
        <v>462.37817336047362</v>
      </c>
      <c r="Z12" s="32">
        <f t="shared" si="7"/>
        <v>126.03417545139732</v>
      </c>
      <c r="AA12" s="32">
        <f t="shared" si="11"/>
        <v>23.616614197009</v>
      </c>
      <c r="AB12" s="32">
        <f t="shared" si="9"/>
        <v>1710.6094747182206</v>
      </c>
      <c r="AC12" s="33">
        <f t="shared" si="12"/>
        <v>1710.6094747182206</v>
      </c>
    </row>
    <row r="13" spans="2:36" x14ac:dyDescent="0.25">
      <c r="B13" s="235">
        <v>11</v>
      </c>
      <c r="C13" s="95">
        <f>'Tulda 2019'!U23+'Tulda 2020'!U23+'Tulda 2021'!U23+'Tulda 2022'!U23+SOC!F20</f>
        <v>2441.8614219999986</v>
      </c>
      <c r="D13" s="87">
        <f t="shared" si="0"/>
        <v>1710.6094747182206</v>
      </c>
      <c r="E13" s="88">
        <f t="shared" si="1"/>
        <v>731.25194728177803</v>
      </c>
      <c r="G13" s="98">
        <v>10</v>
      </c>
      <c r="H13" s="254">
        <f t="shared" si="5"/>
        <v>0.11540698055021227</v>
      </c>
      <c r="I13" s="32">
        <f t="shared" si="5"/>
        <v>0.1176362921751692</v>
      </c>
      <c r="J13" s="32">
        <v>0.11936553608586944</v>
      </c>
      <c r="K13" s="32">
        <v>0.12496768619669593</v>
      </c>
      <c r="L13" s="89">
        <v>73</v>
      </c>
      <c r="M13" s="89">
        <v>0.1</v>
      </c>
      <c r="N13" s="32">
        <f t="shared" si="2"/>
        <v>0.8424709580165497</v>
      </c>
      <c r="O13" s="32">
        <f t="shared" si="6"/>
        <v>0.85874493287873532</v>
      </c>
      <c r="P13" s="32">
        <f t="shared" si="8"/>
        <v>0.8713684134268469</v>
      </c>
      <c r="Q13" s="32">
        <f t="shared" si="10"/>
        <v>0.9122641092358803</v>
      </c>
      <c r="R13" s="89">
        <v>0.47</v>
      </c>
      <c r="S13" s="89">
        <v>0.4</v>
      </c>
      <c r="T13" s="32">
        <f>'General Information'!$D$11</f>
        <v>540.47999999999979</v>
      </c>
      <c r="U13" s="32">
        <f>'General Information'!$D$12</f>
        <v>223.1699999999999</v>
      </c>
      <c r="V13" s="32">
        <f>'General Information'!$D$13</f>
        <v>59.950000000000024</v>
      </c>
      <c r="W13" s="32">
        <f>'General Information'!$D$14</f>
        <v>10.73</v>
      </c>
      <c r="X13" s="32">
        <f t="shared" si="3"/>
        <v>1098.5805117093407</v>
      </c>
      <c r="Y13" s="32">
        <f t="shared" si="7"/>
        <v>462.37817336047362</v>
      </c>
      <c r="Z13" s="32">
        <f t="shared" si="7"/>
        <v>126.03417545139732</v>
      </c>
      <c r="AA13" s="32">
        <f t="shared" si="11"/>
        <v>23.616614197009</v>
      </c>
      <c r="AB13" s="32">
        <f t="shared" si="9"/>
        <v>1710.6094747182206</v>
      </c>
      <c r="AC13" s="33">
        <f t="shared" si="12"/>
        <v>1710.6094747182206</v>
      </c>
    </row>
    <row r="14" spans="2:36" x14ac:dyDescent="0.25">
      <c r="B14" s="235">
        <v>12</v>
      </c>
      <c r="C14" s="95">
        <f>'Tulda 2019'!U24+'Tulda 2020'!U24+'Tulda 2021'!U24+'Tulda 2022'!U24+SOC!F21</f>
        <v>2441.8614219999986</v>
      </c>
      <c r="D14" s="87">
        <f t="shared" si="0"/>
        <v>1710.6094747182206</v>
      </c>
      <c r="E14" s="88">
        <f t="shared" si="1"/>
        <v>731.25194728177803</v>
      </c>
      <c r="G14" s="98">
        <v>11</v>
      </c>
      <c r="H14" s="254">
        <f t="shared" si="5"/>
        <v>0.11540698055021227</v>
      </c>
      <c r="I14" s="32">
        <f t="shared" si="5"/>
        <v>0.1176362921751692</v>
      </c>
      <c r="J14" s="32">
        <v>0.11936553608586944</v>
      </c>
      <c r="K14" s="32">
        <v>0.12496768619669593</v>
      </c>
      <c r="L14" s="89">
        <v>73</v>
      </c>
      <c r="M14" s="89">
        <v>0.1</v>
      </c>
      <c r="N14" s="32">
        <f t="shared" si="2"/>
        <v>0.8424709580165497</v>
      </c>
      <c r="O14" s="32">
        <f t="shared" si="6"/>
        <v>0.85874493287873532</v>
      </c>
      <c r="P14" s="32">
        <f t="shared" si="8"/>
        <v>0.8713684134268469</v>
      </c>
      <c r="Q14" s="32">
        <f t="shared" si="10"/>
        <v>0.9122641092358803</v>
      </c>
      <c r="R14" s="89">
        <v>0.47</v>
      </c>
      <c r="S14" s="89">
        <v>0.4</v>
      </c>
      <c r="T14" s="32">
        <f>'General Information'!$D$11</f>
        <v>540.47999999999979</v>
      </c>
      <c r="U14" s="32">
        <f>'General Information'!$D$12</f>
        <v>223.1699999999999</v>
      </c>
      <c r="V14" s="32">
        <f>'General Information'!$D$13</f>
        <v>59.950000000000024</v>
      </c>
      <c r="W14" s="32">
        <f>'General Information'!$D$14</f>
        <v>10.73</v>
      </c>
      <c r="X14" s="32">
        <f t="shared" si="3"/>
        <v>1098.5805117093407</v>
      </c>
      <c r="Y14" s="32">
        <f t="shared" si="7"/>
        <v>462.37817336047362</v>
      </c>
      <c r="Z14" s="32">
        <f t="shared" si="7"/>
        <v>126.03417545139732</v>
      </c>
      <c r="AA14" s="32">
        <f t="shared" si="11"/>
        <v>23.616614197009</v>
      </c>
      <c r="AB14" s="32">
        <f t="shared" si="9"/>
        <v>1710.6094747182206</v>
      </c>
      <c r="AC14" s="33">
        <f t="shared" si="12"/>
        <v>1710.6094747182206</v>
      </c>
    </row>
    <row r="15" spans="2:36" x14ac:dyDescent="0.25">
      <c r="B15" s="235">
        <v>13</v>
      </c>
      <c r="C15" s="95">
        <f>'Tulda 2019'!U25+'Tulda 2020'!U25+'Tulda 2021'!U25+'Tulda 2022'!U25+SOC!F22</f>
        <v>2441.8614219999986</v>
      </c>
      <c r="D15" s="87">
        <f t="shared" si="0"/>
        <v>1710.6094747182206</v>
      </c>
      <c r="E15" s="88">
        <f t="shared" si="1"/>
        <v>731.25194728177803</v>
      </c>
      <c r="G15" s="98">
        <v>12</v>
      </c>
      <c r="H15" s="254">
        <f t="shared" si="5"/>
        <v>0.11540698055021227</v>
      </c>
      <c r="I15" s="32">
        <f t="shared" si="5"/>
        <v>0.1176362921751692</v>
      </c>
      <c r="J15" s="32">
        <v>0.11936553608586944</v>
      </c>
      <c r="K15" s="32">
        <v>0.12496768619669593</v>
      </c>
      <c r="L15" s="89">
        <v>73</v>
      </c>
      <c r="M15" s="89">
        <v>0.1</v>
      </c>
      <c r="N15" s="32">
        <f t="shared" si="2"/>
        <v>0.8424709580165497</v>
      </c>
      <c r="O15" s="32">
        <f t="shared" si="6"/>
        <v>0.85874493287873532</v>
      </c>
      <c r="P15" s="32">
        <f t="shared" si="8"/>
        <v>0.8713684134268469</v>
      </c>
      <c r="Q15" s="32">
        <f t="shared" si="10"/>
        <v>0.9122641092358803</v>
      </c>
      <c r="R15" s="89">
        <v>0.47</v>
      </c>
      <c r="S15" s="89">
        <v>0.4</v>
      </c>
      <c r="T15" s="32">
        <f>'General Information'!$D$11</f>
        <v>540.47999999999979</v>
      </c>
      <c r="U15" s="32">
        <f>'General Information'!$D$12</f>
        <v>223.1699999999999</v>
      </c>
      <c r="V15" s="32">
        <f>'General Information'!$D$13</f>
        <v>59.950000000000024</v>
      </c>
      <c r="W15" s="32">
        <f>'General Information'!$D$14</f>
        <v>10.73</v>
      </c>
      <c r="X15" s="32">
        <f t="shared" si="3"/>
        <v>1098.5805117093407</v>
      </c>
      <c r="Y15" s="32">
        <f t="shared" si="7"/>
        <v>462.37817336047362</v>
      </c>
      <c r="Z15" s="32">
        <f t="shared" si="7"/>
        <v>126.03417545139732</v>
      </c>
      <c r="AA15" s="32">
        <f t="shared" si="11"/>
        <v>23.616614197009</v>
      </c>
      <c r="AB15" s="32">
        <f t="shared" si="9"/>
        <v>1710.6094747182206</v>
      </c>
      <c r="AC15" s="33">
        <f t="shared" si="12"/>
        <v>1710.6094747182206</v>
      </c>
    </row>
    <row r="16" spans="2:36" x14ac:dyDescent="0.25">
      <c r="B16" s="235">
        <v>14</v>
      </c>
      <c r="C16" s="95">
        <f>'Tulda 2019'!U26+'Tulda 2020'!U26+'Tulda 2021'!U26+'Tulda 2022'!U26+SOC!F23</f>
        <v>2441.8614219999986</v>
      </c>
      <c r="D16" s="87">
        <f t="shared" si="0"/>
        <v>1710.6094747182206</v>
      </c>
      <c r="E16" s="88">
        <f t="shared" si="1"/>
        <v>731.25194728177803</v>
      </c>
      <c r="G16" s="98">
        <v>13</v>
      </c>
      <c r="H16" s="254">
        <f t="shared" si="5"/>
        <v>0.11540698055021227</v>
      </c>
      <c r="I16" s="32">
        <f t="shared" si="5"/>
        <v>0.1176362921751692</v>
      </c>
      <c r="J16" s="32">
        <v>0.11936553608586944</v>
      </c>
      <c r="K16" s="32">
        <v>0.12496768619669593</v>
      </c>
      <c r="L16" s="89">
        <v>73</v>
      </c>
      <c r="M16" s="89">
        <v>0.1</v>
      </c>
      <c r="N16" s="32">
        <f t="shared" si="2"/>
        <v>0.8424709580165497</v>
      </c>
      <c r="O16" s="32">
        <f t="shared" si="6"/>
        <v>0.85874493287873532</v>
      </c>
      <c r="P16" s="32">
        <f t="shared" si="8"/>
        <v>0.8713684134268469</v>
      </c>
      <c r="Q16" s="32">
        <f t="shared" si="10"/>
        <v>0.9122641092358803</v>
      </c>
      <c r="R16" s="89">
        <v>0.47</v>
      </c>
      <c r="S16" s="89">
        <v>0.4</v>
      </c>
      <c r="T16" s="32">
        <f>'General Information'!$D$11</f>
        <v>540.47999999999979</v>
      </c>
      <c r="U16" s="32">
        <f>'General Information'!$D$12</f>
        <v>223.1699999999999</v>
      </c>
      <c r="V16" s="32">
        <f>'General Information'!$D$13</f>
        <v>59.950000000000024</v>
      </c>
      <c r="W16" s="32">
        <f>'General Information'!$D$14</f>
        <v>10.73</v>
      </c>
      <c r="X16" s="32">
        <f t="shared" si="3"/>
        <v>1098.5805117093407</v>
      </c>
      <c r="Y16" s="32">
        <f t="shared" si="7"/>
        <v>462.37817336047362</v>
      </c>
      <c r="Z16" s="32">
        <f t="shared" si="7"/>
        <v>126.03417545139732</v>
      </c>
      <c r="AA16" s="32">
        <f t="shared" si="11"/>
        <v>23.616614197009</v>
      </c>
      <c r="AB16" s="32">
        <f t="shared" si="9"/>
        <v>1710.6094747182206</v>
      </c>
      <c r="AC16" s="33">
        <f t="shared" si="12"/>
        <v>1710.6094747182206</v>
      </c>
    </row>
    <row r="17" spans="2:29" x14ac:dyDescent="0.25">
      <c r="B17" s="235">
        <v>15</v>
      </c>
      <c r="C17" s="95">
        <f>'Tulda 2019'!U27+'Tulda 2020'!U27+'Tulda 2021'!U27+'Tulda 2022'!U27+SOC!F24</f>
        <v>2441.8614219999986</v>
      </c>
      <c r="D17" s="87">
        <f t="shared" si="0"/>
        <v>1710.6094747182206</v>
      </c>
      <c r="E17" s="88">
        <f t="shared" si="1"/>
        <v>731.25194728177803</v>
      </c>
      <c r="G17" s="98">
        <v>14</v>
      </c>
      <c r="H17" s="254">
        <f t="shared" si="5"/>
        <v>0.11540698055021227</v>
      </c>
      <c r="I17" s="32">
        <f t="shared" si="5"/>
        <v>0.1176362921751692</v>
      </c>
      <c r="J17" s="32">
        <v>0.11936553608586944</v>
      </c>
      <c r="K17" s="32">
        <v>0.12496768619669593</v>
      </c>
      <c r="L17" s="89">
        <v>73</v>
      </c>
      <c r="M17" s="89">
        <v>0.1</v>
      </c>
      <c r="N17" s="32">
        <f t="shared" si="2"/>
        <v>0.8424709580165497</v>
      </c>
      <c r="O17" s="32">
        <f t="shared" si="6"/>
        <v>0.85874493287873532</v>
      </c>
      <c r="P17" s="32">
        <f t="shared" si="8"/>
        <v>0.8713684134268469</v>
      </c>
      <c r="Q17" s="32">
        <f t="shared" si="10"/>
        <v>0.9122641092358803</v>
      </c>
      <c r="R17" s="89">
        <v>0.47</v>
      </c>
      <c r="S17" s="89">
        <v>0.4</v>
      </c>
      <c r="T17" s="32">
        <f>'General Information'!$D$11</f>
        <v>540.47999999999979</v>
      </c>
      <c r="U17" s="32">
        <f>'General Information'!$D$12</f>
        <v>223.1699999999999</v>
      </c>
      <c r="V17" s="32">
        <f>'General Information'!$D$13</f>
        <v>59.950000000000024</v>
      </c>
      <c r="W17" s="32">
        <f>'General Information'!$D$14</f>
        <v>10.73</v>
      </c>
      <c r="X17" s="32">
        <f t="shared" si="3"/>
        <v>1098.5805117093407</v>
      </c>
      <c r="Y17" s="32">
        <f t="shared" si="7"/>
        <v>462.37817336047362</v>
      </c>
      <c r="Z17" s="32">
        <f t="shared" si="7"/>
        <v>126.03417545139732</v>
      </c>
      <c r="AA17" s="32">
        <f t="shared" si="11"/>
        <v>23.616614197009</v>
      </c>
      <c r="AB17" s="32">
        <f t="shared" si="9"/>
        <v>1710.6094747182206</v>
      </c>
      <c r="AC17" s="33">
        <f t="shared" si="12"/>
        <v>1710.6094747182206</v>
      </c>
    </row>
    <row r="18" spans="2:29" x14ac:dyDescent="0.25">
      <c r="B18" s="235">
        <v>16</v>
      </c>
      <c r="C18" s="95">
        <f>'Tulda 2019'!U28+'Tulda 2020'!U28+'Tulda 2021'!U28+'Tulda 2022'!U28+SOC!F25</f>
        <v>2441.8614219999986</v>
      </c>
      <c r="D18" s="87">
        <f t="shared" si="0"/>
        <v>1710.6094747182206</v>
      </c>
      <c r="E18" s="88">
        <f t="shared" si="1"/>
        <v>731.25194728177803</v>
      </c>
      <c r="G18" s="98">
        <v>15</v>
      </c>
      <c r="H18" s="254">
        <f t="shared" si="5"/>
        <v>0.11540698055021227</v>
      </c>
      <c r="I18" s="32">
        <f t="shared" si="5"/>
        <v>0.1176362921751692</v>
      </c>
      <c r="J18" s="32">
        <v>0.11936553608586944</v>
      </c>
      <c r="K18" s="32">
        <v>0.12496768619669593</v>
      </c>
      <c r="L18" s="89">
        <v>73</v>
      </c>
      <c r="M18" s="89">
        <v>0.1</v>
      </c>
      <c r="N18" s="32">
        <f t="shared" si="2"/>
        <v>0.8424709580165497</v>
      </c>
      <c r="O18" s="32">
        <f t="shared" si="6"/>
        <v>0.85874493287873532</v>
      </c>
      <c r="P18" s="32">
        <f t="shared" si="8"/>
        <v>0.8713684134268469</v>
      </c>
      <c r="Q18" s="32">
        <f t="shared" si="10"/>
        <v>0.9122641092358803</v>
      </c>
      <c r="R18" s="89">
        <v>0.47</v>
      </c>
      <c r="S18" s="89">
        <v>0.4</v>
      </c>
      <c r="T18" s="32">
        <f>'General Information'!$D$11</f>
        <v>540.47999999999979</v>
      </c>
      <c r="U18" s="32">
        <f>'General Information'!$D$12</f>
        <v>223.1699999999999</v>
      </c>
      <c r="V18" s="32">
        <f>'General Information'!$D$13</f>
        <v>59.950000000000024</v>
      </c>
      <c r="W18" s="32">
        <f>'General Information'!$D$14</f>
        <v>10.73</v>
      </c>
      <c r="X18" s="32">
        <f t="shared" si="3"/>
        <v>1098.5805117093407</v>
      </c>
      <c r="Y18" s="32">
        <f t="shared" si="7"/>
        <v>462.37817336047362</v>
      </c>
      <c r="Z18" s="32">
        <f t="shared" si="7"/>
        <v>126.03417545139732</v>
      </c>
      <c r="AA18" s="32">
        <f t="shared" si="11"/>
        <v>23.616614197009</v>
      </c>
      <c r="AB18" s="32">
        <f t="shared" si="9"/>
        <v>1710.6094747182206</v>
      </c>
      <c r="AC18" s="33">
        <f t="shared" si="12"/>
        <v>1710.6094747182206</v>
      </c>
    </row>
    <row r="19" spans="2:29" x14ac:dyDescent="0.25">
      <c r="B19" s="235">
        <v>17</v>
      </c>
      <c r="C19" s="95">
        <f>'Tulda 2019'!U29+'Tulda 2020'!U29+'Tulda 2021'!U29+'Tulda 2022'!U29+SOC!F26</f>
        <v>2441.8614219999986</v>
      </c>
      <c r="D19" s="87">
        <f t="shared" si="0"/>
        <v>1710.6094747182206</v>
      </c>
      <c r="E19" s="88">
        <f t="shared" si="1"/>
        <v>731.25194728177803</v>
      </c>
      <c r="G19" s="98">
        <v>16</v>
      </c>
      <c r="H19" s="254">
        <f t="shared" si="5"/>
        <v>0.11540698055021227</v>
      </c>
      <c r="I19" s="32">
        <f t="shared" si="5"/>
        <v>0.1176362921751692</v>
      </c>
      <c r="J19" s="32">
        <v>0.11936553608586944</v>
      </c>
      <c r="K19" s="32">
        <v>0.12496768619669593</v>
      </c>
      <c r="L19" s="89">
        <v>73</v>
      </c>
      <c r="M19" s="89">
        <v>0.1</v>
      </c>
      <c r="N19" s="32">
        <f t="shared" si="2"/>
        <v>0.8424709580165497</v>
      </c>
      <c r="O19" s="32">
        <f t="shared" si="6"/>
        <v>0.85874493287873532</v>
      </c>
      <c r="P19" s="32">
        <f t="shared" si="8"/>
        <v>0.8713684134268469</v>
      </c>
      <c r="Q19" s="32">
        <f t="shared" si="10"/>
        <v>0.9122641092358803</v>
      </c>
      <c r="R19" s="89">
        <v>0.47</v>
      </c>
      <c r="S19" s="89">
        <v>0.4</v>
      </c>
      <c r="T19" s="32">
        <f>'General Information'!$D$11</f>
        <v>540.47999999999979</v>
      </c>
      <c r="U19" s="32">
        <f>'General Information'!$D$12</f>
        <v>223.1699999999999</v>
      </c>
      <c r="V19" s="32">
        <f>'General Information'!$D$13</f>
        <v>59.950000000000024</v>
      </c>
      <c r="W19" s="32">
        <f>'General Information'!$D$14</f>
        <v>10.73</v>
      </c>
      <c r="X19" s="32">
        <f t="shared" si="3"/>
        <v>1098.5805117093407</v>
      </c>
      <c r="Y19" s="32">
        <f t="shared" si="7"/>
        <v>462.37817336047362</v>
      </c>
      <c r="Z19" s="32">
        <f t="shared" si="7"/>
        <v>126.03417545139732</v>
      </c>
      <c r="AA19" s="32">
        <f t="shared" si="11"/>
        <v>23.616614197009</v>
      </c>
      <c r="AB19" s="32">
        <f t="shared" si="9"/>
        <v>1710.6094747182206</v>
      </c>
      <c r="AC19" s="33">
        <f t="shared" si="12"/>
        <v>1710.6094747182206</v>
      </c>
    </row>
    <row r="20" spans="2:29" x14ac:dyDescent="0.25">
      <c r="B20" s="235">
        <v>18</v>
      </c>
      <c r="C20" s="95">
        <f>'Tulda 2019'!U30+'Tulda 2020'!U30+'Tulda 2021'!U30+'Tulda 2022'!U30+SOC!F27</f>
        <v>2441.8614219999986</v>
      </c>
      <c r="D20" s="87">
        <f t="shared" si="0"/>
        <v>1710.6094747182206</v>
      </c>
      <c r="E20" s="88">
        <f t="shared" si="1"/>
        <v>731.25194728177803</v>
      </c>
      <c r="G20" s="98">
        <v>17</v>
      </c>
      <c r="H20" s="254">
        <f t="shared" si="5"/>
        <v>0.11540698055021227</v>
      </c>
      <c r="I20" s="32">
        <f t="shared" si="5"/>
        <v>0.1176362921751692</v>
      </c>
      <c r="J20" s="32">
        <v>0.11936553608586944</v>
      </c>
      <c r="K20" s="32">
        <v>0.12496768619669593</v>
      </c>
      <c r="L20" s="89">
        <v>73</v>
      </c>
      <c r="M20" s="89">
        <v>0.1</v>
      </c>
      <c r="N20" s="32">
        <f t="shared" si="2"/>
        <v>0.8424709580165497</v>
      </c>
      <c r="O20" s="32">
        <f t="shared" si="6"/>
        <v>0.85874493287873532</v>
      </c>
      <c r="P20" s="32">
        <f t="shared" si="8"/>
        <v>0.8713684134268469</v>
      </c>
      <c r="Q20" s="32">
        <f t="shared" si="10"/>
        <v>0.9122641092358803</v>
      </c>
      <c r="R20" s="89">
        <v>0.47</v>
      </c>
      <c r="S20" s="89">
        <v>0.4</v>
      </c>
      <c r="T20" s="32">
        <f>'General Information'!$D$11</f>
        <v>540.47999999999979</v>
      </c>
      <c r="U20" s="32">
        <f>'General Information'!$D$12</f>
        <v>223.1699999999999</v>
      </c>
      <c r="V20" s="32">
        <f>'General Information'!$D$13</f>
        <v>59.950000000000024</v>
      </c>
      <c r="W20" s="32">
        <f>'General Information'!$D$14</f>
        <v>10.73</v>
      </c>
      <c r="X20" s="32">
        <f t="shared" si="3"/>
        <v>1098.5805117093407</v>
      </c>
      <c r="Y20" s="32">
        <f t="shared" si="7"/>
        <v>462.37817336047362</v>
      </c>
      <c r="Z20" s="32">
        <f t="shared" si="7"/>
        <v>126.03417545139732</v>
      </c>
      <c r="AA20" s="32">
        <f t="shared" si="11"/>
        <v>23.616614197009</v>
      </c>
      <c r="AB20" s="32">
        <f t="shared" si="9"/>
        <v>1710.6094747182206</v>
      </c>
      <c r="AC20" s="33">
        <f t="shared" si="12"/>
        <v>1710.6094747182206</v>
      </c>
    </row>
    <row r="21" spans="2:29" x14ac:dyDescent="0.25">
      <c r="B21" s="235">
        <v>19</v>
      </c>
      <c r="C21" s="95">
        <f>'Tulda 2019'!U31+'Tulda 2020'!U31+'Tulda 2021'!U31+'Tulda 2022'!U31+SOC!F28</f>
        <v>2441.8614219999986</v>
      </c>
      <c r="D21" s="87">
        <f t="shared" si="0"/>
        <v>1710.6094747182206</v>
      </c>
      <c r="E21" s="88">
        <f t="shared" si="1"/>
        <v>731.25194728177803</v>
      </c>
      <c r="G21" s="98">
        <v>18</v>
      </c>
      <c r="H21" s="254">
        <f t="shared" si="5"/>
        <v>0.11540698055021227</v>
      </c>
      <c r="I21" s="32">
        <f t="shared" si="5"/>
        <v>0.1176362921751692</v>
      </c>
      <c r="J21" s="32">
        <v>0.11936553608586944</v>
      </c>
      <c r="K21" s="32">
        <v>0.12496768619669593</v>
      </c>
      <c r="L21" s="89">
        <v>73</v>
      </c>
      <c r="M21" s="89">
        <v>0.1</v>
      </c>
      <c r="N21" s="32">
        <f t="shared" si="2"/>
        <v>0.8424709580165497</v>
      </c>
      <c r="O21" s="32">
        <f t="shared" si="6"/>
        <v>0.85874493287873532</v>
      </c>
      <c r="P21" s="32">
        <f t="shared" si="8"/>
        <v>0.8713684134268469</v>
      </c>
      <c r="Q21" s="32">
        <f t="shared" si="10"/>
        <v>0.9122641092358803</v>
      </c>
      <c r="R21" s="89">
        <v>0.47</v>
      </c>
      <c r="S21" s="89">
        <v>0.4</v>
      </c>
      <c r="T21" s="32">
        <f>'General Information'!$D$11</f>
        <v>540.47999999999979</v>
      </c>
      <c r="U21" s="32">
        <f>'General Information'!$D$12</f>
        <v>223.1699999999999</v>
      </c>
      <c r="V21" s="32">
        <f>'General Information'!$D$13</f>
        <v>59.950000000000024</v>
      </c>
      <c r="W21" s="32">
        <f>'General Information'!$D$14</f>
        <v>10.73</v>
      </c>
      <c r="X21" s="32">
        <f t="shared" si="3"/>
        <v>1098.5805117093407</v>
      </c>
      <c r="Y21" s="32">
        <f t="shared" si="7"/>
        <v>462.37817336047362</v>
      </c>
      <c r="Z21" s="32">
        <f t="shared" si="7"/>
        <v>126.03417545139732</v>
      </c>
      <c r="AA21" s="32">
        <f t="shared" si="11"/>
        <v>23.616614197009</v>
      </c>
      <c r="AB21" s="32">
        <f t="shared" si="9"/>
        <v>1710.6094747182206</v>
      </c>
      <c r="AC21" s="33">
        <f t="shared" si="12"/>
        <v>1710.6094747182206</v>
      </c>
    </row>
    <row r="22" spans="2:29" x14ac:dyDescent="0.25">
      <c r="B22" s="235">
        <v>20</v>
      </c>
      <c r="C22" s="95">
        <f>'Tulda 2019'!U32+'Tulda 2020'!U32+'Tulda 2021'!U32+'Tulda 2022'!U32+SOC!F29</f>
        <v>2441.8614219999986</v>
      </c>
      <c r="D22" s="87">
        <f t="shared" si="0"/>
        <v>1710.6094747182206</v>
      </c>
      <c r="E22" s="88">
        <f t="shared" si="1"/>
        <v>731.25194728177803</v>
      </c>
      <c r="G22" s="98">
        <v>19</v>
      </c>
      <c r="H22" s="254">
        <f t="shared" si="5"/>
        <v>0.11540698055021227</v>
      </c>
      <c r="I22" s="32">
        <f t="shared" si="5"/>
        <v>0.1176362921751692</v>
      </c>
      <c r="J22" s="32">
        <v>0.11936553608586944</v>
      </c>
      <c r="K22" s="32">
        <v>0.12496768619669593</v>
      </c>
      <c r="L22" s="89">
        <v>73</v>
      </c>
      <c r="M22" s="89">
        <v>0.1</v>
      </c>
      <c r="N22" s="32">
        <f t="shared" si="2"/>
        <v>0.8424709580165497</v>
      </c>
      <c r="O22" s="32">
        <f t="shared" si="6"/>
        <v>0.85874493287873532</v>
      </c>
      <c r="P22" s="32">
        <f t="shared" si="8"/>
        <v>0.8713684134268469</v>
      </c>
      <c r="Q22" s="32">
        <f t="shared" si="10"/>
        <v>0.9122641092358803</v>
      </c>
      <c r="R22" s="89">
        <v>0.47</v>
      </c>
      <c r="S22" s="89">
        <v>0.4</v>
      </c>
      <c r="T22" s="32">
        <f>'General Information'!$D$11</f>
        <v>540.47999999999979</v>
      </c>
      <c r="U22" s="32">
        <f>'General Information'!$D$12</f>
        <v>223.1699999999999</v>
      </c>
      <c r="V22" s="32">
        <f>'General Information'!$D$13</f>
        <v>59.950000000000024</v>
      </c>
      <c r="W22" s="32">
        <f>'General Information'!$D$14</f>
        <v>10.73</v>
      </c>
      <c r="X22" s="32">
        <f t="shared" si="3"/>
        <v>1098.5805117093407</v>
      </c>
      <c r="Y22" s="32">
        <f t="shared" si="7"/>
        <v>462.37817336047362</v>
      </c>
      <c r="Z22" s="32">
        <f t="shared" si="7"/>
        <v>126.03417545139732</v>
      </c>
      <c r="AA22" s="32">
        <f t="shared" si="11"/>
        <v>23.616614197009</v>
      </c>
      <c r="AB22" s="32">
        <f t="shared" si="9"/>
        <v>1710.6094747182206</v>
      </c>
      <c r="AC22" s="33">
        <f t="shared" si="12"/>
        <v>1710.6094747182206</v>
      </c>
    </row>
    <row r="23" spans="2:29" x14ac:dyDescent="0.25">
      <c r="B23" s="235">
        <v>21</v>
      </c>
      <c r="C23" s="95">
        <f>'Tulda 2019'!U33+'Tulda 2020'!U33+'Tulda 2021'!U33+'Tulda 2022'!U33+SOC!F30</f>
        <v>860.02058999999974</v>
      </c>
      <c r="D23" s="87">
        <f t="shared" si="0"/>
        <v>612.02896300887994</v>
      </c>
      <c r="E23" s="88">
        <f t="shared" si="1"/>
        <v>247.9916269911198</v>
      </c>
      <c r="G23" s="98">
        <v>20</v>
      </c>
      <c r="H23" s="254">
        <f t="shared" si="5"/>
        <v>0.11540698055021227</v>
      </c>
      <c r="I23" s="32">
        <f t="shared" si="5"/>
        <v>0.1176362921751692</v>
      </c>
      <c r="J23" s="32">
        <v>0.11936553608586944</v>
      </c>
      <c r="K23" s="32">
        <v>0.12496768619669593</v>
      </c>
      <c r="L23" s="89">
        <v>73</v>
      </c>
      <c r="M23" s="89">
        <v>0.1</v>
      </c>
      <c r="N23" s="32">
        <f t="shared" si="2"/>
        <v>0.8424709580165497</v>
      </c>
      <c r="O23" s="32">
        <f t="shared" si="6"/>
        <v>0.85874493287873532</v>
      </c>
      <c r="P23" s="32">
        <f t="shared" si="8"/>
        <v>0.8713684134268469</v>
      </c>
      <c r="Q23" s="32">
        <f t="shared" si="10"/>
        <v>0.9122641092358803</v>
      </c>
      <c r="R23" s="89">
        <v>0.47</v>
      </c>
      <c r="S23" s="89">
        <v>0.4</v>
      </c>
      <c r="T23" s="32">
        <f>'General Information'!$D$11</f>
        <v>540.47999999999979</v>
      </c>
      <c r="U23" s="32">
        <f>'General Information'!$D$12</f>
        <v>223.1699999999999</v>
      </c>
      <c r="V23" s="32">
        <f>'General Information'!$D$13</f>
        <v>59.950000000000024</v>
      </c>
      <c r="W23" s="32">
        <f>'General Information'!$D$14</f>
        <v>10.73</v>
      </c>
      <c r="X23" s="32">
        <f t="shared" si="3"/>
        <v>1098.5805117093407</v>
      </c>
      <c r="Y23" s="32">
        <f t="shared" si="7"/>
        <v>462.37817336047362</v>
      </c>
      <c r="Z23" s="32">
        <f t="shared" si="7"/>
        <v>126.03417545139732</v>
      </c>
      <c r="AA23" s="32">
        <f t="shared" si="11"/>
        <v>23.616614197009</v>
      </c>
      <c r="AB23" s="32">
        <f t="shared" si="9"/>
        <v>1710.6094747182206</v>
      </c>
      <c r="AC23" s="33">
        <f t="shared" si="12"/>
        <v>1710.6094747182206</v>
      </c>
    </row>
    <row r="24" spans="2:29" x14ac:dyDescent="0.25">
      <c r="B24" s="235">
        <v>22</v>
      </c>
      <c r="C24" s="95">
        <f>'Tulda 2019'!U34+'Tulda 2020'!U34+'Tulda 2021'!U34+'Tulda 2022'!U34+SOC!F31</f>
        <v>206.86151200000009</v>
      </c>
      <c r="D24" s="87">
        <f t="shared" si="0"/>
        <v>149.65078964840632</v>
      </c>
      <c r="E24" s="88">
        <f t="shared" si="1"/>
        <v>57.210722351593773</v>
      </c>
      <c r="G24" s="98">
        <v>21</v>
      </c>
      <c r="H24" s="29"/>
      <c r="I24" s="32">
        <f t="shared" ref="I24" si="13">I23</f>
        <v>0.1176362921751692</v>
      </c>
      <c r="J24" s="32">
        <v>0.11936553608586944</v>
      </c>
      <c r="K24" s="32">
        <v>0.12496768619669593</v>
      </c>
      <c r="L24" s="89">
        <v>73</v>
      </c>
      <c r="M24" s="89">
        <v>0.1</v>
      </c>
      <c r="N24" s="89"/>
      <c r="O24" s="32">
        <f t="shared" si="6"/>
        <v>0.85874493287873532</v>
      </c>
      <c r="P24" s="32">
        <f t="shared" si="8"/>
        <v>0.8713684134268469</v>
      </c>
      <c r="Q24" s="32">
        <f t="shared" si="10"/>
        <v>0.9122641092358803</v>
      </c>
      <c r="R24" s="89">
        <v>0.47</v>
      </c>
      <c r="S24" s="89">
        <v>0.4</v>
      </c>
      <c r="T24" s="32">
        <f>'General Information'!$D$11</f>
        <v>540.47999999999979</v>
      </c>
      <c r="U24" s="32">
        <f>'General Information'!$D$12</f>
        <v>223.1699999999999</v>
      </c>
      <c r="V24" s="32">
        <f>'General Information'!$D$13</f>
        <v>59.950000000000024</v>
      </c>
      <c r="W24" s="32">
        <f>'General Information'!$D$14</f>
        <v>10.73</v>
      </c>
      <c r="X24" s="32">
        <f t="shared" si="3"/>
        <v>0</v>
      </c>
      <c r="Y24" s="32">
        <f t="shared" si="7"/>
        <v>462.37817336047362</v>
      </c>
      <c r="Z24" s="32">
        <f t="shared" si="7"/>
        <v>126.03417545139732</v>
      </c>
      <c r="AA24" s="32">
        <f t="shared" si="11"/>
        <v>23.616614197009</v>
      </c>
      <c r="AB24" s="32">
        <f t="shared" si="9"/>
        <v>612.02896300887994</v>
      </c>
      <c r="AC24" s="33">
        <f t="shared" si="12"/>
        <v>612.02896300887994</v>
      </c>
    </row>
    <row r="25" spans="2:29" x14ac:dyDescent="0.25">
      <c r="B25" s="235">
        <v>23</v>
      </c>
      <c r="C25" s="95">
        <f>'Tulda 2019'!U35+'Tulda 2020'!U35+'Tulda 2021'!U35+'Tulda 2022'!U35+SOC!F32</f>
        <v>31.403848666666853</v>
      </c>
      <c r="D25" s="87">
        <f t="shared" si="0"/>
        <v>23.616614197009</v>
      </c>
      <c r="E25" s="88">
        <f t="shared" si="1"/>
        <v>7.7872344696578537</v>
      </c>
      <c r="G25" s="98">
        <v>22</v>
      </c>
      <c r="H25" s="29"/>
      <c r="I25" s="89"/>
      <c r="J25" s="32">
        <v>0.11936553608586944</v>
      </c>
      <c r="K25" s="32">
        <v>0.12496768619669593</v>
      </c>
      <c r="L25" s="89">
        <v>73</v>
      </c>
      <c r="M25" s="89">
        <v>0.1</v>
      </c>
      <c r="N25" s="89"/>
      <c r="O25" s="89"/>
      <c r="P25" s="32">
        <f t="shared" si="8"/>
        <v>0.8713684134268469</v>
      </c>
      <c r="Q25" s="32">
        <f t="shared" si="10"/>
        <v>0.9122641092358803</v>
      </c>
      <c r="R25" s="89">
        <v>0.47</v>
      </c>
      <c r="S25" s="89">
        <v>0.4</v>
      </c>
      <c r="T25" s="32">
        <f>'General Information'!$D$11</f>
        <v>540.47999999999979</v>
      </c>
      <c r="U25" s="32">
        <f>'General Information'!$D$12</f>
        <v>223.1699999999999</v>
      </c>
      <c r="V25" s="32">
        <f>'General Information'!$D$13</f>
        <v>59.950000000000024</v>
      </c>
      <c r="W25" s="32">
        <f>'General Information'!$D$14</f>
        <v>10.73</v>
      </c>
      <c r="X25" s="32">
        <f t="shared" si="3"/>
        <v>0</v>
      </c>
      <c r="Y25" s="32">
        <f t="shared" si="7"/>
        <v>0</v>
      </c>
      <c r="Z25" s="32">
        <f t="shared" si="7"/>
        <v>126.03417545139732</v>
      </c>
      <c r="AA25" s="32">
        <f t="shared" si="11"/>
        <v>23.616614197009</v>
      </c>
      <c r="AB25" s="32">
        <f t="shared" si="9"/>
        <v>149.65078964840632</v>
      </c>
      <c r="AC25" s="33">
        <f t="shared" si="12"/>
        <v>149.65078964840632</v>
      </c>
    </row>
    <row r="26" spans="2:29" x14ac:dyDescent="0.25">
      <c r="B26" s="235">
        <v>24</v>
      </c>
      <c r="C26" s="95">
        <f>'Tulda 2019'!U36+'Tulda 2020'!U36+'Tulda 2021'!U36+'Tulda 2022'!U36+SOC!F33</f>
        <v>0</v>
      </c>
      <c r="D26" s="87">
        <f t="shared" si="0"/>
        <v>0</v>
      </c>
      <c r="E26" s="88">
        <f t="shared" si="1"/>
        <v>0</v>
      </c>
      <c r="G26" s="98">
        <v>23</v>
      </c>
      <c r="H26" s="29"/>
      <c r="I26" s="89"/>
      <c r="J26" s="89"/>
      <c r="K26" s="32">
        <v>0.12496768619669593</v>
      </c>
      <c r="L26" s="89">
        <v>73</v>
      </c>
      <c r="M26" s="89">
        <v>0.1</v>
      </c>
      <c r="N26" s="89"/>
      <c r="O26" s="89"/>
      <c r="P26" s="89"/>
      <c r="Q26" s="32">
        <f t="shared" si="10"/>
        <v>0.9122641092358803</v>
      </c>
      <c r="R26" s="89">
        <v>0.47</v>
      </c>
      <c r="S26" s="89">
        <v>0.4</v>
      </c>
      <c r="T26" s="32">
        <f>'General Information'!$D$11</f>
        <v>540.47999999999979</v>
      </c>
      <c r="U26" s="32">
        <f>'General Information'!$D$12</f>
        <v>223.1699999999999</v>
      </c>
      <c r="V26" s="32">
        <f>'General Information'!$D$13</f>
        <v>59.950000000000024</v>
      </c>
      <c r="W26" s="32">
        <f>'General Information'!$D$14</f>
        <v>10.73</v>
      </c>
      <c r="X26" s="32">
        <f t="shared" si="3"/>
        <v>0</v>
      </c>
      <c r="Y26" s="32">
        <f t="shared" si="7"/>
        <v>0</v>
      </c>
      <c r="Z26" s="32">
        <f t="shared" si="7"/>
        <v>0</v>
      </c>
      <c r="AA26" s="32">
        <f t="shared" si="11"/>
        <v>23.616614197009</v>
      </c>
      <c r="AB26" s="32">
        <f t="shared" si="9"/>
        <v>23.616614197009</v>
      </c>
      <c r="AC26" s="33">
        <f t="shared" si="12"/>
        <v>23.616614197009</v>
      </c>
    </row>
    <row r="27" spans="2:29" x14ac:dyDescent="0.25">
      <c r="B27" s="235">
        <v>25</v>
      </c>
      <c r="C27" s="95">
        <f>'Tulda 2019'!U37+'Tulda 2020'!U37+'Tulda 2021'!U37+'Tulda 2022'!U37+SOC!F34</f>
        <v>0</v>
      </c>
      <c r="D27" s="87">
        <f t="shared" si="0"/>
        <v>0</v>
      </c>
      <c r="E27" s="88">
        <f t="shared" si="1"/>
        <v>0</v>
      </c>
      <c r="G27" s="98">
        <v>24</v>
      </c>
      <c r="H27" s="29"/>
      <c r="I27" s="89"/>
      <c r="J27" s="89"/>
      <c r="K27" s="89"/>
      <c r="L27" s="89">
        <v>73</v>
      </c>
      <c r="M27" s="89">
        <v>0.1</v>
      </c>
      <c r="N27" s="89"/>
      <c r="O27" s="89"/>
      <c r="P27" s="89"/>
      <c r="Q27" s="89"/>
      <c r="R27" s="89">
        <v>0.47</v>
      </c>
      <c r="S27" s="89">
        <v>0.4</v>
      </c>
      <c r="T27" s="32">
        <f>'General Information'!$D$11</f>
        <v>540.47999999999979</v>
      </c>
      <c r="U27" s="32">
        <f>'General Information'!$D$12</f>
        <v>223.1699999999999</v>
      </c>
      <c r="V27" s="32">
        <f>'General Information'!$D$13</f>
        <v>59.950000000000024</v>
      </c>
      <c r="W27" s="32">
        <f>'General Information'!$D$14</f>
        <v>10.73</v>
      </c>
      <c r="X27" s="32">
        <f t="shared" si="3"/>
        <v>0</v>
      </c>
      <c r="Y27" s="32">
        <f t="shared" si="7"/>
        <v>0</v>
      </c>
      <c r="Z27" s="32">
        <f t="shared" si="7"/>
        <v>0</v>
      </c>
      <c r="AA27" s="32">
        <f t="shared" si="11"/>
        <v>0</v>
      </c>
      <c r="AB27" s="32">
        <f t="shared" si="9"/>
        <v>0</v>
      </c>
      <c r="AC27" s="33">
        <f t="shared" si="12"/>
        <v>0</v>
      </c>
    </row>
    <row r="28" spans="2:29" x14ac:dyDescent="0.25">
      <c r="B28" s="235">
        <v>26</v>
      </c>
      <c r="C28" s="95">
        <f>'Tulda 2019'!U38+'Tulda 2020'!U38+'Tulda 2021'!U38+'Tulda 2022'!U38+SOC!F35</f>
        <v>0</v>
      </c>
      <c r="D28" s="87">
        <f t="shared" si="0"/>
        <v>0</v>
      </c>
      <c r="E28" s="88">
        <f t="shared" si="1"/>
        <v>0</v>
      </c>
      <c r="G28" s="98">
        <v>25</v>
      </c>
      <c r="H28" s="29"/>
      <c r="I28" s="89"/>
      <c r="J28" s="89"/>
      <c r="K28" s="89"/>
      <c r="L28" s="89">
        <v>73</v>
      </c>
      <c r="M28" s="89">
        <v>0.1</v>
      </c>
      <c r="N28" s="89"/>
      <c r="O28" s="89"/>
      <c r="P28" s="89"/>
      <c r="Q28" s="89"/>
      <c r="R28" s="89">
        <v>0.47</v>
      </c>
      <c r="S28" s="89">
        <v>0.4</v>
      </c>
      <c r="T28" s="32">
        <f>'General Information'!$D$11</f>
        <v>540.47999999999979</v>
      </c>
      <c r="U28" s="32">
        <f>'General Information'!$D$12</f>
        <v>223.1699999999999</v>
      </c>
      <c r="V28" s="32">
        <f>'General Information'!$D$13</f>
        <v>59.950000000000024</v>
      </c>
      <c r="W28" s="32">
        <f>'General Information'!$D$14</f>
        <v>10.73</v>
      </c>
      <c r="X28" s="32">
        <f t="shared" si="3"/>
        <v>0</v>
      </c>
      <c r="Y28" s="32">
        <f t="shared" si="7"/>
        <v>0</v>
      </c>
      <c r="Z28" s="32">
        <f t="shared" si="7"/>
        <v>0</v>
      </c>
      <c r="AA28" s="32">
        <f t="shared" si="11"/>
        <v>0</v>
      </c>
      <c r="AB28" s="32">
        <f t="shared" si="9"/>
        <v>0</v>
      </c>
      <c r="AC28" s="33">
        <f t="shared" si="12"/>
        <v>0</v>
      </c>
    </row>
    <row r="29" spans="2:29" x14ac:dyDescent="0.25">
      <c r="B29" s="235">
        <v>27</v>
      </c>
      <c r="C29" s="95">
        <f>'Tulda 2019'!U39+'Tulda 2020'!U39+'Tulda 2021'!U39+'Tulda 2022'!U39+SOC!F36</f>
        <v>0</v>
      </c>
      <c r="D29" s="87">
        <f t="shared" si="0"/>
        <v>0</v>
      </c>
      <c r="E29" s="88">
        <f t="shared" si="1"/>
        <v>0</v>
      </c>
      <c r="G29" s="98">
        <v>26</v>
      </c>
      <c r="H29" s="29"/>
      <c r="I29" s="89"/>
      <c r="J29" s="89"/>
      <c r="K29" s="89"/>
      <c r="L29" s="89">
        <v>73</v>
      </c>
      <c r="M29" s="89">
        <v>0.1</v>
      </c>
      <c r="N29" s="89"/>
      <c r="O29" s="89"/>
      <c r="P29" s="89"/>
      <c r="Q29" s="89"/>
      <c r="R29" s="89">
        <v>0.47</v>
      </c>
      <c r="S29" s="89">
        <v>0.4</v>
      </c>
      <c r="T29" s="32">
        <f>'General Information'!$D$11</f>
        <v>540.47999999999979</v>
      </c>
      <c r="U29" s="32">
        <f>'General Information'!$D$12</f>
        <v>223.1699999999999</v>
      </c>
      <c r="V29" s="32">
        <f>'General Information'!$D$13</f>
        <v>59.950000000000024</v>
      </c>
      <c r="W29" s="32">
        <f>'General Information'!$D$14</f>
        <v>10.73</v>
      </c>
      <c r="X29" s="32">
        <f t="shared" si="3"/>
        <v>0</v>
      </c>
      <c r="Y29" s="32">
        <f t="shared" si="7"/>
        <v>0</v>
      </c>
      <c r="Z29" s="32">
        <f t="shared" si="7"/>
        <v>0</v>
      </c>
      <c r="AA29" s="32">
        <f t="shared" si="11"/>
        <v>0</v>
      </c>
      <c r="AB29" s="32">
        <f t="shared" si="9"/>
        <v>0</v>
      </c>
      <c r="AC29" s="33">
        <f t="shared" si="12"/>
        <v>0</v>
      </c>
    </row>
    <row r="30" spans="2:29" x14ac:dyDescent="0.25">
      <c r="B30" s="235">
        <v>28</v>
      </c>
      <c r="C30" s="95">
        <f>'Tulda 2019'!U40+'Tulda 2020'!U40+'Tulda 2021'!U40+'Tulda 2022'!U40+SOC!F37</f>
        <v>0</v>
      </c>
      <c r="D30" s="87">
        <f t="shared" si="0"/>
        <v>0</v>
      </c>
      <c r="E30" s="88">
        <f t="shared" si="1"/>
        <v>0</v>
      </c>
      <c r="G30" s="98">
        <v>27</v>
      </c>
      <c r="H30" s="29"/>
      <c r="I30" s="89"/>
      <c r="J30" s="89"/>
      <c r="K30" s="89"/>
      <c r="L30" s="89">
        <v>73</v>
      </c>
      <c r="M30" s="89">
        <v>0.1</v>
      </c>
      <c r="N30" s="89"/>
      <c r="O30" s="89"/>
      <c r="P30" s="89"/>
      <c r="Q30" s="89"/>
      <c r="R30" s="89">
        <v>0.47</v>
      </c>
      <c r="S30" s="89">
        <v>0.4</v>
      </c>
      <c r="T30" s="32">
        <f>'General Information'!$D$11</f>
        <v>540.47999999999979</v>
      </c>
      <c r="U30" s="32">
        <f>'General Information'!$D$12</f>
        <v>223.1699999999999</v>
      </c>
      <c r="V30" s="32">
        <f>'General Information'!$D$13</f>
        <v>59.950000000000024</v>
      </c>
      <c r="W30" s="32">
        <f>'General Information'!$D$14</f>
        <v>10.73</v>
      </c>
      <c r="X30" s="32">
        <f t="shared" si="3"/>
        <v>0</v>
      </c>
      <c r="Y30" s="32">
        <f t="shared" si="7"/>
        <v>0</v>
      </c>
      <c r="Z30" s="32">
        <f t="shared" si="7"/>
        <v>0</v>
      </c>
      <c r="AA30" s="32">
        <f t="shared" si="11"/>
        <v>0</v>
      </c>
      <c r="AB30" s="32">
        <f t="shared" si="9"/>
        <v>0</v>
      </c>
      <c r="AC30" s="33">
        <f t="shared" si="12"/>
        <v>0</v>
      </c>
    </row>
    <row r="31" spans="2:29" x14ac:dyDescent="0.25">
      <c r="B31" s="235">
        <v>29</v>
      </c>
      <c r="C31" s="95">
        <f>'Tulda 2019'!U41+'Tulda 2020'!U41+'Tulda 2021'!U41+'Tulda 2022'!U41+SOC!F38</f>
        <v>0</v>
      </c>
      <c r="D31" s="87">
        <f t="shared" si="0"/>
        <v>0</v>
      </c>
      <c r="E31" s="88">
        <f t="shared" si="1"/>
        <v>0</v>
      </c>
      <c r="G31" s="98">
        <v>28</v>
      </c>
      <c r="H31" s="29"/>
      <c r="I31" s="89"/>
      <c r="J31" s="89"/>
      <c r="K31" s="89"/>
      <c r="L31" s="89">
        <v>73</v>
      </c>
      <c r="M31" s="89">
        <v>0.1</v>
      </c>
      <c r="N31" s="89"/>
      <c r="O31" s="89"/>
      <c r="P31" s="89"/>
      <c r="Q31" s="89"/>
      <c r="R31" s="89">
        <v>0.47</v>
      </c>
      <c r="S31" s="89">
        <v>0.4</v>
      </c>
      <c r="T31" s="32">
        <f>'General Information'!$D$11</f>
        <v>540.47999999999979</v>
      </c>
      <c r="U31" s="32">
        <f>'General Information'!$D$12</f>
        <v>223.1699999999999</v>
      </c>
      <c r="V31" s="32">
        <f>'General Information'!$D$13</f>
        <v>59.950000000000024</v>
      </c>
      <c r="W31" s="32">
        <f>'General Information'!$D$14</f>
        <v>10.73</v>
      </c>
      <c r="X31" s="32">
        <f t="shared" si="3"/>
        <v>0</v>
      </c>
      <c r="Y31" s="32">
        <f t="shared" si="7"/>
        <v>0</v>
      </c>
      <c r="Z31" s="32">
        <f t="shared" si="7"/>
        <v>0</v>
      </c>
      <c r="AA31" s="32">
        <f t="shared" si="11"/>
        <v>0</v>
      </c>
      <c r="AB31" s="32">
        <f t="shared" si="9"/>
        <v>0</v>
      </c>
      <c r="AC31" s="33">
        <f t="shared" si="12"/>
        <v>0</v>
      </c>
    </row>
    <row r="32" spans="2:29" ht="15.75" thickBot="1" x14ac:dyDescent="0.3">
      <c r="B32" s="236">
        <v>30</v>
      </c>
      <c r="C32" s="238">
        <f>'Tulda 2019'!U42+'Tulda 2020'!U42+'Tulda 2021'!U42+'Tulda 2022'!U42+SOC!F39</f>
        <v>0</v>
      </c>
      <c r="D32" s="238">
        <f t="shared" si="0"/>
        <v>0</v>
      </c>
      <c r="E32" s="239">
        <f t="shared" si="1"/>
        <v>0</v>
      </c>
      <c r="G32" s="98">
        <v>29</v>
      </c>
      <c r="H32" s="29"/>
      <c r="I32" s="89"/>
      <c r="J32" s="89"/>
      <c r="K32" s="89"/>
      <c r="L32" s="89">
        <v>73</v>
      </c>
      <c r="M32" s="89">
        <v>0.1</v>
      </c>
      <c r="N32" s="89"/>
      <c r="O32" s="89"/>
      <c r="P32" s="89"/>
      <c r="Q32" s="89"/>
      <c r="R32" s="89">
        <v>0.47</v>
      </c>
      <c r="S32" s="89">
        <v>0.4</v>
      </c>
      <c r="T32" s="32">
        <f>'General Information'!$D$11</f>
        <v>540.47999999999979</v>
      </c>
      <c r="U32" s="32">
        <f>'General Information'!$D$12</f>
        <v>223.1699999999999</v>
      </c>
      <c r="V32" s="32">
        <f>'General Information'!$D$13</f>
        <v>59.950000000000024</v>
      </c>
      <c r="W32" s="32">
        <f>'General Information'!$D$14</f>
        <v>10.73</v>
      </c>
      <c r="X32" s="32">
        <f t="shared" si="3"/>
        <v>0</v>
      </c>
      <c r="Y32" s="32">
        <f t="shared" si="7"/>
        <v>0</v>
      </c>
      <c r="Z32" s="32">
        <f t="shared" si="7"/>
        <v>0</v>
      </c>
      <c r="AA32" s="32">
        <f t="shared" si="11"/>
        <v>0</v>
      </c>
      <c r="AB32" s="32">
        <f t="shared" si="9"/>
        <v>0</v>
      </c>
      <c r="AC32" s="33">
        <f t="shared" si="12"/>
        <v>0</v>
      </c>
    </row>
    <row r="33" spans="4:29" ht="15.75" thickBot="1" x14ac:dyDescent="0.3">
      <c r="G33" s="99">
        <v>30</v>
      </c>
      <c r="H33" s="30"/>
      <c r="I33" s="101"/>
      <c r="J33" s="101"/>
      <c r="K33" s="101"/>
      <c r="L33" s="101">
        <v>73</v>
      </c>
      <c r="M33" s="101">
        <v>0.1</v>
      </c>
      <c r="N33" s="101"/>
      <c r="O33" s="101"/>
      <c r="P33" s="101"/>
      <c r="Q33" s="101"/>
      <c r="R33" s="101">
        <v>0.47</v>
      </c>
      <c r="S33" s="101">
        <v>0.4</v>
      </c>
      <c r="T33" s="34">
        <f>'General Information'!$D$11</f>
        <v>540.47999999999979</v>
      </c>
      <c r="U33" s="34">
        <f>'General Information'!$D$12</f>
        <v>223.1699999999999</v>
      </c>
      <c r="V33" s="34">
        <f>'General Information'!$D$13</f>
        <v>59.950000000000024</v>
      </c>
      <c r="W33" s="34">
        <f>'General Information'!$D$14</f>
        <v>10.73</v>
      </c>
      <c r="X33" s="34">
        <f t="shared" si="3"/>
        <v>0</v>
      </c>
      <c r="Y33" s="34">
        <f t="shared" si="7"/>
        <v>0</v>
      </c>
      <c r="Z33" s="34">
        <f t="shared" si="7"/>
        <v>0</v>
      </c>
      <c r="AA33" s="34">
        <f t="shared" si="11"/>
        <v>0</v>
      </c>
      <c r="AB33" s="34">
        <f t="shared" si="9"/>
        <v>0</v>
      </c>
      <c r="AC33" s="35">
        <f t="shared" si="12"/>
        <v>0</v>
      </c>
    </row>
    <row r="35" spans="4:29" x14ac:dyDescent="0.25">
      <c r="D35"/>
      <c r="E35"/>
      <c r="F35"/>
      <c r="G35"/>
      <c r="H35"/>
      <c r="I35"/>
      <c r="J35"/>
      <c r="K35"/>
    </row>
    <row r="36" spans="4:29" x14ac:dyDescent="0.25">
      <c r="D36"/>
      <c r="E36"/>
      <c r="F36"/>
      <c r="G36"/>
      <c r="H36"/>
      <c r="I36"/>
      <c r="J36"/>
      <c r="K36"/>
    </row>
    <row r="37" spans="4:29" x14ac:dyDescent="0.25">
      <c r="D37"/>
      <c r="E37"/>
      <c r="F37"/>
      <c r="G37"/>
      <c r="H37"/>
      <c r="I37"/>
      <c r="J37"/>
      <c r="K37"/>
    </row>
    <row r="38" spans="4:29" x14ac:dyDescent="0.25">
      <c r="D38"/>
      <c r="E38"/>
      <c r="F38"/>
      <c r="G38"/>
      <c r="H38"/>
      <c r="I38"/>
      <c r="J38"/>
      <c r="K38"/>
    </row>
    <row r="39" spans="4:29" x14ac:dyDescent="0.25">
      <c r="D39"/>
      <c r="E39"/>
      <c r="F39"/>
      <c r="G39"/>
      <c r="H39"/>
      <c r="I39"/>
      <c r="J39"/>
      <c r="K39"/>
    </row>
    <row r="40" spans="4:29" x14ac:dyDescent="0.25">
      <c r="D40"/>
      <c r="E40"/>
      <c r="F40"/>
      <c r="G40"/>
      <c r="H40"/>
      <c r="I40"/>
      <c r="J40"/>
      <c r="K40"/>
    </row>
    <row r="41" spans="4:29" x14ac:dyDescent="0.25">
      <c r="D41"/>
      <c r="E41"/>
      <c r="F41"/>
      <c r="G41"/>
      <c r="H41"/>
      <c r="I41"/>
      <c r="J41"/>
      <c r="K41"/>
    </row>
    <row r="42" spans="4:29" x14ac:dyDescent="0.25">
      <c r="D42"/>
      <c r="E42"/>
      <c r="F42"/>
      <c r="G42"/>
      <c r="H42"/>
      <c r="I42"/>
      <c r="J42"/>
      <c r="K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EEB3-7B28-4CDD-9EB0-54085C1CBF7C}">
  <dimension ref="B1:E32"/>
  <sheetViews>
    <sheetView zoomScaleNormal="100" workbookViewId="0"/>
  </sheetViews>
  <sheetFormatPr defaultColWidth="10.140625" defaultRowHeight="15" x14ac:dyDescent="0.25"/>
  <cols>
    <col min="1" max="2" width="10.140625" style="7"/>
    <col min="3" max="3" width="18.7109375" style="7" customWidth="1"/>
    <col min="4" max="4" width="16.42578125" style="7" bestFit="1" customWidth="1"/>
    <col min="5" max="5" width="25.28515625" style="7" bestFit="1" customWidth="1"/>
    <col min="6" max="16384" width="10.140625" style="7"/>
  </cols>
  <sheetData>
    <row r="1" spans="2:5" ht="15.75" thickBot="1" x14ac:dyDescent="0.3"/>
    <row r="2" spans="2:5" ht="60.75" thickBot="1" x14ac:dyDescent="0.3">
      <c r="B2" s="162" t="s">
        <v>23</v>
      </c>
      <c r="C2" s="161" t="s">
        <v>150</v>
      </c>
      <c r="D2" s="159" t="s">
        <v>151</v>
      </c>
      <c r="E2" s="160" t="s">
        <v>149</v>
      </c>
    </row>
    <row r="3" spans="2:5" x14ac:dyDescent="0.25">
      <c r="B3" s="163">
        <f>Baseline!B3</f>
        <v>1</v>
      </c>
      <c r="C3" s="166">
        <f>Baseline!E3</f>
        <v>32614.790741351462</v>
      </c>
      <c r="D3" s="167">
        <v>0</v>
      </c>
      <c r="E3" s="168">
        <f>C3-D3</f>
        <v>32614.790741351462</v>
      </c>
    </row>
    <row r="4" spans="2:5" x14ac:dyDescent="0.25">
      <c r="B4" s="164">
        <f>Baseline!B4</f>
        <v>2</v>
      </c>
      <c r="C4" s="169">
        <f>Baseline!E4</f>
        <v>46073.02584238704</v>
      </c>
      <c r="D4" s="158">
        <v>0</v>
      </c>
      <c r="E4" s="170">
        <f t="shared" ref="E4:E32" si="0">C4-D4</f>
        <v>46073.02584238704</v>
      </c>
    </row>
    <row r="5" spans="2:5" x14ac:dyDescent="0.25">
      <c r="B5" s="164">
        <f>Baseline!B5</f>
        <v>3</v>
      </c>
      <c r="C5" s="169">
        <f>Baseline!E5</f>
        <v>49686.476211453453</v>
      </c>
      <c r="D5" s="158">
        <v>0</v>
      </c>
      <c r="E5" s="170">
        <f t="shared" si="0"/>
        <v>49686.476211453453</v>
      </c>
    </row>
    <row r="6" spans="2:5" x14ac:dyDescent="0.25">
      <c r="B6" s="164">
        <f>Baseline!B6</f>
        <v>4</v>
      </c>
      <c r="C6" s="169">
        <f>Baseline!E6</f>
        <v>50332.161835166007</v>
      </c>
      <c r="D6" s="158">
        <v>0</v>
      </c>
      <c r="E6" s="170">
        <f t="shared" si="0"/>
        <v>50332.161835166007</v>
      </c>
    </row>
    <row r="7" spans="2:5" x14ac:dyDescent="0.25">
      <c r="B7" s="164">
        <f>Baseline!B7</f>
        <v>5</v>
      </c>
      <c r="C7" s="169">
        <f>Baseline!E7</f>
        <v>50332.161835166007</v>
      </c>
      <c r="D7" s="158">
        <v>0</v>
      </c>
      <c r="E7" s="170">
        <f t="shared" si="0"/>
        <v>50332.161835166007</v>
      </c>
    </row>
    <row r="8" spans="2:5" x14ac:dyDescent="0.25">
      <c r="B8" s="164">
        <f>Baseline!B8</f>
        <v>6</v>
      </c>
      <c r="C8" s="169">
        <f>Baseline!E8</f>
        <v>43905.855750953844</v>
      </c>
      <c r="D8" s="158">
        <v>0</v>
      </c>
      <c r="E8" s="170">
        <f t="shared" si="0"/>
        <v>43905.855750953844</v>
      </c>
    </row>
    <row r="9" spans="2:5" x14ac:dyDescent="0.25">
      <c r="B9" s="164">
        <f>Baseline!B9</f>
        <v>7</v>
      </c>
      <c r="C9" s="169">
        <f>Baseline!E9</f>
        <v>15547.140574825982</v>
      </c>
      <c r="D9" s="158">
        <v>0</v>
      </c>
      <c r="E9" s="170">
        <f t="shared" si="0"/>
        <v>15547.140574825982</v>
      </c>
    </row>
    <row r="10" spans="2:5" x14ac:dyDescent="0.25">
      <c r="B10" s="164">
        <f>Baseline!B10</f>
        <v>8</v>
      </c>
      <c r="C10" s="169">
        <f>Baseline!E10</f>
        <v>4220.371841472238</v>
      </c>
      <c r="D10" s="158">
        <v>0</v>
      </c>
      <c r="E10" s="170">
        <f t="shared" si="0"/>
        <v>4220.371841472238</v>
      </c>
    </row>
    <row r="11" spans="2:5" x14ac:dyDescent="0.25">
      <c r="B11" s="164">
        <f>Baseline!B11</f>
        <v>9</v>
      </c>
      <c r="C11" s="169">
        <f>Baseline!E11</f>
        <v>1241.5706586760684</v>
      </c>
      <c r="D11" s="158">
        <v>0</v>
      </c>
      <c r="E11" s="170">
        <f t="shared" si="0"/>
        <v>1241.5706586760684</v>
      </c>
    </row>
    <row r="12" spans="2:5" x14ac:dyDescent="0.25">
      <c r="B12" s="164">
        <f>Baseline!B12</f>
        <v>10</v>
      </c>
      <c r="C12" s="169">
        <f>Baseline!E12</f>
        <v>731.25194728177803</v>
      </c>
      <c r="D12" s="158">
        <v>0</v>
      </c>
      <c r="E12" s="170">
        <f t="shared" si="0"/>
        <v>731.25194728177803</v>
      </c>
    </row>
    <row r="13" spans="2:5" x14ac:dyDescent="0.25">
      <c r="B13" s="164">
        <f>Baseline!B13</f>
        <v>11</v>
      </c>
      <c r="C13" s="169">
        <f>Baseline!E13</f>
        <v>731.25194728177803</v>
      </c>
      <c r="D13" s="158">
        <v>0</v>
      </c>
      <c r="E13" s="170">
        <f t="shared" si="0"/>
        <v>731.25194728177803</v>
      </c>
    </row>
    <row r="14" spans="2:5" x14ac:dyDescent="0.25">
      <c r="B14" s="164">
        <f>Baseline!B14</f>
        <v>12</v>
      </c>
      <c r="C14" s="169">
        <f>Baseline!E14</f>
        <v>731.25194728177803</v>
      </c>
      <c r="D14" s="158">
        <v>0</v>
      </c>
      <c r="E14" s="170">
        <f t="shared" si="0"/>
        <v>731.25194728177803</v>
      </c>
    </row>
    <row r="15" spans="2:5" x14ac:dyDescent="0.25">
      <c r="B15" s="164">
        <f>Baseline!B15</f>
        <v>13</v>
      </c>
      <c r="C15" s="169">
        <f>Baseline!E15</f>
        <v>731.25194728177803</v>
      </c>
      <c r="D15" s="158">
        <v>0</v>
      </c>
      <c r="E15" s="170">
        <f t="shared" si="0"/>
        <v>731.25194728177803</v>
      </c>
    </row>
    <row r="16" spans="2:5" x14ac:dyDescent="0.25">
      <c r="B16" s="164">
        <f>Baseline!B16</f>
        <v>14</v>
      </c>
      <c r="C16" s="169">
        <f>Baseline!E16</f>
        <v>731.25194728177803</v>
      </c>
      <c r="D16" s="158">
        <v>0</v>
      </c>
      <c r="E16" s="170">
        <f t="shared" si="0"/>
        <v>731.25194728177803</v>
      </c>
    </row>
    <row r="17" spans="2:5" x14ac:dyDescent="0.25">
      <c r="B17" s="164">
        <f>Baseline!B17</f>
        <v>15</v>
      </c>
      <c r="C17" s="169">
        <f>Baseline!E17</f>
        <v>731.25194728177803</v>
      </c>
      <c r="D17" s="158">
        <v>0</v>
      </c>
      <c r="E17" s="170">
        <f t="shared" si="0"/>
        <v>731.25194728177803</v>
      </c>
    </row>
    <row r="18" spans="2:5" x14ac:dyDescent="0.25">
      <c r="B18" s="164">
        <f>Baseline!B18</f>
        <v>16</v>
      </c>
      <c r="C18" s="169">
        <f>Baseline!E18</f>
        <v>731.25194728177803</v>
      </c>
      <c r="D18" s="158">
        <v>0</v>
      </c>
      <c r="E18" s="170">
        <f t="shared" si="0"/>
        <v>731.25194728177803</v>
      </c>
    </row>
    <row r="19" spans="2:5" x14ac:dyDescent="0.25">
      <c r="B19" s="164">
        <f>Baseline!B19</f>
        <v>17</v>
      </c>
      <c r="C19" s="169">
        <f>Baseline!E19</f>
        <v>731.25194728177803</v>
      </c>
      <c r="D19" s="158">
        <v>0</v>
      </c>
      <c r="E19" s="170">
        <f t="shared" si="0"/>
        <v>731.25194728177803</v>
      </c>
    </row>
    <row r="20" spans="2:5" x14ac:dyDescent="0.25">
      <c r="B20" s="164">
        <f>Baseline!B20</f>
        <v>18</v>
      </c>
      <c r="C20" s="169">
        <f>Baseline!E20</f>
        <v>731.25194728177803</v>
      </c>
      <c r="D20" s="158">
        <v>0</v>
      </c>
      <c r="E20" s="170">
        <f t="shared" si="0"/>
        <v>731.25194728177803</v>
      </c>
    </row>
    <row r="21" spans="2:5" x14ac:dyDescent="0.25">
      <c r="B21" s="164">
        <f>Baseline!B21</f>
        <v>19</v>
      </c>
      <c r="C21" s="169">
        <f>Baseline!E21</f>
        <v>731.25194728177803</v>
      </c>
      <c r="D21" s="158">
        <v>0</v>
      </c>
      <c r="E21" s="170">
        <f t="shared" si="0"/>
        <v>731.25194728177803</v>
      </c>
    </row>
    <row r="22" spans="2:5" x14ac:dyDescent="0.25">
      <c r="B22" s="164">
        <f>Baseline!B22</f>
        <v>20</v>
      </c>
      <c r="C22" s="169">
        <f>Baseline!E22</f>
        <v>731.25194728177803</v>
      </c>
      <c r="D22" s="158">
        <v>0</v>
      </c>
      <c r="E22" s="170">
        <f t="shared" si="0"/>
        <v>731.25194728177803</v>
      </c>
    </row>
    <row r="23" spans="2:5" x14ac:dyDescent="0.25">
      <c r="B23" s="164">
        <f>Baseline!B23</f>
        <v>21</v>
      </c>
      <c r="C23" s="169">
        <f>Baseline!E23</f>
        <v>247.9916269911198</v>
      </c>
      <c r="D23" s="158">
        <v>0</v>
      </c>
      <c r="E23" s="170">
        <f t="shared" si="0"/>
        <v>247.9916269911198</v>
      </c>
    </row>
    <row r="24" spans="2:5" x14ac:dyDescent="0.25">
      <c r="B24" s="164">
        <f>Baseline!B24</f>
        <v>22</v>
      </c>
      <c r="C24" s="169">
        <f>Baseline!E24</f>
        <v>57.210722351593773</v>
      </c>
      <c r="D24" s="158">
        <v>0</v>
      </c>
      <c r="E24" s="170">
        <f t="shared" si="0"/>
        <v>57.210722351593773</v>
      </c>
    </row>
    <row r="25" spans="2:5" x14ac:dyDescent="0.25">
      <c r="B25" s="164">
        <f>Baseline!B25</f>
        <v>23</v>
      </c>
      <c r="C25" s="169">
        <f>Baseline!E25</f>
        <v>7.7872344696578537</v>
      </c>
      <c r="D25" s="158">
        <v>0</v>
      </c>
      <c r="E25" s="170">
        <f t="shared" si="0"/>
        <v>7.7872344696578537</v>
      </c>
    </row>
    <row r="26" spans="2:5" x14ac:dyDescent="0.25">
      <c r="B26" s="164">
        <f>Baseline!B26</f>
        <v>24</v>
      </c>
      <c r="C26" s="169">
        <f>Baseline!E26</f>
        <v>0</v>
      </c>
      <c r="D26" s="158">
        <v>0</v>
      </c>
      <c r="E26" s="170">
        <f t="shared" si="0"/>
        <v>0</v>
      </c>
    </row>
    <row r="27" spans="2:5" x14ac:dyDescent="0.25">
      <c r="B27" s="164">
        <f>Baseline!B27</f>
        <v>25</v>
      </c>
      <c r="C27" s="169">
        <f>Baseline!E27</f>
        <v>0</v>
      </c>
      <c r="D27" s="158">
        <v>0</v>
      </c>
      <c r="E27" s="170">
        <f t="shared" si="0"/>
        <v>0</v>
      </c>
    </row>
    <row r="28" spans="2:5" x14ac:dyDescent="0.25">
      <c r="B28" s="164">
        <f>Baseline!B28</f>
        <v>26</v>
      </c>
      <c r="C28" s="169">
        <f>Baseline!E28</f>
        <v>0</v>
      </c>
      <c r="D28" s="158">
        <v>0</v>
      </c>
      <c r="E28" s="170">
        <f t="shared" si="0"/>
        <v>0</v>
      </c>
    </row>
    <row r="29" spans="2:5" x14ac:dyDescent="0.25">
      <c r="B29" s="164">
        <f>Baseline!B29</f>
        <v>27</v>
      </c>
      <c r="C29" s="169">
        <f>Baseline!E29</f>
        <v>0</v>
      </c>
      <c r="D29" s="158">
        <v>0</v>
      </c>
      <c r="E29" s="170">
        <f t="shared" si="0"/>
        <v>0</v>
      </c>
    </row>
    <row r="30" spans="2:5" x14ac:dyDescent="0.25">
      <c r="B30" s="164">
        <f>Baseline!B30</f>
        <v>28</v>
      </c>
      <c r="C30" s="169">
        <f>Baseline!E30</f>
        <v>0</v>
      </c>
      <c r="D30" s="158">
        <v>0</v>
      </c>
      <c r="E30" s="170">
        <f t="shared" si="0"/>
        <v>0</v>
      </c>
    </row>
    <row r="31" spans="2:5" x14ac:dyDescent="0.25">
      <c r="B31" s="164">
        <f>Baseline!B31</f>
        <v>29</v>
      </c>
      <c r="C31" s="169">
        <f>Baseline!E31</f>
        <v>0</v>
      </c>
      <c r="D31" s="158">
        <v>0</v>
      </c>
      <c r="E31" s="170">
        <f t="shared" si="0"/>
        <v>0</v>
      </c>
    </row>
    <row r="32" spans="2:5" ht="15.75" thickBot="1" x14ac:dyDescent="0.3">
      <c r="B32" s="165">
        <f>Baseline!B32</f>
        <v>30</v>
      </c>
      <c r="C32" s="171">
        <f>Baseline!E32</f>
        <v>0</v>
      </c>
      <c r="D32" s="172">
        <v>0</v>
      </c>
      <c r="E32" s="173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6C3C-8E80-477B-B8B1-40487FCAA16F}">
  <dimension ref="B1:K32"/>
  <sheetViews>
    <sheetView workbookViewId="0"/>
  </sheetViews>
  <sheetFormatPr defaultColWidth="9.140625" defaultRowHeight="15" x14ac:dyDescent="0.25"/>
  <cols>
    <col min="1" max="2" width="9.140625" style="7"/>
    <col min="3" max="3" width="21.7109375" style="7" customWidth="1"/>
    <col min="4" max="4" width="14" style="7" bestFit="1" customWidth="1"/>
    <col min="5" max="5" width="17" style="7" bestFit="1" customWidth="1"/>
    <col min="6" max="9" width="9.140625" style="7"/>
    <col min="10" max="10" width="12.42578125" style="7" bestFit="1" customWidth="1"/>
    <col min="11" max="16384" width="9.140625" style="7"/>
  </cols>
  <sheetData>
    <row r="1" spans="2:11" ht="15.75" thickBot="1" x14ac:dyDescent="0.3"/>
    <row r="2" spans="2:11" s="1" customFormat="1" ht="46.5" thickBot="1" x14ac:dyDescent="0.3">
      <c r="B2" s="162" t="s">
        <v>23</v>
      </c>
      <c r="C2" s="161" t="s">
        <v>152</v>
      </c>
      <c r="D2" s="159" t="s">
        <v>153</v>
      </c>
      <c r="E2" s="160" t="s">
        <v>154</v>
      </c>
      <c r="H2" s="299" t="s">
        <v>72</v>
      </c>
      <c r="I2" s="300">
        <v>0.19</v>
      </c>
    </row>
    <row r="3" spans="2:11" x14ac:dyDescent="0.25">
      <c r="B3" s="163">
        <f>Baseline!B3</f>
        <v>1</v>
      </c>
      <c r="C3" s="166">
        <f>Leakage!E3</f>
        <v>32614.790741351462</v>
      </c>
      <c r="D3" s="176">
        <f t="shared" ref="D3:D32" si="0">C3*$I$2</f>
        <v>6196.8102408567775</v>
      </c>
      <c r="E3" s="168">
        <f>C3-D3</f>
        <v>26417.980500494683</v>
      </c>
    </row>
    <row r="4" spans="2:11" x14ac:dyDescent="0.25">
      <c r="B4" s="164">
        <f>Baseline!B4</f>
        <v>2</v>
      </c>
      <c r="C4" s="177">
        <f>Leakage!E4</f>
        <v>46073.02584238704</v>
      </c>
      <c r="D4" s="17">
        <f t="shared" si="0"/>
        <v>8753.874910053537</v>
      </c>
      <c r="E4" s="178">
        <f t="shared" ref="E4:E32" si="1">C4-D4</f>
        <v>37319.150932333505</v>
      </c>
      <c r="K4" s="174"/>
    </row>
    <row r="5" spans="2:11" x14ac:dyDescent="0.25">
      <c r="B5" s="164">
        <f>Baseline!B5</f>
        <v>3</v>
      </c>
      <c r="C5" s="177">
        <f>Leakage!E5</f>
        <v>49686.476211453453</v>
      </c>
      <c r="D5" s="17">
        <f t="shared" si="0"/>
        <v>9440.4304801761555</v>
      </c>
      <c r="E5" s="178">
        <f t="shared" si="1"/>
        <v>40246.0457312773</v>
      </c>
    </row>
    <row r="6" spans="2:11" x14ac:dyDescent="0.25">
      <c r="B6" s="164">
        <f>Baseline!B6</f>
        <v>4</v>
      </c>
      <c r="C6" s="177">
        <f>Leakage!E6</f>
        <v>50332.161835166007</v>
      </c>
      <c r="D6" s="17">
        <f t="shared" si="0"/>
        <v>9563.1107486815417</v>
      </c>
      <c r="E6" s="178">
        <f t="shared" si="1"/>
        <v>40769.051086484469</v>
      </c>
    </row>
    <row r="7" spans="2:11" x14ac:dyDescent="0.25">
      <c r="B7" s="164">
        <f>Baseline!B7</f>
        <v>5</v>
      </c>
      <c r="C7" s="177">
        <f>Leakage!E7</f>
        <v>50332.161835166007</v>
      </c>
      <c r="D7" s="17">
        <f t="shared" si="0"/>
        <v>9563.1107486815417</v>
      </c>
      <c r="E7" s="178">
        <f t="shared" si="1"/>
        <v>40769.051086484469</v>
      </c>
    </row>
    <row r="8" spans="2:11" x14ac:dyDescent="0.25">
      <c r="B8" s="164">
        <f>Baseline!B8</f>
        <v>6</v>
      </c>
      <c r="C8" s="177">
        <f>Leakage!E8</f>
        <v>43905.855750953844</v>
      </c>
      <c r="D8" s="17">
        <f t="shared" si="0"/>
        <v>8342.112592681231</v>
      </c>
      <c r="E8" s="178">
        <f t="shared" si="1"/>
        <v>35563.743158272613</v>
      </c>
    </row>
    <row r="9" spans="2:11" x14ac:dyDescent="0.25">
      <c r="B9" s="164">
        <f>Baseline!B9</f>
        <v>7</v>
      </c>
      <c r="C9" s="177">
        <f>Leakage!E9</f>
        <v>15547.140574825982</v>
      </c>
      <c r="D9" s="17">
        <f t="shared" si="0"/>
        <v>2953.9567092169368</v>
      </c>
      <c r="E9" s="178">
        <f t="shared" si="1"/>
        <v>12593.183865609046</v>
      </c>
    </row>
    <row r="10" spans="2:11" x14ac:dyDescent="0.25">
      <c r="B10" s="164">
        <f>Baseline!B10</f>
        <v>8</v>
      </c>
      <c r="C10" s="177">
        <f>Leakage!E10</f>
        <v>4220.371841472238</v>
      </c>
      <c r="D10" s="17">
        <f t="shared" si="0"/>
        <v>801.87064987972519</v>
      </c>
      <c r="E10" s="178">
        <f t="shared" si="1"/>
        <v>3418.5011915925129</v>
      </c>
    </row>
    <row r="11" spans="2:11" x14ac:dyDescent="0.25">
      <c r="B11" s="164">
        <f>Baseline!B11</f>
        <v>9</v>
      </c>
      <c r="C11" s="177">
        <f>Leakage!E11</f>
        <v>1241.5706586760684</v>
      </c>
      <c r="D11" s="17">
        <f t="shared" si="0"/>
        <v>235.89842514845301</v>
      </c>
      <c r="E11" s="178">
        <f t="shared" si="1"/>
        <v>1005.6722335276154</v>
      </c>
    </row>
    <row r="12" spans="2:11" x14ac:dyDescent="0.25">
      <c r="B12" s="164">
        <f>Baseline!B12</f>
        <v>10</v>
      </c>
      <c r="C12" s="177">
        <f>Leakage!E12</f>
        <v>731.25194728177803</v>
      </c>
      <c r="D12" s="17">
        <f t="shared" si="0"/>
        <v>138.93786998353784</v>
      </c>
      <c r="E12" s="178">
        <f t="shared" si="1"/>
        <v>592.31407729824014</v>
      </c>
    </row>
    <row r="13" spans="2:11" x14ac:dyDescent="0.25">
      <c r="B13" s="164">
        <f>Baseline!B13</f>
        <v>11</v>
      </c>
      <c r="C13" s="177">
        <f>Leakage!E13</f>
        <v>731.25194728177803</v>
      </c>
      <c r="D13" s="17">
        <f t="shared" si="0"/>
        <v>138.93786998353784</v>
      </c>
      <c r="E13" s="178">
        <f t="shared" si="1"/>
        <v>592.31407729824014</v>
      </c>
    </row>
    <row r="14" spans="2:11" x14ac:dyDescent="0.25">
      <c r="B14" s="164">
        <f>Baseline!B14</f>
        <v>12</v>
      </c>
      <c r="C14" s="177">
        <f>Leakage!E14</f>
        <v>731.25194728177803</v>
      </c>
      <c r="D14" s="17">
        <f t="shared" si="0"/>
        <v>138.93786998353784</v>
      </c>
      <c r="E14" s="178">
        <f t="shared" si="1"/>
        <v>592.31407729824014</v>
      </c>
    </row>
    <row r="15" spans="2:11" x14ac:dyDescent="0.25">
      <c r="B15" s="164">
        <f>Baseline!B15</f>
        <v>13</v>
      </c>
      <c r="C15" s="177">
        <f>Leakage!E15</f>
        <v>731.25194728177803</v>
      </c>
      <c r="D15" s="17">
        <f t="shared" si="0"/>
        <v>138.93786998353784</v>
      </c>
      <c r="E15" s="178">
        <f t="shared" si="1"/>
        <v>592.31407729824014</v>
      </c>
    </row>
    <row r="16" spans="2:11" x14ac:dyDescent="0.25">
      <c r="B16" s="164">
        <f>Baseline!B16</f>
        <v>14</v>
      </c>
      <c r="C16" s="177">
        <f>Leakage!E16</f>
        <v>731.25194728177803</v>
      </c>
      <c r="D16" s="17">
        <f t="shared" si="0"/>
        <v>138.93786998353784</v>
      </c>
      <c r="E16" s="178">
        <f t="shared" si="1"/>
        <v>592.31407729824014</v>
      </c>
    </row>
    <row r="17" spans="2:5" x14ac:dyDescent="0.25">
      <c r="B17" s="164">
        <f>Baseline!B17</f>
        <v>15</v>
      </c>
      <c r="C17" s="177">
        <f>Leakage!E17</f>
        <v>731.25194728177803</v>
      </c>
      <c r="D17" s="17">
        <f t="shared" si="0"/>
        <v>138.93786998353784</v>
      </c>
      <c r="E17" s="178">
        <f t="shared" si="1"/>
        <v>592.31407729824014</v>
      </c>
    </row>
    <row r="18" spans="2:5" x14ac:dyDescent="0.25">
      <c r="B18" s="164">
        <f>Baseline!B18</f>
        <v>16</v>
      </c>
      <c r="C18" s="177">
        <f>Leakage!E18</f>
        <v>731.25194728177803</v>
      </c>
      <c r="D18" s="17">
        <f t="shared" si="0"/>
        <v>138.93786998353784</v>
      </c>
      <c r="E18" s="178">
        <f t="shared" si="1"/>
        <v>592.31407729824014</v>
      </c>
    </row>
    <row r="19" spans="2:5" x14ac:dyDescent="0.25">
      <c r="B19" s="164">
        <f>Baseline!B19</f>
        <v>17</v>
      </c>
      <c r="C19" s="177">
        <f>Leakage!E19</f>
        <v>731.25194728177803</v>
      </c>
      <c r="D19" s="17">
        <f t="shared" si="0"/>
        <v>138.93786998353784</v>
      </c>
      <c r="E19" s="178">
        <f t="shared" si="1"/>
        <v>592.31407729824014</v>
      </c>
    </row>
    <row r="20" spans="2:5" x14ac:dyDescent="0.25">
      <c r="B20" s="164">
        <f>Baseline!B20</f>
        <v>18</v>
      </c>
      <c r="C20" s="177">
        <f>Leakage!E20</f>
        <v>731.25194728177803</v>
      </c>
      <c r="D20" s="17">
        <f t="shared" si="0"/>
        <v>138.93786998353784</v>
      </c>
      <c r="E20" s="178">
        <f t="shared" si="1"/>
        <v>592.31407729824014</v>
      </c>
    </row>
    <row r="21" spans="2:5" x14ac:dyDescent="0.25">
      <c r="B21" s="164">
        <f>Baseline!B21</f>
        <v>19</v>
      </c>
      <c r="C21" s="177">
        <f>Leakage!E21</f>
        <v>731.25194728177803</v>
      </c>
      <c r="D21" s="17">
        <f t="shared" si="0"/>
        <v>138.93786998353784</v>
      </c>
      <c r="E21" s="178">
        <f t="shared" si="1"/>
        <v>592.31407729824014</v>
      </c>
    </row>
    <row r="22" spans="2:5" x14ac:dyDescent="0.25">
      <c r="B22" s="164">
        <f>Baseline!B22</f>
        <v>20</v>
      </c>
      <c r="C22" s="177">
        <f>Leakage!E22</f>
        <v>731.25194728177803</v>
      </c>
      <c r="D22" s="17">
        <f t="shared" si="0"/>
        <v>138.93786998353784</v>
      </c>
      <c r="E22" s="178">
        <f t="shared" si="1"/>
        <v>592.31407729824014</v>
      </c>
    </row>
    <row r="23" spans="2:5" x14ac:dyDescent="0.25">
      <c r="B23" s="164">
        <f>Baseline!B23</f>
        <v>21</v>
      </c>
      <c r="C23" s="177">
        <f>Leakage!E23</f>
        <v>247.9916269911198</v>
      </c>
      <c r="D23" s="17">
        <f t="shared" si="0"/>
        <v>47.118409128312763</v>
      </c>
      <c r="E23" s="178">
        <f t="shared" si="1"/>
        <v>200.87321786280705</v>
      </c>
    </row>
    <row r="24" spans="2:5" x14ac:dyDescent="0.25">
      <c r="B24" s="164">
        <f>Baseline!B24</f>
        <v>22</v>
      </c>
      <c r="C24" s="177">
        <f>Leakage!E24</f>
        <v>57.210722351593773</v>
      </c>
      <c r="D24" s="17">
        <f t="shared" si="0"/>
        <v>10.870037246802816</v>
      </c>
      <c r="E24" s="178">
        <f t="shared" si="1"/>
        <v>46.340685104790957</v>
      </c>
    </row>
    <row r="25" spans="2:5" x14ac:dyDescent="0.25">
      <c r="B25" s="164">
        <f>Baseline!B25</f>
        <v>23</v>
      </c>
      <c r="C25" s="177">
        <f>Leakage!E25</f>
        <v>7.7872344696578537</v>
      </c>
      <c r="D25" s="17">
        <f t="shared" si="0"/>
        <v>1.4795745492349923</v>
      </c>
      <c r="E25" s="178">
        <f t="shared" si="1"/>
        <v>6.3076599204228616</v>
      </c>
    </row>
    <row r="26" spans="2:5" x14ac:dyDescent="0.25">
      <c r="B26" s="164">
        <f>Baseline!B26</f>
        <v>24</v>
      </c>
      <c r="C26" s="177">
        <f>Leakage!E26</f>
        <v>0</v>
      </c>
      <c r="D26" s="17">
        <f t="shared" si="0"/>
        <v>0</v>
      </c>
      <c r="E26" s="178">
        <f t="shared" si="1"/>
        <v>0</v>
      </c>
    </row>
    <row r="27" spans="2:5" x14ac:dyDescent="0.25">
      <c r="B27" s="164">
        <f>Baseline!B27</f>
        <v>25</v>
      </c>
      <c r="C27" s="177">
        <f>Leakage!E27</f>
        <v>0</v>
      </c>
      <c r="D27" s="17">
        <f t="shared" si="0"/>
        <v>0</v>
      </c>
      <c r="E27" s="178">
        <f t="shared" si="1"/>
        <v>0</v>
      </c>
    </row>
    <row r="28" spans="2:5" x14ac:dyDescent="0.25">
      <c r="B28" s="164">
        <f>Baseline!B28</f>
        <v>26</v>
      </c>
      <c r="C28" s="177">
        <f>Leakage!E28</f>
        <v>0</v>
      </c>
      <c r="D28" s="17">
        <f t="shared" si="0"/>
        <v>0</v>
      </c>
      <c r="E28" s="178">
        <f t="shared" si="1"/>
        <v>0</v>
      </c>
    </row>
    <row r="29" spans="2:5" x14ac:dyDescent="0.25">
      <c r="B29" s="164">
        <f>Baseline!B29</f>
        <v>27</v>
      </c>
      <c r="C29" s="177">
        <f>Leakage!E29</f>
        <v>0</v>
      </c>
      <c r="D29" s="17">
        <f t="shared" si="0"/>
        <v>0</v>
      </c>
      <c r="E29" s="178">
        <f t="shared" si="1"/>
        <v>0</v>
      </c>
    </row>
    <row r="30" spans="2:5" x14ac:dyDescent="0.25">
      <c r="B30" s="164">
        <f>Baseline!B30</f>
        <v>28</v>
      </c>
      <c r="C30" s="177">
        <f>Leakage!E30</f>
        <v>0</v>
      </c>
      <c r="D30" s="17">
        <f t="shared" si="0"/>
        <v>0</v>
      </c>
      <c r="E30" s="178">
        <f t="shared" si="1"/>
        <v>0</v>
      </c>
    </row>
    <row r="31" spans="2:5" x14ac:dyDescent="0.25">
      <c r="B31" s="164">
        <f>Baseline!B31</f>
        <v>29</v>
      </c>
      <c r="C31" s="177">
        <f>Leakage!E31</f>
        <v>0</v>
      </c>
      <c r="D31" s="17">
        <f t="shared" si="0"/>
        <v>0</v>
      </c>
      <c r="E31" s="178">
        <f t="shared" si="1"/>
        <v>0</v>
      </c>
    </row>
    <row r="32" spans="2:5" ht="15.75" thickBot="1" x14ac:dyDescent="0.3">
      <c r="B32" s="165">
        <f>Baseline!B32</f>
        <v>30</v>
      </c>
      <c r="C32" s="179">
        <f>Leakage!E32</f>
        <v>0</v>
      </c>
      <c r="D32" s="175">
        <f t="shared" si="0"/>
        <v>0</v>
      </c>
      <c r="E32" s="180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General Information</vt:lpstr>
      <vt:lpstr>Tulda 2019</vt:lpstr>
      <vt:lpstr>Tulda 2020</vt:lpstr>
      <vt:lpstr>Tulda 2021</vt:lpstr>
      <vt:lpstr>Tulda 2022</vt:lpstr>
      <vt:lpstr>SOC</vt:lpstr>
      <vt:lpstr>Baseline</vt:lpstr>
      <vt:lpstr>Leakage</vt:lpstr>
      <vt:lpstr>NPR</vt:lpstr>
      <vt:lpstr>Summary</vt:lpstr>
      <vt:lpstr>LTA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Rajat Singh</dc:creator>
  <cp:keywords/>
  <dc:description/>
  <cp:lastModifiedBy>Himanshu</cp:lastModifiedBy>
  <cp:revision/>
  <dcterms:created xsi:type="dcterms:W3CDTF">2015-06-05T18:17:20Z</dcterms:created>
  <dcterms:modified xsi:type="dcterms:W3CDTF">2025-11-19T06:19:05Z</dcterms:modified>
  <cp:category/>
  <cp:contentStatus/>
</cp:coreProperties>
</file>