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E:\3144&amp;3168 孟加拉ICS\on hold 回复\202050605收到Verra 二轮回复\"/>
    </mc:Choice>
  </mc:AlternateContent>
  <xr:revisionPtr revIDLastSave="0" documentId="13_ncr:1_{A57DF587-E6A0-4FAE-83D7-298580872305}" xr6:coauthVersionLast="47" xr6:coauthVersionMax="47" xr10:uidLastSave="{00000000-0000-0000-0000-000000000000}"/>
  <bookViews>
    <workbookView xWindow="-110" yWindow="-110" windowWidth="19420" windowHeight="110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1" i="1" l="1"/>
  <c r="G82" i="1"/>
  <c r="G83" i="1"/>
  <c r="C16" i="1"/>
  <c r="E38" i="1" s="1"/>
  <c r="E39" i="1" l="1"/>
  <c r="E40" i="1" s="1"/>
  <c r="E50" i="1"/>
  <c r="K74" i="1"/>
  <c r="L74" i="1" s="1"/>
  <c r="E41" i="1" l="1"/>
  <c r="E42" i="1" s="1"/>
  <c r="E43" i="1" s="1"/>
  <c r="C23" i="1"/>
  <c r="D35" i="1" s="1"/>
  <c r="D47" i="1" l="1"/>
  <c r="F38" i="1"/>
  <c r="C12" i="1"/>
  <c r="D59" i="1" l="1"/>
  <c r="F50" i="1"/>
  <c r="F64" i="1" s="1"/>
  <c r="C26" i="1"/>
  <c r="C27" i="1"/>
  <c r="C28" i="1"/>
  <c r="D40" i="1" s="1"/>
  <c r="C29" i="1"/>
  <c r="C35" i="1"/>
  <c r="C36" i="1" s="1"/>
  <c r="C24" i="1"/>
  <c r="C25" i="1"/>
  <c r="F81" i="1" l="1"/>
  <c r="D76" i="1"/>
  <c r="C47" i="1"/>
  <c r="E61" i="1" s="1"/>
  <c r="C56" i="1"/>
  <c r="D39" i="1"/>
  <c r="D36" i="1"/>
  <c r="D38" i="1"/>
  <c r="D37" i="1"/>
  <c r="E78" i="1" l="1"/>
  <c r="C73" i="1"/>
  <c r="G56" i="1"/>
  <c r="F41" i="1"/>
  <c r="D50" i="1"/>
  <c r="F40" i="1"/>
  <c r="D61" i="1" s="1"/>
  <c r="D49" i="1"/>
  <c r="F39" i="1"/>
  <c r="D60" i="1" s="1"/>
  <c r="D78" i="1" s="1"/>
  <c r="D48" i="1"/>
  <c r="C57" i="1"/>
  <c r="C48" i="1"/>
  <c r="C37" i="1"/>
  <c r="D51" i="1"/>
  <c r="C74" i="1" l="1"/>
  <c r="G73" i="1"/>
  <c r="D77" i="1"/>
  <c r="G57" i="1"/>
  <c r="G74" i="1"/>
  <c r="F51" i="1"/>
  <c r="E62" i="1"/>
  <c r="C49" i="1"/>
  <c r="E63" i="1" s="1"/>
  <c r="C38" i="1"/>
  <c r="C58" i="1"/>
  <c r="F42" i="1"/>
  <c r="D62" i="1"/>
  <c r="E80" i="1" l="1"/>
  <c r="D79" i="1"/>
  <c r="C75" i="1"/>
  <c r="G75" i="1" s="1"/>
  <c r="E79" i="1"/>
  <c r="G62" i="1"/>
  <c r="G58" i="1"/>
  <c r="F43" i="1"/>
  <c r="D64" i="1" s="1"/>
  <c r="D82" i="1" s="1"/>
  <c r="D63" i="1"/>
  <c r="C50" i="1"/>
  <c r="E64" i="1" s="1"/>
  <c r="E81" i="1" s="1"/>
  <c r="C39" i="1"/>
  <c r="C59" i="1"/>
  <c r="D81" i="1" l="1"/>
  <c r="C76" i="1"/>
  <c r="G76" i="1" s="1"/>
  <c r="D80" i="1"/>
  <c r="G80" i="1" s="1"/>
  <c r="G63" i="1"/>
  <c r="G64" i="1"/>
  <c r="G59" i="1"/>
  <c r="C51" i="1"/>
  <c r="E65" i="1" s="1"/>
  <c r="E83" i="1" s="1"/>
  <c r="C40" i="1"/>
  <c r="C60" i="1"/>
  <c r="E51" i="1"/>
  <c r="F65" i="1" s="1"/>
  <c r="E82" i="1" l="1"/>
  <c r="F83" i="1"/>
  <c r="F82" i="1"/>
  <c r="C77" i="1"/>
  <c r="G77" i="1" s="1"/>
  <c r="C61" i="1"/>
  <c r="G65" i="1"/>
  <c r="G60" i="1"/>
  <c r="C79" i="1" l="1"/>
  <c r="G79" i="1" s="1"/>
  <c r="C78" i="1"/>
  <c r="G78" i="1" s="1"/>
  <c r="G61" i="1"/>
  <c r="G66" i="1" s="1"/>
  <c r="G68" i="1" s="1"/>
  <c r="G69" i="1" s="1"/>
  <c r="G84" i="1" l="1"/>
  <c r="G8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保佶</author>
  </authors>
  <commentList>
    <comment ref="C73" authorId="0" shapeId="0" xr:uid="{F2B112CA-6BAD-4EC7-AF14-809B4D47FF99}">
      <text>
        <r>
          <rPr>
            <sz val="11"/>
            <color indexed="81"/>
            <rFont val="Times New Roman"/>
            <family val="1"/>
          </rPr>
          <t>There is 191 days from 24/06 to 31/12. 
Assuming the speed of distribution is even, the total number distributed in first year (from 24/06/2022 to 25/07/2023) is 46991, thus the number of ICSs distributed from 24/06/2022 to 31/12/2022 is 46991*191/365. 
The fuel consumption of whole year is By=1,new,i,j,survey=1.7155 ton. Thus, the fuelconsumption from 24/06/2022 to 31/12/2022 is 1.7155*191/365. When calculate the ER from 24/06/2022 to 31/12/2022, other parameters are the same with that calculate the ER from 24/06/2022 to 25/07/2023, which is calculated in Grid C56. 
Therefore, ER from 24/06/2022 to 31/12/2022 =C56*(191/365)*(191/365)</t>
        </r>
      </text>
    </comment>
  </commentList>
</comments>
</file>

<file path=xl/sharedStrings.xml><?xml version="1.0" encoding="utf-8"?>
<sst xmlns="http://schemas.openxmlformats.org/spreadsheetml/2006/main" count="131" uniqueCount="102">
  <si>
    <t>Basic data</t>
    <phoneticPr fontId="1" type="noConversion"/>
  </si>
  <si>
    <t>Parameter</t>
  </si>
  <si>
    <t>Value</t>
  </si>
  <si>
    <t>Unit</t>
  </si>
  <si>
    <t>Description</t>
  </si>
  <si>
    <t>Source of data</t>
  </si>
  <si>
    <t>Fraction of woody biomass saved by the project activity during year y that can be established as non-renewable biomass</t>
    <phoneticPr fontId="1" type="noConversion"/>
  </si>
  <si>
    <t>Fraction</t>
  </si>
  <si>
    <t>Fraction</t>
    <phoneticPr fontId="1" type="noConversion"/>
  </si>
  <si>
    <t>TJ/tonne</t>
    <phoneticPr fontId="1" type="noConversion"/>
  </si>
  <si>
    <t>Net calorific value of the non-renewable woody biomass that is substituted or reduced</t>
    <phoneticPr fontId="1" type="noConversion"/>
  </si>
  <si>
    <t xml:space="preserve">2006 IPCC </t>
    <phoneticPr fontId="1" type="noConversion"/>
  </si>
  <si>
    <t xml:space="preserve">CO2 emission factor for the use of wood fuel in baseline scenario </t>
    <phoneticPr fontId="1" type="noConversion"/>
  </si>
  <si>
    <t xml:space="preserve">Efficiency of baseline cookstove </t>
    <phoneticPr fontId="1" type="noConversion"/>
  </si>
  <si>
    <t>Efficiency of project stove at the start of project activity</t>
    <phoneticPr fontId="1" type="noConversion"/>
  </si>
  <si>
    <t>Manufacturer’s specification</t>
    <phoneticPr fontId="1" type="noConversion"/>
  </si>
  <si>
    <t>Number</t>
    <phoneticPr fontId="1" type="noConversion"/>
  </si>
  <si>
    <t>Number of project devices of type i and batch j operating during year y</t>
    <phoneticPr fontId="1" type="noConversion"/>
  </si>
  <si>
    <t>Efficiency of the improved cookstove type i and batch j implemented as part of the project activity</t>
    <phoneticPr fontId="1" type="noConversion"/>
  </si>
  <si>
    <t>tonnes</t>
    <phoneticPr fontId="1" type="noConversion"/>
  </si>
  <si>
    <t>Quantity of woody biomass used by project devices in tonnes per device of type i</t>
    <phoneticPr fontId="1" type="noConversion"/>
  </si>
  <si>
    <t>Discount factor to account for efficiency loss of project cookstove per year of operation (fraction). This value may be based on actual monitoring or based on manufacturer’s declaration on expected loss in efficiency or through publicly available literature on relevant industry standards. Alternatively default value of 0.99 efficiency loss per year can be considered</t>
    <phoneticPr fontId="1" type="noConversion"/>
  </si>
  <si>
    <t>Methodology VMR0006</t>
    <phoneticPr fontId="1" type="noConversion"/>
  </si>
  <si>
    <t xml:space="preserve">Adjustment factor to account for uncertainty related to project cookstove efficiency test </t>
    <phoneticPr fontId="1" type="noConversion"/>
  </si>
  <si>
    <t>Age(y)</t>
  </si>
  <si>
    <t>Estimated annual stove loss rate</t>
  </si>
  <si>
    <t>Life span</t>
    <phoneticPr fontId="1" type="noConversion"/>
  </si>
  <si>
    <t>Years</t>
    <phoneticPr fontId="1" type="noConversion"/>
  </si>
  <si>
    <t>Ex-ante assumption. It will be surveyed in first year of project</t>
    <phoneticPr fontId="1" type="noConversion"/>
  </si>
  <si>
    <t>Ex-ante assumption.</t>
    <phoneticPr fontId="1" type="noConversion"/>
  </si>
  <si>
    <t>Calculated</t>
    <phoneticPr fontId="1" type="noConversion"/>
  </si>
  <si>
    <r>
      <t>f</t>
    </r>
    <r>
      <rPr>
        <vertAlign val="subscript"/>
        <sz val="11"/>
        <color theme="1"/>
        <rFont val="Times New Roman"/>
        <family val="1"/>
      </rPr>
      <t>NRB,y</t>
    </r>
    <phoneticPr fontId="1" type="noConversion"/>
  </si>
  <si>
    <r>
      <t>NCV</t>
    </r>
    <r>
      <rPr>
        <vertAlign val="subscript"/>
        <sz val="11"/>
        <color theme="1"/>
        <rFont val="Times New Roman"/>
        <family val="1"/>
      </rPr>
      <t>wood fuel</t>
    </r>
    <phoneticPr fontId="1" type="noConversion"/>
  </si>
  <si>
    <r>
      <t>EF</t>
    </r>
    <r>
      <rPr>
        <vertAlign val="subscript"/>
        <sz val="11"/>
        <color theme="1"/>
        <rFont val="Times New Roman"/>
        <family val="1"/>
      </rPr>
      <t>wf,CO2</t>
    </r>
    <phoneticPr fontId="1" type="noConversion"/>
  </si>
  <si>
    <r>
      <t>EF</t>
    </r>
    <r>
      <rPr>
        <vertAlign val="subscript"/>
        <sz val="11"/>
        <color theme="1"/>
        <rFont val="Times New Roman"/>
        <family val="1"/>
      </rPr>
      <t>wf,nonCO2</t>
    </r>
    <phoneticPr fontId="1" type="noConversion"/>
  </si>
  <si>
    <r>
      <t>η</t>
    </r>
    <r>
      <rPr>
        <vertAlign val="subscript"/>
        <sz val="11"/>
        <color theme="1"/>
        <rFont val="Times New Roman"/>
        <family val="1"/>
      </rPr>
      <t>old</t>
    </r>
    <phoneticPr fontId="1" type="noConversion"/>
  </si>
  <si>
    <r>
      <t>B</t>
    </r>
    <r>
      <rPr>
        <vertAlign val="subscript"/>
        <sz val="11"/>
        <color theme="1"/>
        <rFont val="Times New Roman"/>
        <family val="1"/>
      </rPr>
      <t>y=1,new,i,j,survey</t>
    </r>
    <phoneticPr fontId="1" type="noConversion"/>
  </si>
  <si>
    <r>
      <t>N</t>
    </r>
    <r>
      <rPr>
        <vertAlign val="subscript"/>
        <sz val="11"/>
        <color theme="1"/>
        <rFont val="Times New Roman"/>
        <family val="1"/>
      </rPr>
      <t>y,i,j</t>
    </r>
    <phoneticPr fontId="1" type="noConversion"/>
  </si>
  <si>
    <r>
      <t>DF</t>
    </r>
    <r>
      <rPr>
        <vertAlign val="subscript"/>
        <sz val="11"/>
        <color theme="1"/>
        <rFont val="Times New Roman"/>
        <family val="1"/>
      </rPr>
      <t>n</t>
    </r>
    <phoneticPr fontId="1" type="noConversion"/>
  </si>
  <si>
    <r>
      <t>η</t>
    </r>
    <r>
      <rPr>
        <vertAlign val="subscript"/>
        <sz val="11"/>
        <color theme="1"/>
        <rFont val="Times New Roman"/>
        <family val="1"/>
      </rPr>
      <t>new,y,i,j</t>
    </r>
    <phoneticPr fontId="1" type="noConversion"/>
  </si>
  <si>
    <r>
      <t>tCO</t>
    </r>
    <r>
      <rPr>
        <vertAlign val="subscript"/>
        <sz val="11"/>
        <color theme="1"/>
        <rFont val="Times New Roman"/>
        <family val="1"/>
      </rPr>
      <t>2</t>
    </r>
    <r>
      <rPr>
        <sz val="11"/>
        <color theme="1"/>
        <rFont val="Times New Roman"/>
        <family val="1"/>
      </rPr>
      <t xml:space="preserve"> /TJ</t>
    </r>
  </si>
  <si>
    <r>
      <t>Non-CO</t>
    </r>
    <r>
      <rPr>
        <vertAlign val="subscript"/>
        <sz val="11"/>
        <color rgb="FF404040"/>
        <rFont val="Times New Roman"/>
        <family val="1"/>
      </rPr>
      <t>2</t>
    </r>
    <r>
      <rPr>
        <sz val="11"/>
        <color rgb="FF404040"/>
        <rFont val="Times New Roman"/>
        <family val="1"/>
      </rPr>
      <t xml:space="preserve"> emission factor for the use of wood fuel in baseline scenario</t>
    </r>
  </si>
  <si>
    <t xml:space="preserve">Ex-ante assumption. All the ICSs of age 5 in households will be replaced by new ones. </t>
    <phoneticPr fontId="1" type="noConversion"/>
  </si>
  <si>
    <t>Year(y)</t>
    <phoneticPr fontId="1" type="noConversion"/>
  </si>
  <si>
    <t>Ex-ante calculation of emission reductions</t>
    <phoneticPr fontId="1" type="noConversion"/>
  </si>
  <si>
    <t>Discount factor to account for leakage</t>
    <phoneticPr fontId="1" type="noConversion"/>
  </si>
  <si>
    <t>Total</t>
    <phoneticPr fontId="1" type="noConversion"/>
  </si>
  <si>
    <t>Total estimated ERs</t>
  </si>
  <si>
    <t>Total number of crediting years</t>
  </si>
  <si>
    <t>Average annual ERs</t>
  </si>
  <si>
    <t>First-time Distribution</t>
    <phoneticPr fontId="1" type="noConversion"/>
  </si>
  <si>
    <t>Second-time Distribution</t>
    <phoneticPr fontId="1" type="noConversion"/>
  </si>
  <si>
    <t>Quatity of non-renewable biomass saved annually (ton)</t>
    <phoneticPr fontId="1" type="noConversion"/>
  </si>
  <si>
    <t>Used in SD Vista PD</t>
    <phoneticPr fontId="1" type="noConversion"/>
  </si>
  <si>
    <t>In Calendar Year</t>
    <phoneticPr fontId="1" type="noConversion"/>
  </si>
  <si>
    <t>01/01/2023-31/12/2023</t>
    <phoneticPr fontId="1" type="noConversion"/>
  </si>
  <si>
    <t>01/01/2024-31/12/2024</t>
    <phoneticPr fontId="1" type="noConversion"/>
  </si>
  <si>
    <t>01/01/2025-31/12/2025</t>
    <phoneticPr fontId="1" type="noConversion"/>
  </si>
  <si>
    <t>01/01/2026-31/12/2026</t>
    <phoneticPr fontId="1" type="noConversion"/>
  </si>
  <si>
    <t>01/01/2027-31/12/2027</t>
    <phoneticPr fontId="1" type="noConversion"/>
  </si>
  <si>
    <t>01/01/2028-31/12/2028</t>
    <phoneticPr fontId="1" type="noConversion"/>
  </si>
  <si>
    <t>01/01/2029-31/12/2029</t>
    <phoneticPr fontId="1" type="noConversion"/>
  </si>
  <si>
    <t>01/01/2030-31/12/2030</t>
    <phoneticPr fontId="1" type="noConversion"/>
  </si>
  <si>
    <t>01/01/2031-31/12/2031</t>
    <phoneticPr fontId="1" type="noConversion"/>
  </si>
  <si>
    <r>
      <t>η</t>
    </r>
    <r>
      <rPr>
        <vertAlign val="subscript"/>
        <sz val="11"/>
        <color theme="1"/>
        <rFont val="Times New Roman"/>
        <family val="1"/>
      </rPr>
      <t>p</t>
    </r>
    <phoneticPr fontId="1" type="noConversion"/>
  </si>
  <si>
    <t>Baseline Survey</t>
    <phoneticPr fontId="1" type="noConversion"/>
  </si>
  <si>
    <t>Calculated by TOOL30: Calculation of the fraction of non-renewable biomass, version 04.0</t>
    <phoneticPr fontId="1" type="noConversion"/>
  </si>
  <si>
    <t>start date</t>
    <phoneticPr fontId="1" type="noConversion"/>
  </si>
  <si>
    <t>end date</t>
    <phoneticPr fontId="1" type="noConversion"/>
  </si>
  <si>
    <t>number of days</t>
    <phoneticPr fontId="1" type="noConversion"/>
  </si>
  <si>
    <t>rest days of the year</t>
    <phoneticPr fontId="1" type="noConversion"/>
  </si>
  <si>
    <t>Distribution data</t>
    <phoneticPr fontId="1" type="noConversion"/>
  </si>
  <si>
    <t>Total number of ICS distributed</t>
  </si>
  <si>
    <t>Number of ICS distributed in year 1</t>
  </si>
  <si>
    <t>Number of ICS distributed in year 2</t>
  </si>
  <si>
    <t>Number of ICS distributed in year 3</t>
  </si>
  <si>
    <t xml:space="preserve"> ICSs distributed in year 1</t>
  </si>
  <si>
    <t>ICSs distributed in year 4</t>
  </si>
  <si>
    <t xml:space="preserve"> ICSs distributed in year 6</t>
  </si>
  <si>
    <t>ICSs distributed in year 9</t>
  </si>
  <si>
    <t>ERs from ICSs  distributed in year 1</t>
  </si>
  <si>
    <t>ERs from ICSs distributed in year 4</t>
  </si>
  <si>
    <t>ERs from ICSs  distributed in year 6</t>
  </si>
  <si>
    <t>ERs from ICSs distributed in year 9</t>
  </si>
  <si>
    <t>ERs from ICSs  distributed in year 1(tCO2e)</t>
  </si>
  <si>
    <t>ERs from ICSs distributed in year 4(tCO2e)</t>
  </si>
  <si>
    <t>ERs from ICSs  distributed in year 6(tCO2e)</t>
  </si>
  <si>
    <t>ERs from ICSs distributed in year 9(tCO2e)</t>
  </si>
  <si>
    <t>Bangladesh Apon Chula Improved Cookstove Program II</t>
    <phoneticPr fontId="1" type="noConversion"/>
  </si>
  <si>
    <t>24/06/2022-23/06/2023</t>
    <phoneticPr fontId="1" type="noConversion"/>
  </si>
  <si>
    <t>24/06/2023-23/06/2024</t>
    <phoneticPr fontId="1" type="noConversion"/>
  </si>
  <si>
    <t>24/06/2024-23/06/2025</t>
    <phoneticPr fontId="1" type="noConversion"/>
  </si>
  <si>
    <t>24/06/2025-23/06/2026</t>
    <phoneticPr fontId="1" type="noConversion"/>
  </si>
  <si>
    <t>24/06/2026-23/06/2027</t>
    <phoneticPr fontId="1" type="noConversion"/>
  </si>
  <si>
    <t>24/06/2027-23/06/2028</t>
    <phoneticPr fontId="1" type="noConversion"/>
  </si>
  <si>
    <t>24/06/2028-23/06/2029</t>
    <phoneticPr fontId="1" type="noConversion"/>
  </si>
  <si>
    <t>24/06/2029-23/06/2030</t>
    <phoneticPr fontId="1" type="noConversion"/>
  </si>
  <si>
    <t>24/06/2030-23/06/2031</t>
    <phoneticPr fontId="1" type="noConversion"/>
  </si>
  <si>
    <t>24/06/2031-23/06/2032</t>
    <phoneticPr fontId="1" type="noConversion"/>
  </si>
  <si>
    <t>24/06/2022-31/12/2022</t>
    <phoneticPr fontId="1" type="noConversion"/>
  </si>
  <si>
    <t>01/01/2032-23/06/2032</t>
    <phoneticPr fontId="1" type="noConversion"/>
  </si>
  <si>
    <t>Version: 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</si>
</sst>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
    <numFmt numFmtId="179" formatCode="0_ "/>
  </numFmts>
  <fonts count="13" x14ac:knownFonts="1">
    <font>
      <sz val="11"/>
      <color theme="1"/>
      <name val="等线"/>
      <family val="2"/>
      <scheme val="minor"/>
    </font>
    <font>
      <sz val="9"/>
      <name val="等线"/>
      <family val="3"/>
      <charset val="134"/>
      <scheme val="minor"/>
    </font>
    <font>
      <sz val="11"/>
      <color theme="1"/>
      <name val="Times New Roman"/>
      <family val="1"/>
    </font>
    <font>
      <vertAlign val="subscript"/>
      <sz val="11"/>
      <color theme="1"/>
      <name val="Times New Roman"/>
      <family val="1"/>
    </font>
    <font>
      <sz val="11"/>
      <color rgb="FF404040"/>
      <name val="Times New Roman"/>
      <family val="1"/>
    </font>
    <font>
      <vertAlign val="subscript"/>
      <sz val="11"/>
      <color rgb="FF404040"/>
      <name val="Times New Roman"/>
      <family val="1"/>
    </font>
    <font>
      <b/>
      <sz val="11"/>
      <color theme="1"/>
      <name val="Times New Roman"/>
      <family val="1"/>
    </font>
    <font>
      <b/>
      <sz val="12"/>
      <color theme="1"/>
      <name val="Times New Roman"/>
      <family val="1"/>
    </font>
    <font>
      <sz val="12"/>
      <color theme="1"/>
      <name val="Times New Roman"/>
      <family val="1"/>
    </font>
    <font>
      <b/>
      <sz val="16"/>
      <color theme="1"/>
      <name val="Times New Roman"/>
      <family val="1"/>
    </font>
    <font>
      <b/>
      <sz val="14"/>
      <color theme="1"/>
      <name val="Times New Roman"/>
      <family val="1"/>
    </font>
    <font>
      <sz val="14"/>
      <color theme="1"/>
      <name val="Times New Roman"/>
      <family val="1"/>
    </font>
    <font>
      <sz val="11"/>
      <color indexed="81"/>
      <name val="Times New Roman"/>
      <family val="1"/>
    </font>
  </fonts>
  <fills count="4">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4" fillId="0" borderId="1" xfId="0" applyFont="1" applyBorder="1"/>
    <xf numFmtId="0" fontId="2" fillId="0" borderId="1" xfId="0" applyFont="1" applyBorder="1" applyAlignment="1">
      <alignment vertical="center" wrapText="1"/>
    </xf>
    <xf numFmtId="0" fontId="2" fillId="0" borderId="0" xfId="0" applyFont="1" applyAlignment="1">
      <alignment horizontal="center" vertical="center" wrapText="1"/>
    </xf>
    <xf numFmtId="10" fontId="2" fillId="0" borderId="1" xfId="0" applyNumberFormat="1" applyFont="1" applyBorder="1" applyAlignment="1">
      <alignment wrapText="1"/>
    </xf>
    <xf numFmtId="0" fontId="2" fillId="2" borderId="1" xfId="0" applyFont="1" applyFill="1" applyBorder="1" applyAlignment="1">
      <alignment wrapText="1"/>
    </xf>
    <xf numFmtId="10" fontId="2" fillId="0" borderId="1" xfId="0" applyNumberFormat="1" applyFont="1" applyBorder="1" applyAlignment="1">
      <alignment vertical="center" wrapText="1"/>
    </xf>
    <xf numFmtId="176" fontId="2" fillId="0" borderId="1" xfId="0" applyNumberFormat="1" applyFont="1" applyBorder="1" applyAlignment="1">
      <alignment wrapText="1"/>
    </xf>
    <xf numFmtId="0" fontId="6" fillId="0" borderId="1" xfId="0" applyFont="1" applyBorder="1" applyAlignment="1">
      <alignment vertical="center" wrapText="1"/>
    </xf>
    <xf numFmtId="176" fontId="6" fillId="0" borderId="1" xfId="0" applyNumberFormat="1" applyFont="1" applyBorder="1" applyAlignment="1">
      <alignment wrapText="1"/>
    </xf>
    <xf numFmtId="0" fontId="6" fillId="0" borderId="1" xfId="0" applyFont="1" applyBorder="1" applyAlignment="1">
      <alignment wrapText="1"/>
    </xf>
    <xf numFmtId="0" fontId="7" fillId="0" borderId="0" xfId="0" applyFont="1" applyAlignment="1">
      <alignment vertical="center" wrapText="1"/>
    </xf>
    <xf numFmtId="0" fontId="8" fillId="0" borderId="0" xfId="0" applyFont="1" applyAlignment="1">
      <alignment wrapText="1"/>
    </xf>
    <xf numFmtId="0" fontId="7" fillId="2" borderId="1" xfId="0" applyFont="1" applyFill="1" applyBorder="1" applyAlignment="1">
      <alignment wrapText="1"/>
    </xf>
    <xf numFmtId="177" fontId="6" fillId="0" borderId="1" xfId="0" applyNumberFormat="1" applyFont="1" applyBorder="1" applyAlignment="1">
      <alignment wrapText="1"/>
    </xf>
    <xf numFmtId="176" fontId="6" fillId="0" borderId="1" xfId="0" applyNumberFormat="1" applyFont="1" applyBorder="1" applyAlignment="1">
      <alignment horizontal="right" wrapText="1"/>
    </xf>
    <xf numFmtId="0" fontId="2" fillId="0" borderId="1" xfId="0" applyFont="1" applyBorder="1" applyAlignment="1">
      <alignment horizontal="right" vertical="center" wrapText="1"/>
    </xf>
    <xf numFmtId="178" fontId="2" fillId="0" borderId="1" xfId="0" applyNumberFormat="1" applyFont="1" applyBorder="1" applyAlignment="1">
      <alignment wrapText="1"/>
    </xf>
    <xf numFmtId="0" fontId="11" fillId="3" borderId="1" xfId="0" applyFont="1" applyFill="1" applyBorder="1" applyAlignment="1">
      <alignment wrapText="1"/>
    </xf>
    <xf numFmtId="0" fontId="11" fillId="3" borderId="1" xfId="0" applyFont="1" applyFill="1" applyBorder="1" applyAlignment="1">
      <alignment horizontal="right" wrapText="1"/>
    </xf>
    <xf numFmtId="14" fontId="8" fillId="3" borderId="1" xfId="0" applyNumberFormat="1" applyFont="1" applyFill="1" applyBorder="1" applyAlignment="1">
      <alignment wrapText="1"/>
    </xf>
    <xf numFmtId="0" fontId="8" fillId="3" borderId="1" xfId="0" applyFont="1" applyFill="1" applyBorder="1" applyAlignment="1">
      <alignment wrapText="1"/>
    </xf>
    <xf numFmtId="177" fontId="2" fillId="3" borderId="1" xfId="0" applyNumberFormat="1" applyFont="1" applyFill="1" applyBorder="1" applyAlignment="1">
      <alignment wrapText="1"/>
    </xf>
    <xf numFmtId="177" fontId="6" fillId="0" borderId="6" xfId="0" applyNumberFormat="1" applyFont="1" applyBorder="1" applyAlignment="1">
      <alignment wrapText="1"/>
    </xf>
    <xf numFmtId="0" fontId="2" fillId="3" borderId="1" xfId="0" applyFont="1" applyFill="1" applyBorder="1" applyAlignment="1">
      <alignment wrapText="1"/>
    </xf>
    <xf numFmtId="0" fontId="2" fillId="0" borderId="6" xfId="0" applyFont="1" applyBorder="1" applyAlignment="1">
      <alignment vertical="center" wrapText="1"/>
    </xf>
    <xf numFmtId="179" fontId="2" fillId="0" borderId="1" xfId="0" applyNumberFormat="1" applyFont="1" applyBorder="1" applyAlignment="1">
      <alignment wrapText="1"/>
    </xf>
    <xf numFmtId="179" fontId="2" fillId="0" borderId="0" xfId="0" applyNumberFormat="1" applyFont="1" applyAlignment="1">
      <alignment vertical="center" wrapText="1"/>
    </xf>
    <xf numFmtId="10" fontId="2" fillId="0" borderId="0" xfId="0" applyNumberFormat="1" applyFont="1" applyAlignment="1">
      <alignment wrapText="1"/>
    </xf>
    <xf numFmtId="179" fontId="2" fillId="0" borderId="0" xfId="0" applyNumberFormat="1" applyFont="1" applyAlignment="1">
      <alignment wrapText="1"/>
    </xf>
    <xf numFmtId="10" fontId="2" fillId="0" borderId="0" xfId="0" applyNumberFormat="1" applyFont="1" applyAlignment="1">
      <alignment vertical="center" wrapText="1"/>
    </xf>
    <xf numFmtId="0" fontId="2" fillId="0" borderId="0" xfId="0" applyFont="1" applyAlignment="1">
      <alignment horizontal="right" wrapText="1"/>
    </xf>
    <xf numFmtId="177" fontId="2" fillId="0" borderId="0" xfId="0" applyNumberFormat="1" applyFont="1" applyAlignment="1">
      <alignment wrapText="1"/>
    </xf>
    <xf numFmtId="9" fontId="2" fillId="0" borderId="1" xfId="0" applyNumberFormat="1" applyFont="1" applyBorder="1" applyAlignment="1">
      <alignment wrapText="1"/>
    </xf>
    <xf numFmtId="177" fontId="2" fillId="0" borderId="1" xfId="0" applyNumberFormat="1" applyFont="1" applyBorder="1" applyAlignment="1">
      <alignment wrapText="1"/>
    </xf>
    <xf numFmtId="176" fontId="2" fillId="0" borderId="1" xfId="0" applyNumberFormat="1" applyFont="1" applyBorder="1" applyAlignment="1">
      <alignment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2" xfId="0" applyFont="1" applyBorder="1" applyAlignment="1">
      <alignment horizontal="center" wrapText="1"/>
    </xf>
    <xf numFmtId="0" fontId="2" fillId="2" borderId="1" xfId="0" applyFont="1" applyFill="1" applyBorder="1" applyAlignment="1">
      <alignment horizontal="center" wrapText="1"/>
    </xf>
    <xf numFmtId="0" fontId="2" fillId="2" borderId="3" xfId="0" applyFont="1" applyFill="1" applyBorder="1" applyAlignment="1">
      <alignment horizontal="center" wrapText="1"/>
    </xf>
    <xf numFmtId="0" fontId="2" fillId="2" borderId="2" xfId="0" applyFont="1" applyFill="1" applyBorder="1" applyAlignment="1">
      <alignment horizontal="center" wrapText="1"/>
    </xf>
    <xf numFmtId="0" fontId="10" fillId="2" borderId="5" xfId="0" applyFont="1" applyFill="1" applyBorder="1" applyAlignment="1">
      <alignment horizontal="center" vertical="center" wrapText="1"/>
    </xf>
    <xf numFmtId="0" fontId="2" fillId="0" borderId="1" xfId="0" applyFont="1" applyBorder="1" applyAlignment="1">
      <alignment horizontal="left" vertical="center" wrapText="1"/>
    </xf>
    <xf numFmtId="0" fontId="9" fillId="0" borderId="0" xfId="0" applyFont="1" applyAlignment="1">
      <alignment horizontal="center" vertical="center" wrapText="1"/>
    </xf>
    <xf numFmtId="0" fontId="2" fillId="0" borderId="1" xfId="0" applyFont="1" applyBorder="1" applyAlignment="1">
      <alignment horizontal="center" vertical="center" wrapText="1"/>
    </xf>
    <xf numFmtId="0" fontId="7" fillId="2" borderId="0" xfId="0" applyFont="1" applyFill="1" applyAlignment="1">
      <alignment horizontal="center" vertic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6"/>
  <sheetViews>
    <sheetView tabSelected="1" topLeftCell="A52" zoomScale="85" zoomScaleNormal="85" workbookViewId="0">
      <selection activeCell="B56" sqref="B56"/>
    </sheetView>
  </sheetViews>
  <sheetFormatPr defaultColWidth="8.58203125" defaultRowHeight="14" x14ac:dyDescent="0.3"/>
  <cols>
    <col min="1" max="1" width="24.75" style="1" customWidth="1"/>
    <col min="2" max="2" width="21.5" style="1" customWidth="1"/>
    <col min="3" max="3" width="17.25" style="1" customWidth="1"/>
    <col min="4" max="4" width="15.5" style="1" customWidth="1"/>
    <col min="5" max="5" width="49" style="1" customWidth="1"/>
    <col min="6" max="6" width="24.58203125" style="1" customWidth="1"/>
    <col min="7" max="7" width="17.6640625" style="1" customWidth="1"/>
    <col min="8" max="8" width="20.1640625" style="1" customWidth="1"/>
    <col min="9" max="9" width="10.5" style="1" customWidth="1"/>
    <col min="10" max="10" width="14.58203125" style="1" customWidth="1"/>
    <col min="11" max="16384" width="8.58203125" style="1"/>
  </cols>
  <sheetData>
    <row r="1" spans="2:6" ht="37" customHeight="1" x14ac:dyDescent="0.3">
      <c r="B1" s="49" t="s">
        <v>88</v>
      </c>
      <c r="C1" s="49"/>
      <c r="D1" s="49"/>
      <c r="E1" s="49"/>
      <c r="F1" s="16" t="s">
        <v>101</v>
      </c>
    </row>
    <row r="2" spans="2:6" ht="25" customHeight="1" x14ac:dyDescent="0.3">
      <c r="B2" s="51" t="s">
        <v>0</v>
      </c>
      <c r="C2" s="51"/>
      <c r="D2" s="51"/>
      <c r="E2" s="51"/>
      <c r="F2" s="51"/>
    </row>
    <row r="3" spans="2:6" ht="15.5" x14ac:dyDescent="0.35">
      <c r="B3" s="17"/>
      <c r="C3" s="17"/>
      <c r="D3" s="17"/>
      <c r="E3" s="17"/>
      <c r="F3" s="17"/>
    </row>
    <row r="4" spans="2:6" ht="26" customHeight="1" x14ac:dyDescent="0.3">
      <c r="B4" s="18" t="s">
        <v>1</v>
      </c>
      <c r="C4" s="18" t="s">
        <v>2</v>
      </c>
      <c r="D4" s="18" t="s">
        <v>3</v>
      </c>
      <c r="E4" s="18" t="s">
        <v>4</v>
      </c>
      <c r="F4" s="18" t="s">
        <v>5</v>
      </c>
    </row>
    <row r="5" spans="2:6" ht="57.5" x14ac:dyDescent="0.45">
      <c r="B5" s="4" t="s">
        <v>31</v>
      </c>
      <c r="C5" s="4">
        <v>0.91</v>
      </c>
      <c r="D5" s="4" t="s">
        <v>8</v>
      </c>
      <c r="E5" s="4" t="s">
        <v>6</v>
      </c>
      <c r="F5" s="4" t="s">
        <v>66</v>
      </c>
    </row>
    <row r="6" spans="2:6" ht="29.5" x14ac:dyDescent="0.45">
      <c r="B6" s="4" t="s">
        <v>32</v>
      </c>
      <c r="C6" s="4">
        <v>1.5599999999999999E-2</v>
      </c>
      <c r="D6" s="4" t="s">
        <v>9</v>
      </c>
      <c r="E6" s="4" t="s">
        <v>10</v>
      </c>
      <c r="F6" s="4" t="s">
        <v>11</v>
      </c>
    </row>
    <row r="7" spans="2:6" ht="17" x14ac:dyDescent="0.45">
      <c r="B7" s="4" t="s">
        <v>33</v>
      </c>
      <c r="C7" s="4">
        <v>112</v>
      </c>
      <c r="D7" s="5" t="s">
        <v>40</v>
      </c>
      <c r="E7" s="4" t="s">
        <v>12</v>
      </c>
      <c r="F7" s="4" t="s">
        <v>11</v>
      </c>
    </row>
    <row r="8" spans="2:6" ht="17" x14ac:dyDescent="0.45">
      <c r="B8" s="4" t="s">
        <v>34</v>
      </c>
      <c r="C8" s="4">
        <v>26.23</v>
      </c>
      <c r="D8" s="5" t="s">
        <v>40</v>
      </c>
      <c r="E8" s="6" t="s">
        <v>41</v>
      </c>
      <c r="F8" s="4" t="s">
        <v>11</v>
      </c>
    </row>
    <row r="9" spans="2:6" x14ac:dyDescent="0.3">
      <c r="B9" s="4"/>
      <c r="C9" s="4">
        <v>0.95</v>
      </c>
      <c r="D9" s="4" t="s">
        <v>7</v>
      </c>
      <c r="E9" s="6" t="s">
        <v>45</v>
      </c>
      <c r="F9" s="4" t="s">
        <v>22</v>
      </c>
    </row>
    <row r="10" spans="2:6" ht="17" x14ac:dyDescent="0.45">
      <c r="B10" s="4" t="s">
        <v>35</v>
      </c>
      <c r="C10" s="4">
        <v>0.1</v>
      </c>
      <c r="D10" s="4" t="s">
        <v>7</v>
      </c>
      <c r="E10" s="4" t="s">
        <v>13</v>
      </c>
      <c r="F10" s="4" t="s">
        <v>65</v>
      </c>
    </row>
    <row r="11" spans="2:6" ht="17" x14ac:dyDescent="0.45">
      <c r="B11" s="4" t="s">
        <v>64</v>
      </c>
      <c r="C11" s="22">
        <v>0.36</v>
      </c>
      <c r="D11" s="4" t="s">
        <v>8</v>
      </c>
      <c r="E11" s="4" t="s">
        <v>14</v>
      </c>
      <c r="F11" s="4" t="s">
        <v>15</v>
      </c>
    </row>
    <row r="12" spans="2:6" ht="29.5" x14ac:dyDescent="0.45">
      <c r="B12" s="4" t="s">
        <v>36</v>
      </c>
      <c r="C12" s="4">
        <f>4.7*365/1000</f>
        <v>1.7155</v>
      </c>
      <c r="D12" s="4" t="s">
        <v>19</v>
      </c>
      <c r="E12" s="4" t="s">
        <v>20</v>
      </c>
      <c r="F12" s="4" t="s">
        <v>28</v>
      </c>
    </row>
    <row r="13" spans="2:6" x14ac:dyDescent="0.3">
      <c r="B13" s="4"/>
      <c r="C13" s="4">
        <v>100000</v>
      </c>
      <c r="D13" s="4" t="s">
        <v>16</v>
      </c>
      <c r="E13" s="5" t="s">
        <v>72</v>
      </c>
      <c r="F13" s="4" t="s">
        <v>29</v>
      </c>
    </row>
    <row r="14" spans="2:6" x14ac:dyDescent="0.3">
      <c r="B14" s="4"/>
      <c r="C14" s="4">
        <v>46991</v>
      </c>
      <c r="D14" s="4" t="s">
        <v>16</v>
      </c>
      <c r="E14" s="5" t="s">
        <v>73</v>
      </c>
      <c r="F14" s="4" t="s">
        <v>71</v>
      </c>
    </row>
    <row r="15" spans="2:6" x14ac:dyDescent="0.3">
      <c r="B15" s="4"/>
      <c r="C15" s="4">
        <v>0</v>
      </c>
      <c r="D15" s="4" t="s">
        <v>16</v>
      </c>
      <c r="E15" s="5" t="s">
        <v>74</v>
      </c>
      <c r="F15" s="4" t="s">
        <v>30</v>
      </c>
    </row>
    <row r="16" spans="2:6" x14ac:dyDescent="0.3">
      <c r="B16" s="4"/>
      <c r="C16" s="4">
        <f>C13-C14</f>
        <v>53009</v>
      </c>
      <c r="D16" s="4" t="s">
        <v>16</v>
      </c>
      <c r="E16" s="5" t="s">
        <v>75</v>
      </c>
      <c r="F16" s="4" t="s">
        <v>30</v>
      </c>
    </row>
    <row r="17" spans="1:6" x14ac:dyDescent="0.3">
      <c r="B17" s="4"/>
      <c r="C17" s="38">
        <v>0.05</v>
      </c>
      <c r="D17" s="4" t="s">
        <v>8</v>
      </c>
      <c r="E17" s="5" t="s">
        <v>25</v>
      </c>
      <c r="F17" s="4" t="s">
        <v>29</v>
      </c>
    </row>
    <row r="18" spans="1:6" x14ac:dyDescent="0.3">
      <c r="B18" s="4"/>
      <c r="C18" s="4">
        <v>7</v>
      </c>
      <c r="D18" s="4" t="s">
        <v>27</v>
      </c>
      <c r="E18" s="5" t="s">
        <v>26</v>
      </c>
      <c r="F18" s="4" t="s">
        <v>15</v>
      </c>
    </row>
    <row r="19" spans="1:6" ht="85.5" x14ac:dyDescent="0.45">
      <c r="B19" s="4" t="s">
        <v>38</v>
      </c>
      <c r="C19" s="4">
        <v>0.99</v>
      </c>
      <c r="D19" s="4" t="s">
        <v>8</v>
      </c>
      <c r="E19" s="4" t="s">
        <v>21</v>
      </c>
      <c r="F19" s="4" t="s">
        <v>22</v>
      </c>
    </row>
    <row r="20" spans="1:6" ht="28" x14ac:dyDescent="0.3">
      <c r="B20" s="4"/>
      <c r="C20" s="4">
        <v>0.94</v>
      </c>
      <c r="D20" s="4" t="s">
        <v>8</v>
      </c>
      <c r="E20" s="4" t="s">
        <v>23</v>
      </c>
      <c r="F20" s="4" t="s">
        <v>22</v>
      </c>
    </row>
    <row r="22" spans="1:6" ht="29.15" customHeight="1" x14ac:dyDescent="0.3">
      <c r="A22" s="21" t="s">
        <v>24</v>
      </c>
      <c r="B22" s="4"/>
      <c r="C22" s="4"/>
      <c r="D22" s="4"/>
      <c r="E22" s="4"/>
      <c r="F22" s="4"/>
    </row>
    <row r="23" spans="1:6" ht="17.149999999999999" customHeight="1" x14ac:dyDescent="0.3">
      <c r="A23" s="4">
        <v>1</v>
      </c>
      <c r="B23" s="50" t="s">
        <v>39</v>
      </c>
      <c r="C23" s="9">
        <f t="shared" ref="C23:C29" si="0">$C$11*$C$19^(A23-1)*$C$20</f>
        <v>0.33839999999999998</v>
      </c>
      <c r="D23" s="50" t="s">
        <v>8</v>
      </c>
      <c r="E23" s="50" t="s">
        <v>18</v>
      </c>
      <c r="F23" s="48" t="s">
        <v>30</v>
      </c>
    </row>
    <row r="24" spans="1:6" x14ac:dyDescent="0.3">
      <c r="A24" s="4">
        <v>2</v>
      </c>
      <c r="B24" s="50"/>
      <c r="C24" s="9">
        <f t="shared" si="0"/>
        <v>0.33501599999999998</v>
      </c>
      <c r="D24" s="50"/>
      <c r="E24" s="50"/>
      <c r="F24" s="48"/>
    </row>
    <row r="25" spans="1:6" x14ac:dyDescent="0.3">
      <c r="A25" s="4">
        <v>3</v>
      </c>
      <c r="B25" s="50"/>
      <c r="C25" s="9">
        <f t="shared" si="0"/>
        <v>0.33166583999999999</v>
      </c>
      <c r="D25" s="50"/>
      <c r="E25" s="50"/>
      <c r="F25" s="48"/>
    </row>
    <row r="26" spans="1:6" x14ac:dyDescent="0.3">
      <c r="A26" s="4">
        <v>4</v>
      </c>
      <c r="B26" s="50"/>
      <c r="C26" s="9">
        <f t="shared" si="0"/>
        <v>0.32834918159999998</v>
      </c>
      <c r="D26" s="50"/>
      <c r="E26" s="50"/>
      <c r="F26" s="48"/>
    </row>
    <row r="27" spans="1:6" x14ac:dyDescent="0.3">
      <c r="A27" s="4">
        <v>5</v>
      </c>
      <c r="B27" s="50"/>
      <c r="C27" s="9">
        <f t="shared" si="0"/>
        <v>0.32506568978399997</v>
      </c>
      <c r="D27" s="50"/>
      <c r="E27" s="50"/>
      <c r="F27" s="48"/>
    </row>
    <row r="28" spans="1:6" x14ac:dyDescent="0.3">
      <c r="A28" s="4">
        <v>6</v>
      </c>
      <c r="B28" s="50"/>
      <c r="C28" s="9">
        <f t="shared" si="0"/>
        <v>0.32181503288615992</v>
      </c>
      <c r="D28" s="50"/>
      <c r="E28" s="50"/>
      <c r="F28" s="48"/>
    </row>
    <row r="29" spans="1:6" x14ac:dyDescent="0.3">
      <c r="A29" s="4">
        <v>7</v>
      </c>
      <c r="B29" s="50"/>
      <c r="C29" s="9">
        <f t="shared" si="0"/>
        <v>0.31859688255729834</v>
      </c>
      <c r="D29" s="50"/>
      <c r="E29" s="50"/>
      <c r="F29" s="48"/>
    </row>
    <row r="30" spans="1:6" x14ac:dyDescent="0.3">
      <c r="E30" s="3"/>
    </row>
    <row r="31" spans="1:6" s="2" customFormat="1" ht="42" x14ac:dyDescent="0.3">
      <c r="B31" s="7" t="s">
        <v>37</v>
      </c>
      <c r="C31" s="7"/>
      <c r="D31" s="7" t="s">
        <v>16</v>
      </c>
      <c r="E31" s="7" t="s">
        <v>17</v>
      </c>
      <c r="F31" s="7" t="s">
        <v>42</v>
      </c>
    </row>
    <row r="32" spans="1:6" x14ac:dyDescent="0.3">
      <c r="D32" s="2"/>
      <c r="E32" s="2"/>
      <c r="F32" s="2"/>
    </row>
    <row r="33" spans="1:6" ht="30" customHeight="1" x14ac:dyDescent="0.3">
      <c r="B33" s="10"/>
      <c r="C33" s="44" t="s">
        <v>76</v>
      </c>
      <c r="D33" s="44"/>
      <c r="E33" s="45" t="s">
        <v>77</v>
      </c>
      <c r="F33" s="46"/>
    </row>
    <row r="34" spans="1:6" s="2" customFormat="1" ht="17" x14ac:dyDescent="0.3">
      <c r="B34" s="7" t="s">
        <v>43</v>
      </c>
      <c r="C34" s="7" t="s">
        <v>37</v>
      </c>
      <c r="D34" s="7" t="s">
        <v>39</v>
      </c>
      <c r="E34" s="30" t="s">
        <v>37</v>
      </c>
      <c r="F34" s="30" t="s">
        <v>39</v>
      </c>
    </row>
    <row r="35" spans="1:6" ht="18" customHeight="1" x14ac:dyDescent="0.3">
      <c r="A35" s="36" t="s">
        <v>50</v>
      </c>
      <c r="B35" s="4">
        <v>1</v>
      </c>
      <c r="C35" s="39">
        <f>C14</f>
        <v>46991</v>
      </c>
      <c r="D35" s="9">
        <f>C23</f>
        <v>0.33839999999999998</v>
      </c>
      <c r="E35" s="31">
        <v>0</v>
      </c>
      <c r="F35" s="4">
        <v>0</v>
      </c>
    </row>
    <row r="36" spans="1:6" x14ac:dyDescent="0.3">
      <c r="A36" s="36"/>
      <c r="B36" s="4">
        <v>2</v>
      </c>
      <c r="C36" s="39">
        <f>C35-$C$35*$C$17</f>
        <v>44641.45</v>
      </c>
      <c r="D36" s="9">
        <f t="shared" ref="D36:D40" si="1">C24</f>
        <v>0.33501599999999998</v>
      </c>
      <c r="E36" s="31">
        <v>0</v>
      </c>
      <c r="F36" s="4">
        <v>0</v>
      </c>
    </row>
    <row r="37" spans="1:6" x14ac:dyDescent="0.3">
      <c r="A37" s="36"/>
      <c r="B37" s="4">
        <v>3</v>
      </c>
      <c r="C37" s="39">
        <f>C36-$C$35*$C$17</f>
        <v>42291.899999999994</v>
      </c>
      <c r="D37" s="9">
        <f t="shared" si="1"/>
        <v>0.33166583999999999</v>
      </c>
      <c r="E37" s="31">
        <v>0</v>
      </c>
      <c r="F37" s="4">
        <v>0</v>
      </c>
    </row>
    <row r="38" spans="1:6" x14ac:dyDescent="0.3">
      <c r="A38" s="36"/>
      <c r="B38" s="4">
        <v>4</v>
      </c>
      <c r="C38" s="39">
        <f>C37-$C$35*$C$17</f>
        <v>39942.349999999991</v>
      </c>
      <c r="D38" s="9">
        <f t="shared" si="1"/>
        <v>0.32834918159999998</v>
      </c>
      <c r="E38" s="40">
        <f>C16</f>
        <v>53009</v>
      </c>
      <c r="F38" s="9">
        <f>D35</f>
        <v>0.33839999999999998</v>
      </c>
    </row>
    <row r="39" spans="1:6" x14ac:dyDescent="0.3">
      <c r="A39" s="36"/>
      <c r="B39" s="4">
        <v>5</v>
      </c>
      <c r="C39" s="39">
        <f>C38-$C$35*$C$17</f>
        <v>37592.799999999988</v>
      </c>
      <c r="D39" s="9">
        <f t="shared" si="1"/>
        <v>0.32506568978399997</v>
      </c>
      <c r="E39" s="40">
        <f>E38-$E$38*$C$17</f>
        <v>50358.55</v>
      </c>
      <c r="F39" s="9">
        <f>D36</f>
        <v>0.33501599999999998</v>
      </c>
    </row>
    <row r="40" spans="1:6" x14ac:dyDescent="0.3">
      <c r="A40" s="36"/>
      <c r="B40" s="4">
        <v>6</v>
      </c>
      <c r="C40" s="39">
        <f>C39-$C$35*$C$17</f>
        <v>35243.249999999985</v>
      </c>
      <c r="D40" s="9">
        <f t="shared" si="1"/>
        <v>0.32181503288615992</v>
      </c>
      <c r="E40" s="40">
        <f>E39-$E$38*$C$17</f>
        <v>47708.100000000006</v>
      </c>
      <c r="F40" s="9">
        <f>D37</f>
        <v>0.33166583999999999</v>
      </c>
    </row>
    <row r="41" spans="1:6" x14ac:dyDescent="0.3">
      <c r="A41" s="36"/>
      <c r="B41" s="4">
        <v>7</v>
      </c>
      <c r="C41" s="39">
        <v>0</v>
      </c>
      <c r="D41" s="9">
        <v>0</v>
      </c>
      <c r="E41" s="40">
        <f>E40-$E$38*$C$17</f>
        <v>45057.650000000009</v>
      </c>
      <c r="F41" s="9">
        <f>D38</f>
        <v>0.32834918159999998</v>
      </c>
    </row>
    <row r="42" spans="1:6" x14ac:dyDescent="0.3">
      <c r="A42" s="36"/>
      <c r="B42" s="4">
        <v>8</v>
      </c>
      <c r="C42" s="39">
        <v>0</v>
      </c>
      <c r="D42" s="9">
        <v>0</v>
      </c>
      <c r="E42" s="40">
        <f>E41-$E$38*$C$17</f>
        <v>42407.200000000012</v>
      </c>
      <c r="F42" s="9">
        <f>F41*0.99</f>
        <v>0.32506568978399997</v>
      </c>
    </row>
    <row r="43" spans="1:6" x14ac:dyDescent="0.3">
      <c r="A43" s="36"/>
      <c r="B43" s="4">
        <v>9</v>
      </c>
      <c r="C43" s="39">
        <v>0</v>
      </c>
      <c r="D43" s="9">
        <v>0</v>
      </c>
      <c r="E43" s="40">
        <f>E42-$E$38*$C$17</f>
        <v>39756.750000000015</v>
      </c>
      <c r="F43" s="9">
        <f>F42*0.99</f>
        <v>0.32181503288615998</v>
      </c>
    </row>
    <row r="44" spans="1:6" x14ac:dyDescent="0.3">
      <c r="A44" s="36"/>
      <c r="B44" s="4">
        <v>10</v>
      </c>
      <c r="C44" s="39">
        <v>0</v>
      </c>
      <c r="D44" s="9">
        <v>0</v>
      </c>
      <c r="E44" s="40">
        <v>0</v>
      </c>
      <c r="F44" s="9">
        <v>0</v>
      </c>
    </row>
    <row r="45" spans="1:6" x14ac:dyDescent="0.3">
      <c r="A45" s="36"/>
      <c r="C45" s="34"/>
      <c r="D45" s="35"/>
      <c r="E45" s="32"/>
      <c r="F45" s="33"/>
    </row>
    <row r="46" spans="1:6" x14ac:dyDescent="0.3">
      <c r="A46" s="36"/>
      <c r="B46" s="10"/>
      <c r="C46" s="44" t="s">
        <v>78</v>
      </c>
      <c r="D46" s="44"/>
      <c r="E46" s="44" t="s">
        <v>79</v>
      </c>
      <c r="F46" s="44"/>
    </row>
    <row r="47" spans="1:6" x14ac:dyDescent="0.3">
      <c r="A47" s="36" t="s">
        <v>51</v>
      </c>
      <c r="B47" s="4">
        <v>6</v>
      </c>
      <c r="C47" s="12">
        <f t="shared" ref="C47:D51" si="2">C35</f>
        <v>46991</v>
      </c>
      <c r="D47" s="11">
        <f t="shared" si="2"/>
        <v>0.33839999999999998</v>
      </c>
      <c r="E47" s="12">
        <v>0</v>
      </c>
      <c r="F47" s="4">
        <v>0</v>
      </c>
    </row>
    <row r="48" spans="1:6" x14ac:dyDescent="0.3">
      <c r="B48" s="4">
        <v>7</v>
      </c>
      <c r="C48" s="12">
        <f t="shared" si="2"/>
        <v>44641.45</v>
      </c>
      <c r="D48" s="11">
        <f t="shared" si="2"/>
        <v>0.33501599999999998</v>
      </c>
      <c r="E48" s="40">
        <v>0</v>
      </c>
      <c r="F48" s="9">
        <v>0</v>
      </c>
    </row>
    <row r="49" spans="2:7" x14ac:dyDescent="0.3">
      <c r="B49" s="4">
        <v>8</v>
      </c>
      <c r="C49" s="12">
        <f t="shared" si="2"/>
        <v>42291.899999999994</v>
      </c>
      <c r="D49" s="11">
        <f t="shared" si="2"/>
        <v>0.33166583999999999</v>
      </c>
      <c r="E49" s="40">
        <v>0</v>
      </c>
      <c r="F49" s="9">
        <v>0</v>
      </c>
    </row>
    <row r="50" spans="2:7" x14ac:dyDescent="0.3">
      <c r="B50" s="4">
        <v>9</v>
      </c>
      <c r="C50" s="12">
        <f t="shared" si="2"/>
        <v>39942.349999999991</v>
      </c>
      <c r="D50" s="11">
        <f t="shared" si="2"/>
        <v>0.32834918159999998</v>
      </c>
      <c r="E50" s="40">
        <f>E38</f>
        <v>53009</v>
      </c>
      <c r="F50" s="9">
        <f>D47</f>
        <v>0.33839999999999998</v>
      </c>
    </row>
    <row r="51" spans="2:7" x14ac:dyDescent="0.3">
      <c r="B51" s="4">
        <v>10</v>
      </c>
      <c r="C51" s="12">
        <f t="shared" si="2"/>
        <v>37592.799999999988</v>
      </c>
      <c r="D51" s="11">
        <f t="shared" si="2"/>
        <v>0.32506568978399997</v>
      </c>
      <c r="E51" s="40">
        <f>E39</f>
        <v>50358.55</v>
      </c>
      <c r="F51" s="9">
        <f>D48</f>
        <v>0.33501599999999998</v>
      </c>
    </row>
    <row r="52" spans="2:7" x14ac:dyDescent="0.3">
      <c r="B52" s="8"/>
      <c r="D52" s="8"/>
      <c r="E52" s="2"/>
      <c r="F52" s="33"/>
    </row>
    <row r="54" spans="2:7" ht="56.15" customHeight="1" x14ac:dyDescent="0.3">
      <c r="B54" s="47" t="s">
        <v>44</v>
      </c>
      <c r="C54" s="47"/>
      <c r="D54" s="47"/>
      <c r="E54" s="47"/>
      <c r="F54" s="47"/>
      <c r="G54" s="47"/>
    </row>
    <row r="55" spans="2:7" ht="42" x14ac:dyDescent="0.3">
      <c r="B55" s="13" t="s">
        <v>43</v>
      </c>
      <c r="C55" s="14" t="s">
        <v>80</v>
      </c>
      <c r="D55" s="14" t="s">
        <v>81</v>
      </c>
      <c r="E55" s="14" t="s">
        <v>82</v>
      </c>
      <c r="F55" s="14" t="s">
        <v>83</v>
      </c>
      <c r="G55" s="20" t="s">
        <v>46</v>
      </c>
    </row>
    <row r="56" spans="2:7" ht="17.5" customHeight="1" x14ac:dyDescent="0.3">
      <c r="B56" s="15" t="s">
        <v>89</v>
      </c>
      <c r="C56" s="12">
        <f>$C$12*(D35/$C$10-1)*$C$5*$C$6*($C$7+$C$8)*C35*$C$9/2</f>
        <v>179132.16258421002</v>
      </c>
      <c r="D56" s="12">
        <v>0</v>
      </c>
      <c r="E56" s="12">
        <v>0</v>
      </c>
      <c r="F56" s="12">
        <v>0</v>
      </c>
      <c r="G56" s="12">
        <f>ROUNDDOWN(SUM(C56:F56),0)</f>
        <v>179132</v>
      </c>
    </row>
    <row r="57" spans="2:7" x14ac:dyDescent="0.3">
      <c r="B57" s="15" t="s">
        <v>90</v>
      </c>
      <c r="C57" s="12">
        <f>$C$12*(D36/$C$10-1)*$C$5*$C$6*($C$7+$C$8)*C36*$C$9</f>
        <v>335519.95055198122</v>
      </c>
      <c r="D57" s="12">
        <v>0</v>
      </c>
      <c r="E57" s="12">
        <v>0</v>
      </c>
      <c r="F57" s="12">
        <v>0</v>
      </c>
      <c r="G57" s="12">
        <f t="shared" ref="G57:G65" si="3">ROUNDDOWN(SUM(C57:F57),0)</f>
        <v>335519</v>
      </c>
    </row>
    <row r="58" spans="2:7" x14ac:dyDescent="0.3">
      <c r="B58" s="15" t="s">
        <v>91</v>
      </c>
      <c r="C58" s="12">
        <f>$C$12*(D37/$C$10-1)*$C$5*$C$6*($C$7+$C$8)*C37*$C$9</f>
        <v>313329.88778925186</v>
      </c>
      <c r="D58" s="4">
        <v>0</v>
      </c>
      <c r="E58" s="4">
        <v>0</v>
      </c>
      <c r="F58" s="4">
        <v>0</v>
      </c>
      <c r="G58" s="12">
        <f t="shared" si="3"/>
        <v>313329</v>
      </c>
    </row>
    <row r="59" spans="2:7" x14ac:dyDescent="0.3">
      <c r="B59" s="15" t="s">
        <v>92</v>
      </c>
      <c r="C59" s="12">
        <f>$C$12*(D38/$C$10-1)*$C$5*$C$6*($C$7+$C$8)*C38*$C$9</f>
        <v>291686.07647391874</v>
      </c>
      <c r="D59" s="12">
        <f>$C$12*(F38/$C$10-1)*$C$5*$C$6*($C$7+$C$8)*E38*$C$9/2</f>
        <v>202073.09498470748</v>
      </c>
      <c r="E59" s="12">
        <v>0</v>
      </c>
      <c r="F59" s="12">
        <v>0</v>
      </c>
      <c r="G59" s="12">
        <f t="shared" si="3"/>
        <v>493759</v>
      </c>
    </row>
    <row r="60" spans="2:7" x14ac:dyDescent="0.3">
      <c r="B60" s="15" t="s">
        <v>93</v>
      </c>
      <c r="C60" s="12">
        <f>$C$12*(D39/$C$10-1)*$C$5*$C$6*($C$7+$C$8)*C39*$C$9</f>
        <v>270580.56197660975</v>
      </c>
      <c r="D60" s="12">
        <f>$C$12*(F39/$C$10-1)*$C$5*$C$6*($C$7+$C$8)*E39*$C$9</f>
        <v>378489.00978506467</v>
      </c>
      <c r="E60" s="12">
        <v>0</v>
      </c>
      <c r="F60" s="12">
        <v>0</v>
      </c>
      <c r="G60" s="12">
        <f t="shared" si="3"/>
        <v>649069</v>
      </c>
    </row>
    <row r="61" spans="2:7" x14ac:dyDescent="0.3">
      <c r="B61" s="15" t="s">
        <v>94</v>
      </c>
      <c r="C61" s="12">
        <f>$C$12*(D40/$C$10-1)*$C$5*$C$6*($C$7+$C$8)*C40*$C$9/2</f>
        <v>125002.74706769759</v>
      </c>
      <c r="D61" s="12">
        <f>$C$12*(F40/$C$10-1)*$C$5*$C$6*($C$7+$C$8)*E40*$C$9</f>
        <v>353457.13055309432</v>
      </c>
      <c r="E61" s="12">
        <f>$C$12*(D47/$C$10-1)*$C$5*$C$6*($C$7+$C$8)*C47*$C$9/2</f>
        <v>179132.16258421002</v>
      </c>
      <c r="F61" s="12">
        <v>0</v>
      </c>
      <c r="G61" s="12">
        <f t="shared" si="3"/>
        <v>657592</v>
      </c>
    </row>
    <row r="62" spans="2:7" x14ac:dyDescent="0.3">
      <c r="B62" s="15" t="s">
        <v>95</v>
      </c>
      <c r="C62" s="4">
        <v>0</v>
      </c>
      <c r="D62" s="12">
        <f>$C$12*(F41/$C$10-1)*$C$5*$C$6*($C$7+$C$8)*E41*$C$9</f>
        <v>329041.45959451742</v>
      </c>
      <c r="E62" s="12">
        <f>$C$12*(D48/$C$10-1)*$C$5*$C$6*($C$7+$C$8)*C48*$C$9</f>
        <v>335519.95055198122</v>
      </c>
      <c r="F62" s="12">
        <v>0</v>
      </c>
      <c r="G62" s="12">
        <f t="shared" si="3"/>
        <v>664561</v>
      </c>
    </row>
    <row r="63" spans="2:7" x14ac:dyDescent="0.3">
      <c r="B63" s="15" t="s">
        <v>96</v>
      </c>
      <c r="C63" s="4">
        <v>0</v>
      </c>
      <c r="D63" s="12">
        <f>$C$12*(F42/$C$10-1)*$C$5*$C$6*($C$7+$C$8)*E42*$C$9</f>
        <v>305233.02355383185</v>
      </c>
      <c r="E63" s="12">
        <f>$C$12*(D49/$C$10-1)*$C$5*$C$6*($C$7+$C$8)*C49*$C$9</f>
        <v>313329.88778925186</v>
      </c>
      <c r="F63" s="12">
        <v>0</v>
      </c>
      <c r="G63" s="12">
        <f t="shared" si="3"/>
        <v>618562</v>
      </c>
    </row>
    <row r="64" spans="2:7" x14ac:dyDescent="0.3">
      <c r="B64" s="15" t="s">
        <v>97</v>
      </c>
      <c r="C64" s="4">
        <v>0</v>
      </c>
      <c r="D64" s="12">
        <f>$C$12*(F43/$C$10-1)*$C$5*$C$6*($C$7+$C$8)*E43*$C$9/2</f>
        <v>141011.48346090931</v>
      </c>
      <c r="E64" s="12">
        <f>$C$12*(D50/$C$10-1)*$C$5*$C$6*($C$7+$C$8)*C50*$C$9</f>
        <v>291686.07647391874</v>
      </c>
      <c r="F64" s="12">
        <f>$C$12*(F50/$C$10-1)*$C$5*$C$6*($C$7+$C$8)*E50*$C$9/2</f>
        <v>202073.09498470748</v>
      </c>
      <c r="G64" s="12">
        <f t="shared" si="3"/>
        <v>634770</v>
      </c>
    </row>
    <row r="65" spans="2:12" x14ac:dyDescent="0.3">
      <c r="B65" s="15" t="s">
        <v>98</v>
      </c>
      <c r="C65" s="4">
        <v>0</v>
      </c>
      <c r="D65" s="4"/>
      <c r="E65" s="12">
        <f>$C$12*(D51/$C$10-1)*$C$5*$C$6*($C$7+$C$8)*C51*$C$9</f>
        <v>270580.56197660975</v>
      </c>
      <c r="F65" s="12">
        <f>$C$12*(F51/$C$10-1)*$C$5*$C$6*($C$7+$C$8)*E51*$C$9</f>
        <v>378489.00978506467</v>
      </c>
      <c r="G65" s="12">
        <f t="shared" si="3"/>
        <v>649069</v>
      </c>
    </row>
    <row r="66" spans="2:12" ht="19" customHeight="1" x14ac:dyDescent="0.3">
      <c r="B66" s="41" t="s">
        <v>47</v>
      </c>
      <c r="C66" s="42"/>
      <c r="D66" s="42"/>
      <c r="E66" s="42"/>
      <c r="F66" s="43"/>
      <c r="G66" s="14">
        <f>SUM(G56:G65)</f>
        <v>5195362</v>
      </c>
    </row>
    <row r="67" spans="2:12" ht="19" customHeight="1" x14ac:dyDescent="0.3">
      <c r="B67" s="41" t="s">
        <v>48</v>
      </c>
      <c r="C67" s="42"/>
      <c r="D67" s="42"/>
      <c r="E67" s="42"/>
      <c r="F67" s="43"/>
      <c r="G67" s="15">
        <v>10</v>
      </c>
    </row>
    <row r="68" spans="2:12" ht="19" customHeight="1" x14ac:dyDescent="0.3">
      <c r="B68" s="41" t="s">
        <v>49</v>
      </c>
      <c r="C68" s="42"/>
      <c r="D68" s="42"/>
      <c r="E68" s="42"/>
      <c r="F68" s="43"/>
      <c r="G68" s="28">
        <f>ROUNDDOWN(G66/G67,0)</f>
        <v>519536</v>
      </c>
    </row>
    <row r="69" spans="2:12" ht="21.5" customHeight="1" x14ac:dyDescent="0.3">
      <c r="B69" s="52" t="s">
        <v>52</v>
      </c>
      <c r="C69" s="53"/>
      <c r="D69" s="53"/>
      <c r="E69" s="53"/>
      <c r="F69" s="54"/>
      <c r="G69" s="27">
        <f>G68/C6/(C7+C8)/C9</f>
        <v>253609.27625269667</v>
      </c>
      <c r="H69" s="29" t="s">
        <v>53</v>
      </c>
    </row>
    <row r="71" spans="2:12" ht="31.5" customHeight="1" x14ac:dyDescent="0.3">
      <c r="B71" s="47" t="s">
        <v>54</v>
      </c>
      <c r="C71" s="47"/>
      <c r="D71" s="47"/>
      <c r="E71" s="47"/>
      <c r="F71" s="47"/>
      <c r="G71" s="47"/>
    </row>
    <row r="72" spans="2:12" ht="42" x14ac:dyDescent="0.3">
      <c r="B72" s="13" t="s">
        <v>43</v>
      </c>
      <c r="C72" s="14" t="s">
        <v>84</v>
      </c>
      <c r="D72" s="14" t="s">
        <v>85</v>
      </c>
      <c r="E72" s="14" t="s">
        <v>86</v>
      </c>
      <c r="F72" s="14" t="s">
        <v>87</v>
      </c>
      <c r="G72" s="15" t="s">
        <v>46</v>
      </c>
    </row>
    <row r="73" spans="2:12" ht="18.5" customHeight="1" x14ac:dyDescent="0.4">
      <c r="B73" s="15" t="s">
        <v>99</v>
      </c>
      <c r="C73" s="12">
        <f>C56*(191/365)^2</f>
        <v>49051.757727412762</v>
      </c>
      <c r="D73" s="12">
        <v>0</v>
      </c>
      <c r="E73" s="12">
        <v>0</v>
      </c>
      <c r="F73" s="12">
        <v>0</v>
      </c>
      <c r="G73" s="12">
        <f>ROUNDDOWN(SUM(C73:F73),0)</f>
        <v>49051</v>
      </c>
      <c r="I73" s="23" t="s">
        <v>67</v>
      </c>
      <c r="J73" s="23" t="s">
        <v>68</v>
      </c>
      <c r="K73" s="24" t="s">
        <v>69</v>
      </c>
      <c r="L73" s="23" t="s">
        <v>70</v>
      </c>
    </row>
    <row r="74" spans="2:12" ht="15.5" x14ac:dyDescent="0.35">
      <c r="B74" s="15" t="s">
        <v>55</v>
      </c>
      <c r="C74" s="12">
        <f>C56-C73+C57*191/365</f>
        <v>305653.85843331343</v>
      </c>
      <c r="D74" s="12">
        <v>0</v>
      </c>
      <c r="E74" s="12">
        <v>0</v>
      </c>
      <c r="F74" s="12">
        <v>0</v>
      </c>
      <c r="G74" s="12">
        <f t="shared" ref="G74:G83" si="4">ROUNDDOWN(SUM(C74:F74),0)</f>
        <v>305653</v>
      </c>
      <c r="I74" s="25">
        <v>44736</v>
      </c>
      <c r="J74" s="25">
        <v>44926</v>
      </c>
      <c r="K74" s="26">
        <f>J74-I74+1</f>
        <v>191</v>
      </c>
      <c r="L74" s="26">
        <f>365-K74</f>
        <v>174</v>
      </c>
    </row>
    <row r="75" spans="2:12" x14ac:dyDescent="0.3">
      <c r="B75" s="15" t="s">
        <v>56</v>
      </c>
      <c r="C75" s="12">
        <f>C57*174/365+C58*191/365</f>
        <v>323908.16428436118</v>
      </c>
      <c r="D75" s="1">
        <v>0</v>
      </c>
      <c r="E75" s="4">
        <v>0</v>
      </c>
      <c r="F75" s="4">
        <v>0</v>
      </c>
      <c r="G75" s="12">
        <f t="shared" si="4"/>
        <v>323908</v>
      </c>
    </row>
    <row r="76" spans="2:12" x14ac:dyDescent="0.3">
      <c r="B76" s="15" t="s">
        <v>57</v>
      </c>
      <c r="C76" s="12">
        <f>C58*174/365+C59*191/365</f>
        <v>302003.94816944742</v>
      </c>
      <c r="D76" s="12">
        <f>D59*(191/365)^2</f>
        <v>55333.672945296399</v>
      </c>
      <c r="E76" s="12">
        <v>0</v>
      </c>
      <c r="F76" s="12">
        <v>0</v>
      </c>
      <c r="G76" s="12">
        <f t="shared" si="4"/>
        <v>357337</v>
      </c>
    </row>
    <row r="77" spans="2:12" x14ac:dyDescent="0.3">
      <c r="B77" s="15" t="s">
        <v>58</v>
      </c>
      <c r="C77" s="12">
        <f>C59*174/365+C60*191/365</f>
        <v>280641.8209424502</v>
      </c>
      <c r="D77" s="12">
        <f>D59-D76+D60*191/365</f>
        <v>344798.05455707508</v>
      </c>
      <c r="E77" s="12">
        <v>0</v>
      </c>
      <c r="F77" s="12">
        <v>0</v>
      </c>
      <c r="G77" s="12">
        <f t="shared" si="4"/>
        <v>625439</v>
      </c>
    </row>
    <row r="78" spans="2:12" x14ac:dyDescent="0.3">
      <c r="B78" s="15" t="s">
        <v>59</v>
      </c>
      <c r="C78" s="12">
        <f>C60*174/365+C61*(1-(174/365)^2)</f>
        <v>225584.38205296965</v>
      </c>
      <c r="D78" s="12">
        <f>D60*174/365+D61*191/365</f>
        <v>365390.1359951843</v>
      </c>
      <c r="E78" s="12">
        <f>E61*(191/365)^2</f>
        <v>49051.757727412762</v>
      </c>
      <c r="F78" s="12">
        <v>0</v>
      </c>
      <c r="G78" s="12">
        <f t="shared" si="4"/>
        <v>640026</v>
      </c>
    </row>
    <row r="79" spans="2:12" x14ac:dyDescent="0.3">
      <c r="B79" s="15" t="s">
        <v>60</v>
      </c>
      <c r="C79" s="12">
        <f>C61*(174/365)^2</f>
        <v>28407.454833714484</v>
      </c>
      <c r="D79" s="12">
        <f>D61*174/365+D62*191/365</f>
        <v>340680.71095559245</v>
      </c>
      <c r="E79" s="12">
        <f>E61-E78+E62*191/365</f>
        <v>305653.85843331343</v>
      </c>
      <c r="F79" s="12">
        <v>0</v>
      </c>
      <c r="G79" s="12">
        <f t="shared" si="4"/>
        <v>674742</v>
      </c>
    </row>
    <row r="80" spans="2:12" x14ac:dyDescent="0.3">
      <c r="B80" s="15" t="s">
        <v>61</v>
      </c>
      <c r="C80" s="12">
        <v>0</v>
      </c>
      <c r="D80" s="12">
        <f>D62*174/365+D63*191/365</f>
        <v>316582.79854309023</v>
      </c>
      <c r="E80" s="12">
        <f>E62*174/365+E63*191/365</f>
        <v>323908.16428436118</v>
      </c>
      <c r="F80" s="12">
        <v>0</v>
      </c>
      <c r="G80" s="12">
        <f t="shared" si="4"/>
        <v>640490</v>
      </c>
    </row>
    <row r="81" spans="2:7" x14ac:dyDescent="0.3">
      <c r="B81" s="15" t="s">
        <v>62</v>
      </c>
      <c r="C81" s="12">
        <v>0</v>
      </c>
      <c r="D81" s="37">
        <f>D63*174/365+D64*(1-(174/365)^2)</f>
        <v>254474.31440586239</v>
      </c>
      <c r="E81" s="12">
        <f>E63*174/365+E64*191/365</f>
        <v>302003.94816944742</v>
      </c>
      <c r="F81" s="12">
        <f>F64*(191/365)^2</f>
        <v>55333.672945296399</v>
      </c>
      <c r="G81" s="12">
        <f t="shared" si="4"/>
        <v>611811</v>
      </c>
    </row>
    <row r="82" spans="2:7" x14ac:dyDescent="0.3">
      <c r="B82" s="15" t="s">
        <v>63</v>
      </c>
      <c r="C82" s="12">
        <v>0</v>
      </c>
      <c r="D82" s="12">
        <f>D64*(174/365)^2</f>
        <v>32045.514530024317</v>
      </c>
      <c r="E82" s="12">
        <f>E64*174/365+E65*191/365</f>
        <v>280641.8209424502</v>
      </c>
      <c r="F82" s="12">
        <f>F64-F81+F65*191/365</f>
        <v>344798.05455707508</v>
      </c>
      <c r="G82" s="12">
        <f>SUM(C82:F82)</f>
        <v>657485.3900295496</v>
      </c>
    </row>
    <row r="83" spans="2:7" x14ac:dyDescent="0.3">
      <c r="B83" s="15" t="s">
        <v>100</v>
      </c>
      <c r="C83" s="12">
        <v>0</v>
      </c>
      <c r="D83" s="12">
        <v>0</v>
      </c>
      <c r="E83" s="12">
        <f>E65*174/365</f>
        <v>128989.08981898655</v>
      </c>
      <c r="F83" s="12">
        <f>F65*174/365</f>
        <v>180430.37726740071</v>
      </c>
      <c r="G83" s="12">
        <f>SUM(C83:F83)</f>
        <v>309419.46708638727</v>
      </c>
    </row>
    <row r="84" spans="2:7" ht="31.5" customHeight="1" x14ac:dyDescent="0.3">
      <c r="B84" s="41" t="s">
        <v>47</v>
      </c>
      <c r="C84" s="42"/>
      <c r="D84" s="42"/>
      <c r="E84" s="42"/>
      <c r="F84" s="43"/>
      <c r="G84" s="14">
        <f>SUM(G73:G83)</f>
        <v>5195361.8571159365</v>
      </c>
    </row>
    <row r="85" spans="2:7" ht="24" customHeight="1" x14ac:dyDescent="0.3">
      <c r="B85" s="41" t="s">
        <v>48</v>
      </c>
      <c r="C85" s="42"/>
      <c r="D85" s="42"/>
      <c r="E85" s="42"/>
      <c r="F85" s="43"/>
      <c r="G85" s="15">
        <v>10</v>
      </c>
    </row>
    <row r="86" spans="2:7" ht="28.5" customHeight="1" x14ac:dyDescent="0.3">
      <c r="B86" s="41" t="s">
        <v>49</v>
      </c>
      <c r="C86" s="42"/>
      <c r="D86" s="42"/>
      <c r="E86" s="42"/>
      <c r="F86" s="43"/>
      <c r="G86" s="19">
        <f>ROUNDDOWN(G84/G85,0)</f>
        <v>519536</v>
      </c>
    </row>
  </sheetData>
  <mergeCells count="19">
    <mergeCell ref="B69:F69"/>
    <mergeCell ref="B71:G71"/>
    <mergeCell ref="B84:F84"/>
    <mergeCell ref="B85:F85"/>
    <mergeCell ref="B86:F86"/>
    <mergeCell ref="F23:F29"/>
    <mergeCell ref="B1:E1"/>
    <mergeCell ref="B23:B29"/>
    <mergeCell ref="E23:E29"/>
    <mergeCell ref="D23:D29"/>
    <mergeCell ref="B2:F2"/>
    <mergeCell ref="B66:F66"/>
    <mergeCell ref="B67:F67"/>
    <mergeCell ref="B68:F68"/>
    <mergeCell ref="C33:D33"/>
    <mergeCell ref="E33:F33"/>
    <mergeCell ref="C46:D46"/>
    <mergeCell ref="E46:F46"/>
    <mergeCell ref="B54:G54"/>
  </mergeCells>
  <phoneticPr fontId="1" type="noConversion"/>
  <pageMargins left="0.7" right="0.7" top="0.75" bottom="0.75" header="0.3" footer="0.3"/>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gyq</dc:creator>
  <cp:lastModifiedBy>gyq</cp:lastModifiedBy>
  <dcterms:created xsi:type="dcterms:W3CDTF">2015-06-05T18:17:20Z</dcterms:created>
  <dcterms:modified xsi:type="dcterms:W3CDTF">2025-06-12T02:46:29Z</dcterms:modified>
</cp:coreProperties>
</file>