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刘鑫\Desktop\东方希望修改2025.07.29\"/>
    </mc:Choice>
  </mc:AlternateContent>
  <xr:revisionPtr revIDLastSave="0" documentId="13_ncr:1_{E438F0DF-7A4E-4613-91EE-D3068EDE19B1}" xr6:coauthVersionLast="47" xr6:coauthVersionMax="47" xr10:uidLastSave="{00000000-0000-0000-0000-000000000000}"/>
  <bookViews>
    <workbookView xWindow="-93" yWindow="-93" windowWidth="23226" windowHeight="13986" firstSheet="1" activeTab="5" xr2:uid="{00000000-000D-0000-FFFF-FFFF00000000}"/>
  </bookViews>
  <sheets>
    <sheet name="COVER" sheetId="1" r:id="rId1"/>
    <sheet name="BASIC INFORMATION" sheetId="6" r:id="rId2"/>
    <sheet name="BASELINE EMISSIONS  " sheetId="2" r:id="rId3"/>
    <sheet name="PROJECT EMISSION  " sheetId="3" r:id="rId4"/>
    <sheet name="LEAKEAGE " sheetId="4" r:id="rId5"/>
    <sheet name="EMISSION REDUCTION" sheetId="5" r:id="rId6"/>
  </sheets>
  <externalReferences>
    <externalReference r:id="rId7"/>
    <externalReference r:id="rId8"/>
    <externalReference r:id="rId9"/>
  </externalReferences>
  <calcPr calcId="191029"/>
</workbook>
</file>

<file path=xl/calcChain.xml><?xml version="1.0" encoding="utf-8"?>
<calcChain xmlns="http://schemas.openxmlformats.org/spreadsheetml/2006/main">
  <c r="D53" i="3" l="1"/>
  <c r="E16" i="5"/>
  <c r="E6" i="5"/>
  <c r="C16" i="5"/>
  <c r="C6" i="5"/>
  <c r="E15" i="5"/>
  <c r="C15" i="5"/>
  <c r="E14" i="5"/>
  <c r="C14" i="5"/>
  <c r="E13" i="5"/>
  <c r="C13" i="5"/>
  <c r="E12" i="5"/>
  <c r="C12" i="5"/>
  <c r="E11" i="5"/>
  <c r="C11" i="5"/>
  <c r="E10" i="5"/>
  <c r="C10" i="5"/>
  <c r="E9" i="5"/>
  <c r="C9" i="5"/>
  <c r="E8" i="5"/>
  <c r="C8" i="5"/>
  <c r="E7" i="5"/>
  <c r="C7" i="5"/>
  <c r="B91" i="4"/>
  <c r="B88" i="4"/>
  <c r="B87" i="4"/>
  <c r="B86" i="4"/>
  <c r="B85" i="4"/>
  <c r="B82" i="4"/>
  <c r="B81" i="4"/>
  <c r="D75" i="4"/>
  <c r="B75" i="4"/>
  <c r="D74" i="4"/>
  <c r="C74" i="4"/>
  <c r="B74" i="4"/>
  <c r="D73" i="4"/>
  <c r="C73" i="4"/>
  <c r="B73" i="4"/>
  <c r="D71" i="4"/>
  <c r="C71" i="4"/>
  <c r="D70" i="4"/>
  <c r="C70" i="4"/>
  <c r="B70" i="4"/>
  <c r="B64" i="4"/>
  <c r="D63" i="4"/>
  <c r="D61" i="4"/>
  <c r="B61" i="4"/>
  <c r="D60" i="4"/>
  <c r="C60" i="4"/>
  <c r="B60" i="4"/>
  <c r="C59" i="4"/>
  <c r="B59" i="4"/>
  <c r="D57" i="4"/>
  <c r="C57" i="4"/>
  <c r="B57" i="4"/>
  <c r="D56" i="4"/>
  <c r="C56" i="4"/>
  <c r="B56" i="4"/>
  <c r="B50" i="4"/>
  <c r="B49" i="4"/>
  <c r="B48" i="4"/>
  <c r="B47" i="4"/>
  <c r="D46" i="4"/>
  <c r="C46" i="4"/>
  <c r="B46" i="4"/>
  <c r="D45" i="4"/>
  <c r="B45" i="4"/>
  <c r="D44" i="4"/>
  <c r="B44" i="4"/>
  <c r="D43" i="4"/>
  <c r="B43" i="4"/>
  <c r="D42" i="4"/>
  <c r="B42" i="4"/>
  <c r="D41" i="4"/>
  <c r="B41" i="4"/>
  <c r="B38" i="4"/>
  <c r="D37" i="4"/>
  <c r="C37" i="4"/>
  <c r="B37" i="4"/>
  <c r="B27" i="4"/>
  <c r="B26" i="4"/>
  <c r="B25" i="4"/>
  <c r="B24" i="4"/>
  <c r="B23" i="4"/>
  <c r="B15" i="4"/>
  <c r="D14" i="4"/>
  <c r="C14" i="4"/>
  <c r="B14" i="4"/>
  <c r="B107" i="3"/>
  <c r="B105" i="3"/>
  <c r="B91" i="3"/>
  <c r="B88" i="3"/>
  <c r="B87" i="3"/>
  <c r="B86" i="3"/>
  <c r="C85" i="3"/>
  <c r="B85" i="3"/>
  <c r="B84" i="3"/>
  <c r="B81" i="3"/>
  <c r="D80" i="3"/>
  <c r="C79" i="3"/>
  <c r="B79" i="3"/>
  <c r="C78" i="3"/>
  <c r="B78" i="3"/>
  <c r="B75" i="3"/>
  <c r="C73" i="3"/>
  <c r="B73" i="3"/>
  <c r="C72" i="3"/>
  <c r="B72" i="3"/>
  <c r="B65" i="3"/>
  <c r="B92" i="3" s="1"/>
  <c r="B64" i="3"/>
  <c r="B63" i="3"/>
  <c r="B62" i="3"/>
  <c r="B61" i="3"/>
  <c r="B59" i="3"/>
  <c r="B57" i="3"/>
  <c r="B56" i="3"/>
  <c r="B54" i="3"/>
  <c r="B52" i="3"/>
  <c r="B51" i="3"/>
  <c r="B41" i="3"/>
  <c r="D36" i="3"/>
  <c r="C36" i="3"/>
  <c r="B36" i="3"/>
  <c r="C35" i="3"/>
  <c r="B35" i="3"/>
  <c r="D34" i="3"/>
  <c r="B34" i="3"/>
  <c r="D29" i="3"/>
  <c r="B29" i="3"/>
  <c r="D28" i="3"/>
  <c r="C28" i="3"/>
  <c r="B28" i="3"/>
  <c r="B21" i="3"/>
  <c r="B20" i="3"/>
  <c r="D17" i="3"/>
  <c r="C17" i="3"/>
  <c r="B11" i="3"/>
  <c r="B10" i="3"/>
  <c r="D8" i="3"/>
  <c r="B8" i="3"/>
  <c r="B52" i="2"/>
  <c r="B46" i="2"/>
  <c r="B45" i="2"/>
  <c r="D43" i="2"/>
  <c r="C43" i="2"/>
  <c r="B43" i="2"/>
  <c r="D42" i="2"/>
  <c r="C42" i="2"/>
  <c r="B42" i="2"/>
  <c r="B40" i="2"/>
  <c r="B39" i="2"/>
  <c r="D38" i="2"/>
  <c r="B38" i="2"/>
  <c r="D37" i="2"/>
  <c r="B37" i="2"/>
  <c r="B36" i="2"/>
  <c r="B31" i="2"/>
  <c r="B21" i="2"/>
  <c r="B18" i="2"/>
  <c r="B17" i="2"/>
  <c r="B11" i="2"/>
  <c r="C6" i="6"/>
  <c r="B109" i="3" l="1"/>
  <c r="E17" i="5"/>
  <c r="E18" i="5" s="1"/>
  <c r="C17" i="5"/>
  <c r="C18" i="5" s="1"/>
  <c r="D16" i="5" l="1"/>
  <c r="F16" i="5" s="1"/>
  <c r="D6" i="5"/>
  <c r="F6" i="5" s="1"/>
  <c r="D7" i="5"/>
  <c r="F7" i="5" l="1"/>
  <c r="D15" i="5"/>
  <c r="F15" i="5" s="1"/>
  <c r="D13" i="5"/>
  <c r="F13" i="5" s="1"/>
  <c r="D10" i="5"/>
  <c r="F10" i="5" s="1"/>
  <c r="D14" i="5"/>
  <c r="F14" i="5" s="1"/>
  <c r="D9" i="5"/>
  <c r="F9" i="5" s="1"/>
  <c r="D12" i="5"/>
  <c r="F12" i="5" s="1"/>
  <c r="D8" i="5"/>
  <c r="D11" i="5"/>
  <c r="F11" i="5" s="1"/>
  <c r="F8" i="5" l="1"/>
  <c r="D17" i="5"/>
  <c r="D18" i="5" s="1"/>
  <c r="F17" i="5"/>
  <c r="F18" i="5" s="1"/>
</calcChain>
</file>

<file path=xl/sharedStrings.xml><?xml version="1.0" encoding="utf-8"?>
<sst xmlns="http://schemas.openxmlformats.org/spreadsheetml/2006/main" count="522" uniqueCount="251">
  <si>
    <t>Title of the project activity</t>
  </si>
  <si>
    <t>Baoshan East Hope Swine Farm AWMS GHG Mitigation Project</t>
  </si>
  <si>
    <t xml:space="preserve"> ID of the project activity</t>
  </si>
  <si>
    <t>Version number of this calculation sheet</t>
  </si>
  <si>
    <t>Date</t>
  </si>
  <si>
    <t>Duration of crediting period</t>
  </si>
  <si>
    <t>25/8/2023 - 24/8/2033 (both days included)</t>
  </si>
  <si>
    <t>Parameter</t>
  </si>
  <si>
    <t xml:space="preserve">      Value          </t>
  </si>
  <si>
    <t>Unit</t>
  </si>
  <si>
    <t>Source</t>
  </si>
  <si>
    <t>Market Swine</t>
  </si>
  <si>
    <r>
      <rPr>
        <sz val="11"/>
        <color indexed="8"/>
        <rFont val="微软雅黑"/>
        <charset val="134"/>
      </rPr>
      <t>N</t>
    </r>
    <r>
      <rPr>
        <vertAlign val="subscript"/>
        <sz val="11"/>
        <color rgb="FF000000"/>
        <rFont val="微软雅黑"/>
        <charset val="134"/>
      </rPr>
      <t>p,LT</t>
    </r>
  </si>
  <si>
    <t>head</t>
  </si>
  <si>
    <t>EIA</t>
  </si>
  <si>
    <r>
      <rPr>
        <sz val="11"/>
        <color indexed="8"/>
        <rFont val="微软雅黑"/>
        <charset val="134"/>
      </rPr>
      <t>N</t>
    </r>
    <r>
      <rPr>
        <vertAlign val="subscript"/>
        <sz val="11"/>
        <color rgb="FF000000"/>
        <rFont val="微软雅黑"/>
        <charset val="134"/>
      </rPr>
      <t>da,LT</t>
    </r>
  </si>
  <si>
    <t>day</t>
  </si>
  <si>
    <r>
      <rPr>
        <sz val="11"/>
        <color indexed="8"/>
        <rFont val="微软雅黑"/>
        <charset val="134"/>
      </rPr>
      <t>N</t>
    </r>
    <r>
      <rPr>
        <vertAlign val="subscript"/>
        <sz val="11"/>
        <color indexed="8"/>
        <rFont val="微软雅黑"/>
        <charset val="134"/>
      </rPr>
      <t>LT</t>
    </r>
  </si>
  <si>
    <t>T</t>
  </si>
  <si>
    <t>℃</t>
  </si>
  <si>
    <t>https://www.longyang.gov.cn/info/15875/13674609.htm</t>
  </si>
  <si>
    <t>MAP</t>
  </si>
  <si>
    <t>mm</t>
  </si>
  <si>
    <t>PET</t>
  </si>
  <si>
    <r>
      <rPr>
        <sz val="11"/>
        <color indexed="8"/>
        <rFont val="微软雅黑"/>
        <charset val="134"/>
      </rPr>
      <t>W</t>
    </r>
    <r>
      <rPr>
        <vertAlign val="subscript"/>
        <sz val="11"/>
        <color indexed="8"/>
        <rFont val="微软雅黑"/>
        <charset val="134"/>
      </rPr>
      <t>site</t>
    </r>
  </si>
  <si>
    <t>kg</t>
  </si>
  <si>
    <r>
      <rPr>
        <b/>
        <sz val="11"/>
        <rFont val="微软雅黑"/>
        <charset val="134"/>
      </rPr>
      <t>η</t>
    </r>
    <r>
      <rPr>
        <vertAlign val="subscript"/>
        <sz val="11"/>
        <rFont val="微软雅黑"/>
        <charset val="134"/>
      </rPr>
      <t>flare,m</t>
    </r>
  </si>
  <si>
    <t>/</t>
  </si>
  <si>
    <t xml:space="preserve">BASELINE EMISSIONS </t>
  </si>
  <si>
    <r>
      <rPr>
        <b/>
        <sz val="11"/>
        <rFont val="微软雅黑"/>
        <charset val="134"/>
      </rPr>
      <t>（i） CH</t>
    </r>
    <r>
      <rPr>
        <b/>
        <vertAlign val="subscript"/>
        <sz val="11"/>
        <rFont val="微软雅黑"/>
        <charset val="134"/>
      </rPr>
      <t>4</t>
    </r>
    <r>
      <rPr>
        <b/>
        <sz val="11"/>
        <rFont val="微软雅黑"/>
        <charset val="134"/>
      </rPr>
      <t xml:space="preserve"> emissions</t>
    </r>
  </si>
  <si>
    <t>Value</t>
  </si>
  <si>
    <r>
      <rPr>
        <sz val="10"/>
        <color indexed="8"/>
        <rFont val="微软雅黑"/>
        <charset val="134"/>
      </rPr>
      <t>GWP</t>
    </r>
    <r>
      <rPr>
        <vertAlign val="subscript"/>
        <sz val="10"/>
        <color indexed="8"/>
        <rFont val="微软雅黑"/>
        <charset val="134"/>
      </rPr>
      <t>CH4</t>
    </r>
  </si>
  <si>
    <r>
      <rPr>
        <sz val="10"/>
        <color indexed="8"/>
        <rFont val="微软雅黑"/>
        <charset val="134"/>
      </rPr>
      <t>tCO</t>
    </r>
    <r>
      <rPr>
        <vertAlign val="subscript"/>
        <sz val="10"/>
        <color rgb="FF000000"/>
        <rFont val="微软雅黑"/>
        <charset val="134"/>
      </rPr>
      <t>2</t>
    </r>
    <r>
      <rPr>
        <sz val="10"/>
        <color indexed="8"/>
        <rFont val="微软雅黑"/>
        <charset val="134"/>
      </rPr>
      <t>/tCH</t>
    </r>
    <r>
      <rPr>
        <vertAlign val="subscript"/>
        <sz val="10"/>
        <color rgb="FF000000"/>
        <rFont val="微软雅黑"/>
        <charset val="134"/>
      </rPr>
      <t>4</t>
    </r>
  </si>
  <si>
    <t>IPCC Fifth Assessment Report (AR5)</t>
  </si>
  <si>
    <r>
      <rPr>
        <sz val="10"/>
        <color indexed="8"/>
        <rFont val="微软雅黑"/>
        <charset val="134"/>
      </rPr>
      <t>D</t>
    </r>
    <r>
      <rPr>
        <vertAlign val="subscript"/>
        <sz val="10"/>
        <color indexed="8"/>
        <rFont val="微软雅黑"/>
        <charset val="134"/>
      </rPr>
      <t>CH4</t>
    </r>
  </si>
  <si>
    <r>
      <rPr>
        <sz val="10"/>
        <color indexed="8"/>
        <rFont val="微软雅黑"/>
        <charset val="134"/>
      </rPr>
      <t>t/m</t>
    </r>
    <r>
      <rPr>
        <vertAlign val="superscript"/>
        <sz val="10"/>
        <color indexed="8"/>
        <rFont val="微软雅黑"/>
        <charset val="134"/>
      </rPr>
      <t>3</t>
    </r>
  </si>
  <si>
    <t>ACM0010 Version 08.0, page 30</t>
  </si>
  <si>
    <r>
      <rPr>
        <sz val="10"/>
        <color indexed="8"/>
        <rFont val="微软雅黑"/>
        <charset val="134"/>
      </rPr>
      <t>MCF</t>
    </r>
    <r>
      <rPr>
        <vertAlign val="subscript"/>
        <sz val="10"/>
        <color indexed="8"/>
        <rFont val="微软雅黑"/>
        <charset val="134"/>
      </rPr>
      <t>j</t>
    </r>
  </si>
  <si>
    <t>%</t>
  </si>
  <si>
    <t xml:space="preserve">2019 Refinement to 2006 IPCC Guidelines for National Greenhouse Gas Inventories , volume 4, chapter 10, tbl. 10.17 </t>
  </si>
  <si>
    <t>Conservative Factor</t>
  </si>
  <si>
    <t>-</t>
  </si>
  <si>
    <t>ACM0010 Version 08.0, page 31</t>
  </si>
  <si>
    <t>MCF with conservativeness factor</t>
  </si>
  <si>
    <t xml:space="preserve">Calculated  </t>
  </si>
  <si>
    <r>
      <rPr>
        <sz val="10"/>
        <color indexed="8"/>
        <rFont val="微软雅黑"/>
        <charset val="134"/>
      </rPr>
      <t>B</t>
    </r>
    <r>
      <rPr>
        <vertAlign val="subscript"/>
        <sz val="10"/>
        <color indexed="8"/>
        <rFont val="微软雅黑"/>
        <charset val="134"/>
      </rPr>
      <t>0,LT</t>
    </r>
  </si>
  <si>
    <r>
      <rPr>
        <sz val="10"/>
        <color indexed="8"/>
        <rFont val="微软雅黑"/>
        <charset val="134"/>
      </rPr>
      <t>m</t>
    </r>
    <r>
      <rPr>
        <vertAlign val="superscript"/>
        <sz val="10"/>
        <color indexed="8"/>
        <rFont val="微软雅黑"/>
        <charset val="134"/>
      </rPr>
      <t>3</t>
    </r>
    <r>
      <rPr>
        <sz val="10"/>
        <color indexed="8"/>
        <rFont val="微软雅黑"/>
        <charset val="134"/>
      </rPr>
      <t xml:space="preserve"> CH</t>
    </r>
    <r>
      <rPr>
        <vertAlign val="subscript"/>
        <sz val="10"/>
        <color indexed="8"/>
        <rFont val="微软雅黑"/>
        <charset val="134"/>
      </rPr>
      <t>4</t>
    </r>
    <r>
      <rPr>
        <sz val="10"/>
        <color indexed="8"/>
        <rFont val="微软雅黑"/>
        <charset val="134"/>
      </rPr>
      <t xml:space="preserve"> /kg-dm</t>
    </r>
  </si>
  <si>
    <t>2019 Refinement to 2006 IPCC Guidelines for National Greenhouse Gas Inventories , volume 4, chapter 10, tbl. 10.16 ，High PS，swine</t>
  </si>
  <si>
    <r>
      <rPr>
        <sz val="10"/>
        <color indexed="8"/>
        <rFont val="微软雅黑"/>
        <charset val="134"/>
      </rPr>
      <t>N</t>
    </r>
    <r>
      <rPr>
        <vertAlign val="subscript"/>
        <sz val="10"/>
        <color indexed="8"/>
        <rFont val="微软雅黑"/>
        <charset val="134"/>
      </rPr>
      <t>LT</t>
    </r>
  </si>
  <si>
    <t>No of heads</t>
  </si>
  <si>
    <r>
      <rPr>
        <sz val="10"/>
        <color indexed="8"/>
        <rFont val="微软雅黑"/>
        <charset val="134"/>
      </rPr>
      <t>W</t>
    </r>
    <r>
      <rPr>
        <vertAlign val="subscript"/>
        <sz val="10"/>
        <color indexed="8"/>
        <rFont val="微软雅黑"/>
        <charset val="134"/>
      </rPr>
      <t>site</t>
    </r>
  </si>
  <si>
    <t xml:space="preserve">Default values for volatile solid excretion rate </t>
  </si>
  <si>
    <t>kg VS (1000 Kg animal mass)-1day-1</t>
  </si>
  <si>
    <t>2019 Refinement to the 2006 IPCC Guidelines table 10.13a, chapter 10, volume 4  Finishing,  asia,  High PS</t>
  </si>
  <si>
    <r>
      <rPr>
        <sz val="10"/>
        <color indexed="8"/>
        <rFont val="微软雅黑"/>
        <charset val="134"/>
      </rPr>
      <t>W</t>
    </r>
    <r>
      <rPr>
        <vertAlign val="subscript"/>
        <sz val="10"/>
        <color indexed="8"/>
        <rFont val="微软雅黑"/>
        <charset val="134"/>
      </rPr>
      <t>default</t>
    </r>
  </si>
  <si>
    <t>2019 Refinement to 2006 IPCC Guidelines for National  Greenhouse Gas Inventories, Volume 4, Chapter 10, Table 10A.5，High PS</t>
  </si>
  <si>
    <r>
      <rPr>
        <sz val="10"/>
        <color indexed="8"/>
        <rFont val="微软雅黑"/>
        <charset val="134"/>
      </rPr>
      <t>VS</t>
    </r>
    <r>
      <rPr>
        <vertAlign val="subscript"/>
        <sz val="10"/>
        <color indexed="8"/>
        <rFont val="微软雅黑"/>
        <charset val="134"/>
      </rPr>
      <t>default</t>
    </r>
  </si>
  <si>
    <t>kg-dm/animal/day</t>
  </si>
  <si>
    <t>Calculated</t>
  </si>
  <si>
    <r>
      <rPr>
        <sz val="10"/>
        <color indexed="8"/>
        <rFont val="微软雅黑"/>
        <charset val="134"/>
      </rPr>
      <t>VS</t>
    </r>
    <r>
      <rPr>
        <vertAlign val="subscript"/>
        <sz val="10"/>
        <color indexed="8"/>
        <rFont val="微软雅黑"/>
        <charset val="134"/>
      </rPr>
      <t>LT,y</t>
    </r>
  </si>
  <si>
    <t>kg-dm/animal/yr</t>
  </si>
  <si>
    <t xml:space="preserve">Project proponents /anaerobic lagoon only </t>
  </si>
  <si>
    <r>
      <rPr>
        <sz val="10"/>
        <color indexed="8"/>
        <rFont val="微软雅黑"/>
        <charset val="134"/>
      </rPr>
      <t>MS%</t>
    </r>
    <r>
      <rPr>
        <vertAlign val="subscript"/>
        <sz val="10"/>
        <color indexed="8"/>
        <rFont val="微软雅黑"/>
        <charset val="134"/>
      </rPr>
      <t>Bl,j</t>
    </r>
  </si>
  <si>
    <r>
      <rPr>
        <sz val="10"/>
        <color indexed="8"/>
        <rFont val="微软雅黑"/>
        <charset val="134"/>
      </rPr>
      <t>nd</t>
    </r>
    <r>
      <rPr>
        <vertAlign val="subscript"/>
        <sz val="10"/>
        <color indexed="8"/>
        <rFont val="微软雅黑"/>
        <charset val="134"/>
      </rPr>
      <t>y</t>
    </r>
  </si>
  <si>
    <t>days</t>
  </si>
  <si>
    <t>Days per year</t>
  </si>
  <si>
    <r>
      <rPr>
        <b/>
        <sz val="11"/>
        <color indexed="8"/>
        <rFont val="微软雅黑"/>
        <charset val="134"/>
      </rPr>
      <t>BE</t>
    </r>
    <r>
      <rPr>
        <b/>
        <vertAlign val="subscript"/>
        <sz val="11"/>
        <color indexed="8"/>
        <rFont val="微软雅黑"/>
        <charset val="134"/>
      </rPr>
      <t>CH4,y</t>
    </r>
  </si>
  <si>
    <r>
      <rPr>
        <b/>
        <sz val="10"/>
        <color indexed="8"/>
        <rFont val="微软雅黑"/>
        <charset val="134"/>
      </rPr>
      <t>tCO</t>
    </r>
    <r>
      <rPr>
        <b/>
        <vertAlign val="subscript"/>
        <sz val="10"/>
        <color rgb="FF000000"/>
        <rFont val="微软雅黑"/>
        <charset val="134"/>
      </rPr>
      <t>2</t>
    </r>
    <r>
      <rPr>
        <b/>
        <sz val="10"/>
        <color indexed="8"/>
        <rFont val="微软雅黑"/>
        <charset val="134"/>
      </rPr>
      <t>e</t>
    </r>
  </si>
  <si>
    <r>
      <rPr>
        <b/>
        <sz val="10"/>
        <rFont val="微软雅黑"/>
        <charset val="134"/>
      </rPr>
      <t>（ii） N</t>
    </r>
    <r>
      <rPr>
        <b/>
        <vertAlign val="subscript"/>
        <sz val="10"/>
        <rFont val="微软雅黑"/>
        <charset val="134"/>
      </rPr>
      <t>2</t>
    </r>
    <r>
      <rPr>
        <b/>
        <sz val="10"/>
        <rFont val="微软雅黑"/>
        <charset val="134"/>
      </rPr>
      <t>O emissions</t>
    </r>
  </si>
  <si>
    <r>
      <rPr>
        <b/>
        <sz val="10"/>
        <rFont val="Verdana"/>
        <family val="2"/>
      </rPr>
      <t>Direct N</t>
    </r>
    <r>
      <rPr>
        <b/>
        <vertAlign val="subscript"/>
        <sz val="10"/>
        <rFont val="Verdana"/>
        <family val="2"/>
      </rPr>
      <t>2</t>
    </r>
    <r>
      <rPr>
        <b/>
        <sz val="10"/>
        <rFont val="Verdana"/>
        <family val="2"/>
      </rPr>
      <t>O Emissions</t>
    </r>
  </si>
  <si>
    <t xml:space="preserve"> Value</t>
  </si>
  <si>
    <r>
      <rPr>
        <sz val="10"/>
        <rFont val="微软雅黑"/>
        <charset val="134"/>
      </rPr>
      <t>EF</t>
    </r>
    <r>
      <rPr>
        <vertAlign val="subscript"/>
        <sz val="10"/>
        <rFont val="微软雅黑"/>
        <charset val="134"/>
      </rPr>
      <t>N2O,D,j</t>
    </r>
  </si>
  <si>
    <r>
      <rPr>
        <sz val="10"/>
        <rFont val="微软雅黑"/>
        <charset val="134"/>
      </rPr>
      <t>kg N</t>
    </r>
    <r>
      <rPr>
        <vertAlign val="subscript"/>
        <sz val="10"/>
        <rFont val="微软雅黑"/>
        <charset val="134"/>
      </rPr>
      <t>2</t>
    </r>
    <r>
      <rPr>
        <sz val="10"/>
        <rFont val="微软雅黑"/>
        <charset val="134"/>
      </rPr>
      <t>O-N/kg N</t>
    </r>
  </si>
  <si>
    <t>2019 Refinement to 2006 IPCC Guidelines for National Greenhouse Gas Inventories, Volume 4, Chapter 10, Table 10.21  Uncovered anaerobic lagoon</t>
  </si>
  <si>
    <r>
      <rPr>
        <sz val="10"/>
        <rFont val="微软雅黑"/>
        <charset val="134"/>
      </rPr>
      <t>EF</t>
    </r>
    <r>
      <rPr>
        <vertAlign val="subscript"/>
        <sz val="10"/>
        <rFont val="微软雅黑"/>
        <charset val="134"/>
      </rPr>
      <t>N2O,ID</t>
    </r>
  </si>
  <si>
    <r>
      <rPr>
        <sz val="10"/>
        <rFont val="微软雅黑"/>
        <charset val="134"/>
      </rPr>
      <t>kg N</t>
    </r>
    <r>
      <rPr>
        <vertAlign val="subscript"/>
        <sz val="10"/>
        <rFont val="微软雅黑"/>
        <charset val="134"/>
      </rPr>
      <t>2</t>
    </r>
    <r>
      <rPr>
        <sz val="10"/>
        <rFont val="微软雅黑"/>
        <charset val="134"/>
      </rPr>
      <t>O/kg N</t>
    </r>
  </si>
  <si>
    <t>2019 Refinement to 2006 IPCC Guidelines for National Greenhouse Gas Inventories, Volume 4, Chapter 11, Table 11.3 Uncovered  lagoon</t>
  </si>
  <si>
    <r>
      <rPr>
        <sz val="10"/>
        <rFont val="微软雅黑"/>
        <charset val="134"/>
      </rPr>
      <t>NEX</t>
    </r>
    <r>
      <rPr>
        <vertAlign val="subscript"/>
        <sz val="10"/>
        <rFont val="微软雅黑"/>
        <charset val="134"/>
      </rPr>
      <t>IPCC default</t>
    </r>
  </si>
  <si>
    <t>kg N/animal/year</t>
  </si>
  <si>
    <t>TAM</t>
  </si>
  <si>
    <t>2019 Refinement to the 2006 IPCC Guidelines table 10.A5, chapter 10, volume 4  Asia  high PS finishing</t>
  </si>
  <si>
    <r>
      <rPr>
        <sz val="10"/>
        <rFont val="微软雅黑"/>
        <charset val="134"/>
      </rPr>
      <t>W</t>
    </r>
    <r>
      <rPr>
        <vertAlign val="subscript"/>
        <sz val="10"/>
        <rFont val="微软雅黑"/>
        <charset val="134"/>
      </rPr>
      <t>site</t>
    </r>
  </si>
  <si>
    <r>
      <rPr>
        <sz val="10"/>
        <rFont val="微软雅黑"/>
        <charset val="134"/>
      </rPr>
      <t>W</t>
    </r>
    <r>
      <rPr>
        <vertAlign val="subscript"/>
        <sz val="10"/>
        <rFont val="微软雅黑"/>
        <charset val="134"/>
      </rPr>
      <t>default</t>
    </r>
  </si>
  <si>
    <r>
      <rPr>
        <sz val="10"/>
        <rFont val="微软雅黑"/>
        <charset val="134"/>
      </rPr>
      <t>N</t>
    </r>
    <r>
      <rPr>
        <vertAlign val="subscript"/>
        <sz val="10"/>
        <rFont val="微软雅黑"/>
        <charset val="134"/>
      </rPr>
      <t>rate(T)</t>
    </r>
  </si>
  <si>
    <t>kg N/1000kg animal mass/day</t>
  </si>
  <si>
    <t>2019 Refinement to the 2006 IPCC Guidelines table 10.19, chapter 10, volume 4   Asia  high PS finishing</t>
  </si>
  <si>
    <r>
      <rPr>
        <sz val="10"/>
        <rFont val="微软雅黑"/>
        <charset val="134"/>
      </rPr>
      <t>NEX</t>
    </r>
    <r>
      <rPr>
        <vertAlign val="subscript"/>
        <sz val="10"/>
        <rFont val="微软雅黑"/>
        <charset val="134"/>
      </rPr>
      <t>LT,y</t>
    </r>
  </si>
  <si>
    <r>
      <rPr>
        <sz val="10"/>
        <rFont val="微软雅黑"/>
        <charset val="134"/>
      </rPr>
      <t>E</t>
    </r>
    <r>
      <rPr>
        <vertAlign val="subscript"/>
        <sz val="10"/>
        <rFont val="微软雅黑"/>
        <charset val="134"/>
      </rPr>
      <t>N2O,D,j</t>
    </r>
    <r>
      <rPr>
        <sz val="10"/>
        <rFont val="微软雅黑"/>
        <charset val="134"/>
      </rPr>
      <t xml:space="preserve"> </t>
    </r>
  </si>
  <si>
    <r>
      <rPr>
        <sz val="10"/>
        <rFont val="微软雅黑"/>
        <charset val="134"/>
      </rPr>
      <t>kg N</t>
    </r>
    <r>
      <rPr>
        <vertAlign val="subscript"/>
        <sz val="11"/>
        <color theme="1"/>
        <rFont val="微软雅黑"/>
        <charset val="134"/>
      </rPr>
      <t>2</t>
    </r>
    <r>
      <rPr>
        <sz val="11"/>
        <color theme="1"/>
        <rFont val="微软雅黑"/>
        <charset val="134"/>
      </rPr>
      <t>O-N/year</t>
    </r>
  </si>
  <si>
    <r>
      <rPr>
        <sz val="10"/>
        <rFont val="微软雅黑"/>
        <charset val="134"/>
      </rPr>
      <t>E</t>
    </r>
    <r>
      <rPr>
        <vertAlign val="subscript"/>
        <sz val="10"/>
        <rFont val="微软雅黑"/>
        <charset val="134"/>
      </rPr>
      <t xml:space="preserve">N2O,ID,j </t>
    </r>
  </si>
  <si>
    <r>
      <rPr>
        <sz val="11"/>
        <color theme="1"/>
        <rFont val="微软雅黑"/>
        <charset val="134"/>
      </rPr>
      <t>kg N</t>
    </r>
    <r>
      <rPr>
        <vertAlign val="subscript"/>
        <sz val="11"/>
        <color theme="1"/>
        <rFont val="微软雅黑"/>
        <charset val="134"/>
      </rPr>
      <t>2</t>
    </r>
    <r>
      <rPr>
        <sz val="11"/>
        <color theme="1"/>
        <rFont val="微软雅黑"/>
        <charset val="134"/>
      </rPr>
      <t>O-N/year</t>
    </r>
  </si>
  <si>
    <r>
      <rPr>
        <sz val="10"/>
        <rFont val="微软雅黑"/>
        <charset val="134"/>
      </rPr>
      <t>F</t>
    </r>
    <r>
      <rPr>
        <vertAlign val="subscript"/>
        <sz val="10"/>
        <rFont val="微软雅黑"/>
        <charset val="134"/>
      </rPr>
      <t>gasMS,j,LT</t>
    </r>
  </si>
  <si>
    <t>2019 Refinement to the 2006 IPCC Guidelines table 10.22, chapter 10, volume 4 ,Uncovered anaerobic lagoon ,swine</t>
  </si>
  <si>
    <r>
      <rPr>
        <sz val="10"/>
        <rFont val="微软雅黑"/>
        <charset val="134"/>
      </rPr>
      <t>N</t>
    </r>
    <r>
      <rPr>
        <vertAlign val="subscript"/>
        <sz val="10"/>
        <rFont val="微软雅黑"/>
        <charset val="134"/>
      </rPr>
      <t>LT</t>
    </r>
  </si>
  <si>
    <r>
      <rPr>
        <sz val="10"/>
        <rFont val="微软雅黑"/>
        <charset val="134"/>
      </rPr>
      <t>MS%</t>
    </r>
    <r>
      <rPr>
        <vertAlign val="subscript"/>
        <sz val="10"/>
        <rFont val="微软雅黑"/>
        <charset val="134"/>
      </rPr>
      <t>Bl,j</t>
    </r>
  </si>
  <si>
    <r>
      <rPr>
        <sz val="10"/>
        <rFont val="微软雅黑"/>
        <charset val="134"/>
      </rPr>
      <t>GWP</t>
    </r>
    <r>
      <rPr>
        <vertAlign val="subscript"/>
        <sz val="10"/>
        <rFont val="微软雅黑"/>
        <charset val="134"/>
      </rPr>
      <t>N2O</t>
    </r>
  </si>
  <si>
    <r>
      <rPr>
        <sz val="10"/>
        <rFont val="微软雅黑"/>
        <charset val="134"/>
      </rPr>
      <t>t CO</t>
    </r>
    <r>
      <rPr>
        <vertAlign val="subscript"/>
        <sz val="10"/>
        <rFont val="微软雅黑"/>
        <charset val="134"/>
      </rPr>
      <t>2</t>
    </r>
    <r>
      <rPr>
        <sz val="10"/>
        <rFont val="微软雅黑"/>
        <charset val="134"/>
      </rPr>
      <t>/t N</t>
    </r>
    <r>
      <rPr>
        <vertAlign val="subscript"/>
        <sz val="10"/>
        <rFont val="微软雅黑"/>
        <charset val="134"/>
      </rPr>
      <t>2</t>
    </r>
    <r>
      <rPr>
        <sz val="10"/>
        <rFont val="微软雅黑"/>
        <charset val="134"/>
      </rPr>
      <t>O</t>
    </r>
  </si>
  <si>
    <t>CFN2O,N-N</t>
  </si>
  <si>
    <r>
      <rPr>
        <b/>
        <sz val="11"/>
        <color indexed="8"/>
        <rFont val="微软雅黑"/>
        <charset val="134"/>
      </rPr>
      <t>BE</t>
    </r>
    <r>
      <rPr>
        <b/>
        <vertAlign val="subscript"/>
        <sz val="11"/>
        <color indexed="8"/>
        <rFont val="微软雅黑"/>
        <charset val="134"/>
      </rPr>
      <t>N2O,y</t>
    </r>
  </si>
  <si>
    <r>
      <rPr>
        <sz val="10"/>
        <rFont val="微软雅黑"/>
        <charset val="134"/>
      </rPr>
      <t>t CO</t>
    </r>
    <r>
      <rPr>
        <vertAlign val="subscript"/>
        <sz val="10"/>
        <rFont val="微软雅黑"/>
        <charset val="134"/>
      </rPr>
      <t>2</t>
    </r>
  </si>
  <si>
    <r>
      <rPr>
        <b/>
        <sz val="10"/>
        <rFont val="微软雅黑"/>
        <charset val="134"/>
      </rPr>
      <t>（iii）CO</t>
    </r>
    <r>
      <rPr>
        <b/>
        <vertAlign val="subscript"/>
        <sz val="9"/>
        <rFont val="微软雅黑"/>
        <charset val="134"/>
      </rPr>
      <t>2</t>
    </r>
    <r>
      <rPr>
        <b/>
        <sz val="9"/>
        <rFont val="微软雅黑"/>
        <charset val="134"/>
      </rPr>
      <t xml:space="preserve"> emission from electricity and heat </t>
    </r>
  </si>
  <si>
    <r>
      <rPr>
        <b/>
        <sz val="10"/>
        <rFont val="微软雅黑"/>
        <charset val="134"/>
      </rPr>
      <t>Not applicable as baseline CO</t>
    </r>
    <r>
      <rPr>
        <b/>
        <vertAlign val="subscript"/>
        <sz val="10"/>
        <rFont val="Verdana"/>
        <family val="2"/>
      </rPr>
      <t>2</t>
    </r>
    <r>
      <rPr>
        <b/>
        <sz val="10"/>
        <rFont val="Verdana"/>
        <family val="2"/>
      </rPr>
      <t xml:space="preserve"> emissions from electricity or heat will not be claimed as emission reduction.</t>
    </r>
  </si>
  <si>
    <t xml:space="preserve">BASELINE EMISSIONS      </t>
  </si>
  <si>
    <t xml:space="preserve">PROJECT EMISSION </t>
  </si>
  <si>
    <r>
      <rPr>
        <b/>
        <sz val="11"/>
        <rFont val="微软雅黑"/>
        <charset val="134"/>
      </rPr>
      <t>（i） Methane emissions from AWMS where gas is captured (PE</t>
    </r>
    <r>
      <rPr>
        <vertAlign val="subscript"/>
        <sz val="8"/>
        <rFont val="Verdana"/>
        <family val="2"/>
      </rPr>
      <t>AD, y</t>
    </r>
    <r>
      <rPr>
        <sz val="8"/>
        <rFont val="Verdana"/>
        <family val="2"/>
      </rPr>
      <t>)</t>
    </r>
  </si>
  <si>
    <t xml:space="preserve">  Value </t>
  </si>
  <si>
    <r>
      <rPr>
        <sz val="10"/>
        <rFont val="微软雅黑"/>
        <charset val="134"/>
      </rPr>
      <t>t CH</t>
    </r>
    <r>
      <rPr>
        <vertAlign val="subscript"/>
        <sz val="10"/>
        <rFont val="微软雅黑"/>
        <charset val="134"/>
      </rPr>
      <t>4</t>
    </r>
    <r>
      <rPr>
        <sz val="10"/>
        <rFont val="微软雅黑"/>
        <charset val="134"/>
      </rPr>
      <t xml:space="preserve"> / t CO</t>
    </r>
    <r>
      <rPr>
        <vertAlign val="subscript"/>
        <sz val="10"/>
        <rFont val="微软雅黑"/>
        <charset val="134"/>
      </rPr>
      <t>2</t>
    </r>
  </si>
  <si>
    <r>
      <rPr>
        <sz val="10"/>
        <color indexed="8"/>
        <rFont val="微软雅黑"/>
        <charset val="134"/>
      </rPr>
      <t>EF</t>
    </r>
    <r>
      <rPr>
        <vertAlign val="subscript"/>
        <sz val="10"/>
        <color indexed="8"/>
        <rFont val="微软雅黑"/>
        <charset val="134"/>
      </rPr>
      <t>CH4,default</t>
    </r>
  </si>
  <si>
    <r>
      <rPr>
        <sz val="10"/>
        <rFont val="微软雅黑"/>
        <charset val="134"/>
      </rPr>
      <t>tCH</t>
    </r>
    <r>
      <rPr>
        <vertAlign val="subscript"/>
        <sz val="10"/>
        <rFont val="微软雅黑"/>
        <charset val="134"/>
      </rPr>
      <t xml:space="preserve">4 </t>
    </r>
    <r>
      <rPr>
        <sz val="10"/>
        <rFont val="微软雅黑"/>
        <charset val="134"/>
      </rPr>
      <t>leaked / tCH</t>
    </r>
    <r>
      <rPr>
        <vertAlign val="subscript"/>
        <sz val="10"/>
        <rFont val="微软雅黑"/>
        <charset val="134"/>
      </rPr>
      <t>4</t>
    </r>
    <r>
      <rPr>
        <sz val="10"/>
        <rFont val="微软雅黑"/>
        <charset val="134"/>
      </rPr>
      <t xml:space="preserve"> produced</t>
    </r>
  </si>
  <si>
    <t>Page 12 of tool 14: Project and leakage emissions from anaerobic digesters(Version 02.0)</t>
  </si>
  <si>
    <r>
      <rPr>
        <sz val="10"/>
        <rFont val="微软雅黑"/>
        <charset val="134"/>
      </rPr>
      <t>Q</t>
    </r>
    <r>
      <rPr>
        <vertAlign val="subscript"/>
        <sz val="10"/>
        <rFont val="微软雅黑"/>
        <charset val="134"/>
      </rPr>
      <t>CH4,y</t>
    </r>
  </si>
  <si>
    <r>
      <rPr>
        <sz val="10"/>
        <rFont val="微软雅黑"/>
        <charset val="134"/>
      </rPr>
      <t>tCH</t>
    </r>
    <r>
      <rPr>
        <sz val="8"/>
        <rFont val="微软雅黑"/>
        <charset val="134"/>
      </rPr>
      <t>4</t>
    </r>
  </si>
  <si>
    <t>Calculated based on volume flow of biogas, methane content, and methane density at normal temperature and pressure</t>
  </si>
  <si>
    <r>
      <rPr>
        <b/>
        <sz val="10"/>
        <rFont val="微软雅黑"/>
        <charset val="134"/>
      </rPr>
      <t>PE</t>
    </r>
    <r>
      <rPr>
        <b/>
        <vertAlign val="subscript"/>
        <sz val="10"/>
        <rFont val="微软雅黑"/>
        <charset val="134"/>
      </rPr>
      <t>CH4,y</t>
    </r>
  </si>
  <si>
    <r>
      <rPr>
        <sz val="10"/>
        <rFont val="微软雅黑"/>
        <charset val="134"/>
      </rPr>
      <t>tCO</t>
    </r>
    <r>
      <rPr>
        <vertAlign val="subscript"/>
        <sz val="10"/>
        <rFont val="微软雅黑"/>
        <charset val="134"/>
      </rPr>
      <t>2</t>
    </r>
    <r>
      <rPr>
        <sz val="10"/>
        <rFont val="微软雅黑"/>
        <charset val="134"/>
      </rPr>
      <t>e</t>
    </r>
  </si>
  <si>
    <t xml:space="preserve">Value </t>
  </si>
  <si>
    <r>
      <rPr>
        <sz val="10"/>
        <rFont val="微软雅黑"/>
        <charset val="134"/>
      </rPr>
      <t>GWP</t>
    </r>
    <r>
      <rPr>
        <vertAlign val="subscript"/>
        <sz val="10"/>
        <rFont val="微软雅黑"/>
        <charset val="134"/>
      </rPr>
      <t>CH4</t>
    </r>
  </si>
  <si>
    <r>
      <rPr>
        <sz val="10"/>
        <rFont val="微软雅黑"/>
        <charset val="134"/>
      </rPr>
      <t>F</t>
    </r>
    <r>
      <rPr>
        <vertAlign val="subscript"/>
        <sz val="10"/>
        <rFont val="微软雅黑"/>
        <charset val="134"/>
      </rPr>
      <t>CH4,RG,m</t>
    </r>
  </si>
  <si>
    <r>
      <rPr>
        <sz val="10"/>
        <rFont val="微软雅黑"/>
        <charset val="134"/>
      </rPr>
      <t>t CH</t>
    </r>
    <r>
      <rPr>
        <vertAlign val="subscript"/>
        <sz val="10"/>
        <rFont val="微软雅黑"/>
        <charset val="134"/>
      </rPr>
      <t>4</t>
    </r>
  </si>
  <si>
    <t>Estimated</t>
  </si>
  <si>
    <r>
      <rPr>
        <sz val="10"/>
        <rFont val="微软雅黑"/>
        <charset val="134"/>
      </rPr>
      <t>η</t>
    </r>
    <r>
      <rPr>
        <vertAlign val="subscript"/>
        <sz val="10"/>
        <rFont val="微软雅黑"/>
        <charset val="134"/>
      </rPr>
      <t>flare,m</t>
    </r>
  </si>
  <si>
    <t>Default value of Tool 06-project emission from flaring(Version 03.0)</t>
  </si>
  <si>
    <t>Calcuated</t>
  </si>
  <si>
    <r>
      <rPr>
        <sz val="10"/>
        <rFont val="微软雅黑"/>
        <charset val="134"/>
      </rPr>
      <t>PE</t>
    </r>
    <r>
      <rPr>
        <vertAlign val="subscript"/>
        <sz val="10"/>
        <rFont val="微软雅黑"/>
        <charset val="134"/>
      </rPr>
      <t>AD,y</t>
    </r>
  </si>
  <si>
    <r>
      <t>(ii)Project CH</t>
    </r>
    <r>
      <rPr>
        <b/>
        <vertAlign val="subscript"/>
        <sz val="11"/>
        <rFont val="微软雅黑"/>
        <charset val="134"/>
      </rPr>
      <t>4</t>
    </r>
    <r>
      <rPr>
        <b/>
        <sz val="11"/>
        <rFont val="微软雅黑"/>
        <charset val="134"/>
      </rPr>
      <t xml:space="preserve"> emissions from aerobic AWMS treatment (PE</t>
    </r>
    <r>
      <rPr>
        <b/>
        <vertAlign val="subscript"/>
        <sz val="11"/>
        <rFont val="微软雅黑"/>
        <charset val="134"/>
      </rPr>
      <t>Aer,y</t>
    </r>
    <r>
      <rPr>
        <b/>
        <sz val="11"/>
        <rFont val="微软雅黑"/>
        <charset val="134"/>
      </rPr>
      <t>)</t>
    </r>
  </si>
  <si>
    <r>
      <rPr>
        <sz val="10"/>
        <rFont val="微软雅黑"/>
        <charset val="134"/>
      </rPr>
      <t>D</t>
    </r>
    <r>
      <rPr>
        <vertAlign val="subscript"/>
        <sz val="10"/>
        <rFont val="微软雅黑"/>
        <charset val="134"/>
      </rPr>
      <t>CH4</t>
    </r>
  </si>
  <si>
    <r>
      <rPr>
        <sz val="10"/>
        <rFont val="微软雅黑"/>
        <charset val="134"/>
      </rPr>
      <t>t/m</t>
    </r>
    <r>
      <rPr>
        <vertAlign val="superscript"/>
        <sz val="10"/>
        <rFont val="微软雅黑"/>
        <charset val="134"/>
      </rPr>
      <t>3</t>
    </r>
  </si>
  <si>
    <r>
      <rPr>
        <sz val="10"/>
        <rFont val="微软雅黑"/>
        <charset val="134"/>
      </rPr>
      <t>F</t>
    </r>
    <r>
      <rPr>
        <vertAlign val="subscript"/>
        <sz val="10"/>
        <rFont val="微软雅黑"/>
        <charset val="134"/>
      </rPr>
      <t>Aer</t>
    </r>
  </si>
  <si>
    <t>As this parameter is not monitored in the actual operation,  to be conservative, the value of this parameter in the emission reduction calculation is 100%</t>
  </si>
  <si>
    <r>
      <rPr>
        <sz val="10"/>
        <rFont val="微软雅黑"/>
        <charset val="134"/>
      </rPr>
      <t>1-R</t>
    </r>
    <r>
      <rPr>
        <vertAlign val="subscript"/>
        <sz val="10"/>
        <rFont val="微软雅黑"/>
        <charset val="134"/>
      </rPr>
      <t>VS,1</t>
    </r>
  </si>
  <si>
    <t>Appendix 1 of applied methodology ACM0010 (version 08.0),Underfloor pit storage</t>
  </si>
  <si>
    <r>
      <rPr>
        <sz val="10"/>
        <rFont val="微软雅黑"/>
        <charset val="134"/>
      </rPr>
      <t>1-R</t>
    </r>
    <r>
      <rPr>
        <vertAlign val="subscript"/>
        <sz val="10"/>
        <rFont val="微软雅黑"/>
        <charset val="134"/>
      </rPr>
      <t>VS,2</t>
    </r>
  </si>
  <si>
    <t>Appendix 1 of applied methodology ACM0010 (version 08.0)The anaerobic digester has been assumed as two-cell lagoon.</t>
  </si>
  <si>
    <r>
      <rPr>
        <sz val="10"/>
        <rFont val="微软雅黑"/>
        <charset val="134"/>
      </rPr>
      <t>B</t>
    </r>
    <r>
      <rPr>
        <vertAlign val="subscript"/>
        <sz val="10"/>
        <rFont val="微软雅黑"/>
        <charset val="134"/>
      </rPr>
      <t>o,LT</t>
    </r>
  </si>
  <si>
    <r>
      <rPr>
        <sz val="10"/>
        <rFont val="微软雅黑"/>
        <charset val="134"/>
      </rPr>
      <t>m</t>
    </r>
    <r>
      <rPr>
        <vertAlign val="superscript"/>
        <sz val="10"/>
        <rFont val="微软雅黑"/>
        <charset val="134"/>
      </rPr>
      <t>3</t>
    </r>
    <r>
      <rPr>
        <sz val="10"/>
        <rFont val="微软雅黑"/>
        <charset val="134"/>
      </rPr>
      <t xml:space="preserve"> CH</t>
    </r>
    <r>
      <rPr>
        <vertAlign val="subscript"/>
        <sz val="10"/>
        <rFont val="微软雅黑"/>
        <charset val="134"/>
      </rPr>
      <t>4</t>
    </r>
    <r>
      <rPr>
        <sz val="10"/>
        <rFont val="微软雅黑"/>
        <charset val="134"/>
      </rPr>
      <t xml:space="preserve"> /kg dm</t>
    </r>
  </si>
  <si>
    <r>
      <rPr>
        <sz val="10"/>
        <rFont val="微软雅黑"/>
        <charset val="134"/>
      </rPr>
      <t>VS</t>
    </r>
    <r>
      <rPr>
        <vertAlign val="subscript"/>
        <sz val="10"/>
        <rFont val="微软雅黑"/>
        <charset val="134"/>
      </rPr>
      <t>LT,y</t>
    </r>
  </si>
  <si>
    <r>
      <rPr>
        <sz val="10"/>
        <rFont val="微软雅黑"/>
        <charset val="134"/>
      </rPr>
      <t>MS%</t>
    </r>
    <r>
      <rPr>
        <vertAlign val="subscript"/>
        <sz val="10"/>
        <rFont val="微软雅黑"/>
        <charset val="134"/>
      </rPr>
      <t>j</t>
    </r>
  </si>
  <si>
    <t>Appendix 1 of applied methodology ACM0010 (version 08.0)Underfloor pit storage</t>
  </si>
  <si>
    <t>MS%j</t>
  </si>
  <si>
    <r>
      <rPr>
        <sz val="10"/>
        <rFont val="微软雅黑"/>
        <charset val="134"/>
      </rPr>
      <t>PE</t>
    </r>
    <r>
      <rPr>
        <vertAlign val="subscript"/>
        <sz val="10"/>
        <rFont val="微软雅黑"/>
        <charset val="134"/>
      </rPr>
      <t>sl,y</t>
    </r>
  </si>
  <si>
    <t>All sludge produced from the passive windrow composting is used for land application, which is calculated as leakage emission, so the PEsl,y=0.</t>
  </si>
  <si>
    <r>
      <rPr>
        <b/>
        <sz val="10"/>
        <rFont val="微软雅黑"/>
        <charset val="134"/>
      </rPr>
      <t>PE</t>
    </r>
    <r>
      <rPr>
        <b/>
        <vertAlign val="subscript"/>
        <sz val="10"/>
        <rFont val="微软雅黑"/>
        <charset val="134"/>
      </rPr>
      <t>Aer,y</t>
    </r>
    <r>
      <rPr>
        <b/>
        <sz val="10"/>
        <rFont val="微软雅黑"/>
        <charset val="134"/>
      </rPr>
      <t>(tCO</t>
    </r>
    <r>
      <rPr>
        <b/>
        <vertAlign val="subscript"/>
        <sz val="10"/>
        <rFont val="微软雅黑"/>
        <charset val="134"/>
      </rPr>
      <t>2</t>
    </r>
    <r>
      <rPr>
        <b/>
        <sz val="10"/>
        <rFont val="微软雅黑"/>
        <charset val="134"/>
      </rPr>
      <t>e)</t>
    </r>
  </si>
  <si>
    <r>
      <rPr>
        <b/>
        <sz val="11"/>
        <rFont val="微软雅黑"/>
        <charset val="134"/>
      </rPr>
      <t>(iii) N</t>
    </r>
    <r>
      <rPr>
        <b/>
        <vertAlign val="subscript"/>
        <sz val="11"/>
        <rFont val="微软雅黑"/>
        <charset val="134"/>
      </rPr>
      <t>2</t>
    </r>
    <r>
      <rPr>
        <b/>
        <sz val="11"/>
        <rFont val="微软雅黑"/>
        <charset val="134"/>
      </rPr>
      <t>O emissions from manure management(PE</t>
    </r>
    <r>
      <rPr>
        <b/>
        <vertAlign val="subscript"/>
        <sz val="11"/>
        <rFont val="微软雅黑"/>
        <charset val="134"/>
      </rPr>
      <t>N2O,y</t>
    </r>
    <r>
      <rPr>
        <b/>
        <sz val="11"/>
        <rFont val="微软雅黑"/>
        <charset val="134"/>
      </rPr>
      <t>)</t>
    </r>
  </si>
  <si>
    <r>
      <rPr>
        <b/>
        <sz val="8"/>
        <color indexed="9"/>
        <rFont val="Verdana"/>
        <family val="2"/>
      </rPr>
      <t>PE</t>
    </r>
    <r>
      <rPr>
        <b/>
        <vertAlign val="subscript"/>
        <sz val="8"/>
        <color indexed="9"/>
        <rFont val="Verdana"/>
        <family val="2"/>
      </rPr>
      <t>N2O,Y</t>
    </r>
    <r>
      <rPr>
        <b/>
        <sz val="8"/>
        <color indexed="9"/>
        <rFont val="Verdana"/>
        <family val="2"/>
      </rPr>
      <t>=310*(44/28)*1/1000*EF</t>
    </r>
    <r>
      <rPr>
        <b/>
        <vertAlign val="subscript"/>
        <sz val="8"/>
        <color indexed="9"/>
        <rFont val="Verdana"/>
        <family val="2"/>
      </rPr>
      <t>N2O</t>
    </r>
    <r>
      <rPr>
        <b/>
        <sz val="8"/>
        <color indexed="9"/>
        <rFont val="Verdana"/>
        <family val="2"/>
      </rPr>
      <t>*NEX*N</t>
    </r>
  </si>
  <si>
    <t xml:space="preserve"> Value </t>
  </si>
  <si>
    <r>
      <rPr>
        <sz val="10"/>
        <rFont val="Verdana"/>
        <family val="2"/>
      </rPr>
      <t>EF</t>
    </r>
    <r>
      <rPr>
        <vertAlign val="subscript"/>
        <sz val="10"/>
        <rFont val="Verdana"/>
        <family val="2"/>
      </rPr>
      <t>N2O,D,1</t>
    </r>
  </si>
  <si>
    <r>
      <rPr>
        <sz val="10"/>
        <rFont val="Verdana"/>
        <family val="2"/>
      </rPr>
      <t>kg N</t>
    </r>
    <r>
      <rPr>
        <vertAlign val="subscript"/>
        <sz val="10"/>
        <rFont val="Verdana"/>
        <family val="2"/>
      </rPr>
      <t>2</t>
    </r>
    <r>
      <rPr>
        <sz val="10"/>
        <rFont val="Verdana"/>
        <family val="2"/>
      </rPr>
      <t>O-N/kg N</t>
    </r>
  </si>
  <si>
    <t>2019 Refinement to the 2006 IPCC Guidelines table 10.21, chapter 10, volume 4 Underfloor pit storage</t>
  </si>
  <si>
    <r>
      <rPr>
        <sz val="10"/>
        <rFont val="Verdana"/>
        <family val="2"/>
      </rPr>
      <t>NEX</t>
    </r>
    <r>
      <rPr>
        <vertAlign val="subscript"/>
        <sz val="10"/>
        <rFont val="Verdana"/>
        <family val="2"/>
      </rPr>
      <t>LT,y</t>
    </r>
  </si>
  <si>
    <r>
      <rPr>
        <sz val="10"/>
        <rFont val="Verdana"/>
        <family val="2"/>
      </rPr>
      <t>N</t>
    </r>
    <r>
      <rPr>
        <vertAlign val="subscript"/>
        <sz val="10"/>
        <rFont val="Verdana"/>
        <family val="2"/>
      </rPr>
      <t>LT</t>
    </r>
  </si>
  <si>
    <r>
      <rPr>
        <sz val="10"/>
        <rFont val="Verdana"/>
        <family val="2"/>
      </rPr>
      <t>MS%</t>
    </r>
    <r>
      <rPr>
        <vertAlign val="subscript"/>
        <sz val="10"/>
        <rFont val="Verdana"/>
        <family val="2"/>
      </rPr>
      <t>j</t>
    </r>
  </si>
  <si>
    <t>Sub total</t>
  </si>
  <si>
    <r>
      <rPr>
        <sz val="10"/>
        <rFont val="Verdana"/>
        <family val="2"/>
      </rPr>
      <t>kg N</t>
    </r>
    <r>
      <rPr>
        <vertAlign val="subscript"/>
        <sz val="10"/>
        <rFont val="Verdana"/>
        <family val="2"/>
      </rPr>
      <t>2</t>
    </r>
    <r>
      <rPr>
        <sz val="10"/>
        <rFont val="Verdana"/>
        <family val="2"/>
      </rPr>
      <t>O-N/year</t>
    </r>
  </si>
  <si>
    <r>
      <rPr>
        <sz val="10"/>
        <rFont val="Verdana"/>
        <family val="2"/>
      </rPr>
      <t>EF</t>
    </r>
    <r>
      <rPr>
        <vertAlign val="subscript"/>
        <sz val="10"/>
        <rFont val="Verdana"/>
        <family val="2"/>
      </rPr>
      <t>N2O,D,2</t>
    </r>
  </si>
  <si>
    <t>2019 Refinement to the 2006 IPCC Guidelines table 10.21,chapter 10, volume 4 Anaerobic digester</t>
  </si>
  <si>
    <r>
      <rPr>
        <sz val="10"/>
        <rFont val="Verdana"/>
        <family val="2"/>
      </rPr>
      <t>EF</t>
    </r>
    <r>
      <rPr>
        <vertAlign val="subscript"/>
        <sz val="10"/>
        <rFont val="Verdana"/>
        <family val="2"/>
      </rPr>
      <t>N2O,D,3</t>
    </r>
  </si>
  <si>
    <t>2019 Refinement to the 2006 IPCC Guidelines table 10.21,chapter 10, volume 4 Composting- Passive windrow</t>
  </si>
  <si>
    <r>
      <rPr>
        <b/>
        <sz val="10"/>
        <rFont val="Verdana"/>
        <family val="2"/>
      </rPr>
      <t>E</t>
    </r>
    <r>
      <rPr>
        <b/>
        <vertAlign val="subscript"/>
        <sz val="10"/>
        <rFont val="Verdana"/>
        <family val="2"/>
      </rPr>
      <t>N2O,D,y</t>
    </r>
  </si>
  <si>
    <t>B) PHASE II: Aerobic treatment</t>
  </si>
  <si>
    <t>2019 Refinement to the 2006 IPCC Guidelines table 10.21,chapter 10, volume 4, Default value</t>
  </si>
  <si>
    <r>
      <rPr>
        <sz val="10"/>
        <rFont val="微软雅黑"/>
        <charset val="134"/>
      </rPr>
      <t>F</t>
    </r>
    <r>
      <rPr>
        <vertAlign val="subscript"/>
        <sz val="10"/>
        <rFont val="微软雅黑"/>
        <charset val="134"/>
      </rPr>
      <t>gasMS,1,LT</t>
    </r>
  </si>
  <si>
    <t>2019 Refinement to 2006 IPCC Guidelines table 10.22, chapter 10, volume 4, Underfloor pit storage</t>
  </si>
  <si>
    <r>
      <rPr>
        <sz val="10"/>
        <rFont val="微软雅黑"/>
        <charset val="134"/>
      </rPr>
      <t>kg N</t>
    </r>
    <r>
      <rPr>
        <vertAlign val="subscript"/>
        <sz val="10"/>
        <rFont val="微软雅黑"/>
        <charset val="134"/>
      </rPr>
      <t>2</t>
    </r>
    <r>
      <rPr>
        <sz val="10"/>
        <rFont val="微软雅黑"/>
        <charset val="134"/>
      </rPr>
      <t>O-N/year</t>
    </r>
  </si>
  <si>
    <r>
      <rPr>
        <sz val="10"/>
        <rFont val="微软雅黑"/>
        <charset val="134"/>
      </rPr>
      <t>F</t>
    </r>
    <r>
      <rPr>
        <vertAlign val="subscript"/>
        <sz val="10"/>
        <rFont val="微软雅黑"/>
        <charset val="134"/>
      </rPr>
      <t>gasMS,2,LT</t>
    </r>
  </si>
  <si>
    <t>2019 Refinement to 2006 IPCC Guidelines table 10.22, chapter 10, volume 4，Anaerobic digester</t>
  </si>
  <si>
    <r>
      <rPr>
        <sz val="10"/>
        <rFont val="微软雅黑"/>
        <charset val="134"/>
      </rPr>
      <t>F</t>
    </r>
    <r>
      <rPr>
        <vertAlign val="subscript"/>
        <sz val="10"/>
        <rFont val="微软雅黑"/>
        <charset val="134"/>
      </rPr>
      <t>gasMS,3,LT</t>
    </r>
  </si>
  <si>
    <t>2019 Refinement to 2006 IPCC Guidelines table 10.22, chapter 10, volume 4，Composting- Passive windrow</t>
  </si>
  <si>
    <r>
      <rPr>
        <b/>
        <sz val="10"/>
        <rFont val="微软雅黑"/>
        <charset val="134"/>
      </rPr>
      <t>EF</t>
    </r>
    <r>
      <rPr>
        <b/>
        <vertAlign val="subscript"/>
        <sz val="10"/>
        <rFont val="微软雅黑"/>
        <charset val="134"/>
      </rPr>
      <t>N2O,ID,y</t>
    </r>
  </si>
  <si>
    <r>
      <rPr>
        <sz val="10"/>
        <rFont val="微软雅黑"/>
        <charset val="134"/>
      </rPr>
      <t>tCO</t>
    </r>
    <r>
      <rPr>
        <vertAlign val="subscript"/>
        <sz val="10"/>
        <rFont val="微软雅黑"/>
        <charset val="134"/>
      </rPr>
      <t>2</t>
    </r>
    <r>
      <rPr>
        <sz val="10"/>
        <rFont val="微软雅黑"/>
        <charset val="134"/>
      </rPr>
      <t>/tN</t>
    </r>
    <r>
      <rPr>
        <vertAlign val="subscript"/>
        <sz val="10"/>
        <rFont val="微软雅黑"/>
        <charset val="134"/>
      </rPr>
      <t>2</t>
    </r>
    <r>
      <rPr>
        <sz val="10"/>
        <rFont val="微软雅黑"/>
        <charset val="134"/>
      </rPr>
      <t>O</t>
    </r>
  </si>
  <si>
    <r>
      <rPr>
        <sz val="10"/>
        <rFont val="微软雅黑"/>
        <charset val="134"/>
      </rPr>
      <t>CF</t>
    </r>
    <r>
      <rPr>
        <vertAlign val="subscript"/>
        <sz val="10"/>
        <rFont val="微软雅黑"/>
        <charset val="134"/>
      </rPr>
      <t>N2O-N,N</t>
    </r>
  </si>
  <si>
    <r>
      <rPr>
        <b/>
        <sz val="11"/>
        <rFont val="微软雅黑"/>
        <charset val="134"/>
      </rPr>
      <t>PE</t>
    </r>
    <r>
      <rPr>
        <b/>
        <vertAlign val="subscript"/>
        <sz val="11"/>
        <rFont val="微软雅黑"/>
        <charset val="134"/>
      </rPr>
      <t>N2O,Y</t>
    </r>
  </si>
  <si>
    <r>
      <rPr>
        <b/>
        <sz val="11"/>
        <color theme="1"/>
        <rFont val="Verdana"/>
        <family val="2"/>
      </rPr>
      <t>tCO</t>
    </r>
    <r>
      <rPr>
        <b/>
        <vertAlign val="subscript"/>
        <sz val="11"/>
        <color theme="1"/>
        <rFont val="Verdana"/>
        <family val="2"/>
      </rPr>
      <t>2</t>
    </r>
  </si>
  <si>
    <r>
      <rPr>
        <b/>
        <sz val="11"/>
        <rFont val="微软雅黑"/>
        <charset val="134"/>
      </rPr>
      <t>（vi）Project emissions from use of heat and/or electricity (PE</t>
    </r>
    <r>
      <rPr>
        <vertAlign val="subscript"/>
        <sz val="11"/>
        <rFont val="Verdana"/>
        <family val="2"/>
      </rPr>
      <t>elec/heat</t>
    </r>
    <r>
      <rPr>
        <sz val="11"/>
        <rFont val="Verdana"/>
        <family val="2"/>
      </rPr>
      <t>)</t>
    </r>
  </si>
  <si>
    <t xml:space="preserve">Since the electricity consumption of the anaerobic digestion system cannot be measured separately from the entire AWMS, so the Project emissions from electricity consumption associated with the anaerobic digester and that is not related to the anaerobic digester will be calculated together. </t>
  </si>
  <si>
    <r>
      <rPr>
        <sz val="10"/>
        <rFont val="微软雅黑"/>
        <charset val="134"/>
      </rPr>
      <t>EC</t>
    </r>
    <r>
      <rPr>
        <vertAlign val="subscript"/>
        <sz val="10"/>
        <rFont val="微软雅黑"/>
        <charset val="134"/>
      </rPr>
      <t>PJ,j,y</t>
    </r>
  </si>
  <si>
    <t>MWh/yr</t>
  </si>
  <si>
    <r>
      <rPr>
        <sz val="10"/>
        <rFont val="微软雅黑"/>
        <charset val="134"/>
      </rPr>
      <t>EF</t>
    </r>
    <r>
      <rPr>
        <vertAlign val="subscript"/>
        <sz val="10"/>
        <rFont val="微软雅黑"/>
        <charset val="134"/>
      </rPr>
      <t>grid,OM,y</t>
    </r>
  </si>
  <si>
    <r>
      <rPr>
        <sz val="10"/>
        <rFont val="微软雅黑"/>
        <charset val="134"/>
      </rPr>
      <t>tCO</t>
    </r>
    <r>
      <rPr>
        <vertAlign val="subscript"/>
        <sz val="10"/>
        <rFont val="微软雅黑"/>
        <charset val="134"/>
      </rPr>
      <t>2</t>
    </r>
    <r>
      <rPr>
        <sz val="10"/>
        <rFont val="微软雅黑"/>
        <charset val="134"/>
      </rPr>
      <t>/MWh</t>
    </r>
  </si>
  <si>
    <t>2023 annual emission reduction project China regional power grid baseline emission factors</t>
  </si>
  <si>
    <r>
      <rPr>
        <sz val="10"/>
        <rFont val="微软雅黑"/>
        <charset val="134"/>
      </rPr>
      <t>EF</t>
    </r>
    <r>
      <rPr>
        <vertAlign val="subscript"/>
        <sz val="10"/>
        <rFont val="微软雅黑"/>
        <charset val="134"/>
      </rPr>
      <t>grid,BM,y</t>
    </r>
  </si>
  <si>
    <r>
      <rPr>
        <sz val="10"/>
        <rFont val="微软雅黑"/>
        <charset val="134"/>
      </rPr>
      <t>ω</t>
    </r>
    <r>
      <rPr>
        <vertAlign val="subscript"/>
        <sz val="10"/>
        <rFont val="微软雅黑"/>
        <charset val="134"/>
      </rPr>
      <t>OM</t>
    </r>
  </si>
  <si>
    <r>
      <rPr>
        <sz val="10"/>
        <rFont val="微软雅黑"/>
        <charset val="134"/>
      </rPr>
      <t>ω</t>
    </r>
    <r>
      <rPr>
        <vertAlign val="subscript"/>
        <sz val="10"/>
        <rFont val="微软雅黑"/>
        <charset val="134"/>
      </rPr>
      <t>BM</t>
    </r>
  </si>
  <si>
    <r>
      <rPr>
        <sz val="10"/>
        <rFont val="微软雅黑"/>
        <charset val="134"/>
      </rPr>
      <t>EF</t>
    </r>
    <r>
      <rPr>
        <vertAlign val="subscript"/>
        <sz val="10"/>
        <rFont val="微软雅黑"/>
        <charset val="134"/>
      </rPr>
      <t>EF,j,y</t>
    </r>
  </si>
  <si>
    <r>
      <rPr>
        <sz val="10"/>
        <rFont val="微软雅黑"/>
        <charset val="134"/>
      </rPr>
      <t>TDL</t>
    </r>
    <r>
      <rPr>
        <vertAlign val="subscript"/>
        <sz val="10"/>
        <rFont val="微软雅黑"/>
        <charset val="134"/>
      </rPr>
      <t>j,y</t>
    </r>
  </si>
  <si>
    <r>
      <rPr>
        <b/>
        <sz val="10"/>
        <rFont val="微软雅黑"/>
        <charset val="134"/>
      </rPr>
      <t>PE</t>
    </r>
    <r>
      <rPr>
        <b/>
        <vertAlign val="subscript"/>
        <sz val="10"/>
        <rFont val="微软雅黑"/>
        <charset val="134"/>
      </rPr>
      <t>elect</t>
    </r>
  </si>
  <si>
    <t xml:space="preserve">PROJECT EMISSIONS </t>
  </si>
  <si>
    <t>LEAKEAGE</t>
  </si>
  <si>
    <r>
      <rPr>
        <b/>
        <sz val="11"/>
        <rFont val="微软雅黑"/>
        <charset val="134"/>
      </rPr>
      <t>（i）Estimation of N</t>
    </r>
    <r>
      <rPr>
        <b/>
        <vertAlign val="subscript"/>
        <sz val="9"/>
        <rFont val="微软雅黑"/>
        <charset val="134"/>
      </rPr>
      <t>2</t>
    </r>
    <r>
      <rPr>
        <b/>
        <sz val="9"/>
        <rFont val="微软雅黑"/>
        <charset val="134"/>
      </rPr>
      <t>O emissions:</t>
    </r>
  </si>
  <si>
    <r>
      <rPr>
        <sz val="10"/>
        <rFont val="微软雅黑"/>
        <charset val="134"/>
      </rPr>
      <t>R</t>
    </r>
    <r>
      <rPr>
        <vertAlign val="subscript"/>
        <sz val="10"/>
        <rFont val="微软雅黑"/>
        <charset val="134"/>
      </rPr>
      <t>N,0</t>
    </r>
  </si>
  <si>
    <t xml:space="preserve"> Annex 1 of methodology ACM0010 (version 08.0) uncovered anaerobic lagoon which belongs to the anaerobic treatment of “One-cell lagoon”</t>
  </si>
  <si>
    <r>
      <rPr>
        <sz val="10"/>
        <rFont val="微软雅黑"/>
        <charset val="134"/>
      </rPr>
      <t>EF</t>
    </r>
    <r>
      <rPr>
        <vertAlign val="subscript"/>
        <sz val="10"/>
        <rFont val="微软雅黑"/>
        <charset val="134"/>
      </rPr>
      <t>1</t>
    </r>
  </si>
  <si>
    <t>2019 Refinement to 2006 IPCC Guidelines for National Greenhouse Gas Inventories, Volume 4, Chapter 11, Table 11.1</t>
  </si>
  <si>
    <r>
      <rPr>
        <sz val="10"/>
        <rFont val="微软雅黑"/>
        <charset val="134"/>
      </rPr>
      <t>EF</t>
    </r>
    <r>
      <rPr>
        <vertAlign val="subscript"/>
        <sz val="10"/>
        <rFont val="微软雅黑"/>
        <charset val="134"/>
      </rPr>
      <t>5</t>
    </r>
  </si>
  <si>
    <t>2019 Refinement to 2006 IPCC Guidelines for National Greenhouse Gas Inventories, Volume 4, Chapter 11, Table 11.3</t>
  </si>
  <si>
    <r>
      <rPr>
        <sz val="10"/>
        <rFont val="微软雅黑"/>
        <charset val="134"/>
      </rPr>
      <t>EF</t>
    </r>
    <r>
      <rPr>
        <vertAlign val="subscript"/>
        <sz val="10"/>
        <rFont val="微软雅黑"/>
        <charset val="134"/>
      </rPr>
      <t>4</t>
    </r>
  </si>
  <si>
    <r>
      <rPr>
        <sz val="10"/>
        <rFont val="微软雅黑"/>
        <charset val="134"/>
      </rPr>
      <t>kg N-N</t>
    </r>
    <r>
      <rPr>
        <vertAlign val="subscript"/>
        <sz val="10"/>
        <rFont val="微软雅黑"/>
        <charset val="134"/>
      </rPr>
      <t>2</t>
    </r>
    <r>
      <rPr>
        <sz val="10"/>
        <rFont val="微软雅黑"/>
        <charset val="134"/>
      </rPr>
      <t>O/kg NH</t>
    </r>
    <r>
      <rPr>
        <vertAlign val="subscript"/>
        <sz val="10"/>
        <rFont val="微软雅黑"/>
        <charset val="134"/>
      </rPr>
      <t>3</t>
    </r>
    <r>
      <rPr>
        <sz val="10"/>
        <rFont val="微软雅黑"/>
        <charset val="134"/>
      </rPr>
      <t>-N+NO</t>
    </r>
    <r>
      <rPr>
        <vertAlign val="subscript"/>
        <sz val="10"/>
        <rFont val="微软雅黑"/>
        <charset val="134"/>
      </rPr>
      <t>X</t>
    </r>
    <r>
      <rPr>
        <sz val="10"/>
        <rFont val="微软雅黑"/>
        <charset val="134"/>
      </rPr>
      <t>-N</t>
    </r>
  </si>
  <si>
    <r>
      <rPr>
        <sz val="10"/>
        <rFont val="微软雅黑"/>
        <charset val="134"/>
      </rPr>
      <t>F</t>
    </r>
    <r>
      <rPr>
        <vertAlign val="subscript"/>
        <sz val="10"/>
        <rFont val="微软雅黑"/>
        <charset val="134"/>
      </rPr>
      <t>leach</t>
    </r>
  </si>
  <si>
    <r>
      <rPr>
        <sz val="10"/>
        <rFont val="微软雅黑"/>
        <charset val="134"/>
      </rPr>
      <t>F</t>
    </r>
    <r>
      <rPr>
        <vertAlign val="subscript"/>
        <sz val="10"/>
        <rFont val="微软雅黑"/>
        <charset val="134"/>
      </rPr>
      <t>gasm</t>
    </r>
  </si>
  <si>
    <r>
      <rPr>
        <b/>
        <sz val="10"/>
        <rFont val="微软雅黑"/>
        <charset val="134"/>
      </rPr>
      <t>LE</t>
    </r>
    <r>
      <rPr>
        <b/>
        <vertAlign val="subscript"/>
        <sz val="10"/>
        <rFont val="微软雅黑"/>
        <charset val="134"/>
      </rPr>
      <t>N2O,land,y</t>
    </r>
  </si>
  <si>
    <r>
      <rPr>
        <b/>
        <sz val="10"/>
        <rFont val="微软雅黑"/>
        <charset val="134"/>
      </rPr>
      <t>LE</t>
    </r>
    <r>
      <rPr>
        <b/>
        <vertAlign val="subscript"/>
        <sz val="10"/>
        <rFont val="微软雅黑"/>
        <charset val="134"/>
      </rPr>
      <t>N2O,runoff,y</t>
    </r>
  </si>
  <si>
    <r>
      <rPr>
        <b/>
        <sz val="10"/>
        <rFont val="微软雅黑"/>
        <charset val="134"/>
      </rPr>
      <t>LE</t>
    </r>
    <r>
      <rPr>
        <b/>
        <vertAlign val="subscript"/>
        <sz val="10"/>
        <rFont val="微软雅黑"/>
        <charset val="134"/>
      </rPr>
      <t>N2O,vol,y</t>
    </r>
  </si>
  <si>
    <r>
      <rPr>
        <b/>
        <sz val="10"/>
        <rFont val="微软雅黑"/>
        <charset val="134"/>
      </rPr>
      <t>LE</t>
    </r>
    <r>
      <rPr>
        <b/>
        <vertAlign val="subscript"/>
        <sz val="10"/>
        <rFont val="微软雅黑"/>
        <charset val="134"/>
      </rPr>
      <t>BL,N2O,y</t>
    </r>
  </si>
  <si>
    <t xml:space="preserve">Calculated </t>
  </si>
  <si>
    <r>
      <rPr>
        <sz val="10"/>
        <rFont val="微软雅黑"/>
        <charset val="134"/>
      </rPr>
      <t>R</t>
    </r>
    <r>
      <rPr>
        <vertAlign val="subscript"/>
        <sz val="10"/>
        <rFont val="微软雅黑"/>
        <charset val="134"/>
      </rPr>
      <t>N,1</t>
    </r>
  </si>
  <si>
    <t>Estimated from Table provided in Annex 1 (anaerobic digester as "Underfloor pit storage") of ACM0010</t>
  </si>
  <si>
    <r>
      <rPr>
        <sz val="10"/>
        <rFont val="微软雅黑"/>
        <charset val="134"/>
      </rPr>
      <t>R</t>
    </r>
    <r>
      <rPr>
        <vertAlign val="subscript"/>
        <sz val="10"/>
        <rFont val="微软雅黑"/>
        <charset val="134"/>
      </rPr>
      <t>N,2</t>
    </r>
  </si>
  <si>
    <r>
      <rPr>
        <b/>
        <sz val="10"/>
        <rFont val="微软雅黑"/>
        <charset val="134"/>
      </rPr>
      <t>LE</t>
    </r>
    <r>
      <rPr>
        <b/>
        <vertAlign val="subscript"/>
        <sz val="10"/>
        <rFont val="微软雅黑"/>
        <charset val="134"/>
      </rPr>
      <t>PJ</t>
    </r>
    <r>
      <rPr>
        <b/>
        <i/>
        <vertAlign val="subscript"/>
        <sz val="10"/>
        <rFont val="微软雅黑"/>
        <charset val="134"/>
      </rPr>
      <t>,</t>
    </r>
    <r>
      <rPr>
        <b/>
        <vertAlign val="subscript"/>
        <sz val="10"/>
        <rFont val="微软雅黑"/>
        <charset val="134"/>
      </rPr>
      <t>N2O,y</t>
    </r>
  </si>
  <si>
    <r>
      <rPr>
        <sz val="10"/>
        <rFont val="微软雅黑"/>
        <charset val="134"/>
      </rPr>
      <t xml:space="preserve"> tCO</t>
    </r>
    <r>
      <rPr>
        <vertAlign val="subscript"/>
        <sz val="10"/>
        <rFont val="微软雅黑"/>
        <charset val="134"/>
      </rPr>
      <t>2</t>
    </r>
    <r>
      <rPr>
        <sz val="10"/>
        <rFont val="微软雅黑"/>
        <charset val="134"/>
      </rPr>
      <t>e</t>
    </r>
  </si>
  <si>
    <t>（ii）Methane emissions from disposal of treated manure</t>
  </si>
  <si>
    <r>
      <rPr>
        <sz val="10"/>
        <rFont val="微软雅黑"/>
        <charset val="134"/>
      </rPr>
      <t>MCF</t>
    </r>
    <r>
      <rPr>
        <vertAlign val="subscript"/>
        <sz val="10"/>
        <rFont val="微软雅黑"/>
        <charset val="134"/>
      </rPr>
      <t>d</t>
    </r>
  </si>
  <si>
    <t>Default value ACM0010,page 30</t>
  </si>
  <si>
    <r>
      <rPr>
        <sz val="10"/>
        <rFont val="微软雅黑"/>
        <charset val="134"/>
      </rPr>
      <t>B</t>
    </r>
    <r>
      <rPr>
        <vertAlign val="subscript"/>
        <sz val="10"/>
        <rFont val="微软雅黑"/>
        <charset val="134"/>
      </rPr>
      <t>0</t>
    </r>
  </si>
  <si>
    <r>
      <rPr>
        <sz val="10"/>
        <rFont val="微软雅黑"/>
        <charset val="134"/>
      </rPr>
      <t>m</t>
    </r>
    <r>
      <rPr>
        <vertAlign val="superscript"/>
        <sz val="10"/>
        <rFont val="微软雅黑"/>
        <charset val="134"/>
      </rPr>
      <t>3</t>
    </r>
    <r>
      <rPr>
        <sz val="10"/>
        <rFont val="微软雅黑"/>
        <charset val="134"/>
      </rPr>
      <t xml:space="preserve"> CH</t>
    </r>
    <r>
      <rPr>
        <vertAlign val="subscript"/>
        <sz val="10"/>
        <rFont val="微软雅黑"/>
        <charset val="134"/>
      </rPr>
      <t>4</t>
    </r>
    <r>
      <rPr>
        <sz val="10"/>
        <rFont val="微软雅黑"/>
        <charset val="134"/>
      </rPr>
      <t>/kg-VS</t>
    </r>
  </si>
  <si>
    <r>
      <rPr>
        <sz val="10"/>
        <rFont val="微软雅黑"/>
        <charset val="134"/>
      </rPr>
      <t>R</t>
    </r>
    <r>
      <rPr>
        <vertAlign val="subscript"/>
        <sz val="10"/>
        <rFont val="微软雅黑"/>
        <charset val="134"/>
      </rPr>
      <t>VS,n</t>
    </r>
  </si>
  <si>
    <t>Appendix 1 of applied methodology ACM0010 (version 08.0).For proposed project, the baseline is uncovered anaerobic lagoon which belongs to the anaerobic treatment of One-cell lagoon in the Appendix 1 of applied methodology ACM0010 (version 08.0), so, the RVS,n is 85% which is the most conservative value.</t>
  </si>
  <si>
    <r>
      <rPr>
        <b/>
        <sz val="10"/>
        <rFont val="微软雅黑"/>
        <charset val="134"/>
      </rPr>
      <t>LE</t>
    </r>
    <r>
      <rPr>
        <b/>
        <vertAlign val="subscript"/>
        <sz val="10"/>
        <rFont val="微软雅黑"/>
        <charset val="134"/>
      </rPr>
      <t>BL,CH4,y</t>
    </r>
  </si>
  <si>
    <r>
      <rPr>
        <b/>
        <sz val="10"/>
        <rFont val="微软雅黑"/>
        <charset val="134"/>
      </rPr>
      <t>tCO</t>
    </r>
    <r>
      <rPr>
        <b/>
        <vertAlign val="subscript"/>
        <sz val="10"/>
        <rFont val="微软雅黑"/>
        <charset val="134"/>
      </rPr>
      <t>2</t>
    </r>
    <r>
      <rPr>
        <b/>
        <sz val="10"/>
        <rFont val="微软雅黑"/>
        <charset val="134"/>
      </rPr>
      <t>e</t>
    </r>
  </si>
  <si>
    <r>
      <rPr>
        <sz val="10"/>
        <rFont val="微软雅黑"/>
        <charset val="134"/>
      </rPr>
      <t>R</t>
    </r>
    <r>
      <rPr>
        <vertAlign val="subscript"/>
        <sz val="10"/>
        <rFont val="微软雅黑"/>
        <charset val="134"/>
      </rPr>
      <t>VS,1</t>
    </r>
  </si>
  <si>
    <t xml:space="preserve"> Appendix 1 of applied methodology ACM0010 (version 08.0) underfloor pit storage</t>
  </si>
  <si>
    <r>
      <rPr>
        <sz val="10"/>
        <rFont val="微软雅黑"/>
        <charset val="134"/>
      </rPr>
      <t>R</t>
    </r>
    <r>
      <rPr>
        <vertAlign val="subscript"/>
        <sz val="10"/>
        <rFont val="微软雅黑"/>
        <charset val="134"/>
      </rPr>
      <t>VS,2</t>
    </r>
  </si>
  <si>
    <t xml:space="preserve"> Appendix 1 of applied methodology ACM0010 (version 08.0) The anaerobic digester has been assumed as two-cell lagoon.</t>
  </si>
  <si>
    <r>
      <rPr>
        <b/>
        <sz val="10"/>
        <rFont val="微软雅黑"/>
        <charset val="134"/>
      </rPr>
      <t>LE</t>
    </r>
    <r>
      <rPr>
        <b/>
        <vertAlign val="subscript"/>
        <sz val="10"/>
        <rFont val="微软雅黑"/>
        <charset val="134"/>
      </rPr>
      <t>PJ,CH4,y</t>
    </r>
  </si>
  <si>
    <r>
      <rPr>
        <b/>
        <sz val="10"/>
        <rFont val="微软雅黑"/>
        <charset val="134"/>
      </rPr>
      <t>LE</t>
    </r>
    <r>
      <rPr>
        <b/>
        <vertAlign val="subscript"/>
        <sz val="10"/>
        <rFont val="微软雅黑"/>
        <charset val="134"/>
      </rPr>
      <t>PJ,N2O,y</t>
    </r>
  </si>
  <si>
    <r>
      <rPr>
        <b/>
        <sz val="10"/>
        <rFont val="微软雅黑"/>
        <charset val="134"/>
      </rPr>
      <t>LEAKAGE LE</t>
    </r>
    <r>
      <rPr>
        <b/>
        <vertAlign val="subscript"/>
        <sz val="10"/>
        <rFont val="微软雅黑"/>
        <charset val="134"/>
      </rPr>
      <t>y</t>
    </r>
    <r>
      <rPr>
        <b/>
        <sz val="10"/>
        <rFont val="微软雅黑"/>
        <charset val="134"/>
      </rPr>
      <t xml:space="preserve"> =</t>
    </r>
  </si>
  <si>
    <t>Year</t>
  </si>
  <si>
    <t>Estimation of</t>
  </si>
  <si>
    <t>baseline emissions</t>
  </si>
  <si>
    <t>Project activity emissions</t>
  </si>
  <si>
    <t>leakage</t>
  </si>
  <si>
    <t>overall emission reductions</t>
  </si>
  <si>
    <r>
      <rPr>
        <b/>
        <sz val="10"/>
        <color indexed="8"/>
        <rFont val="微软雅黑"/>
        <charset val="134"/>
      </rPr>
      <t>(tCO</t>
    </r>
    <r>
      <rPr>
        <b/>
        <vertAlign val="subscript"/>
        <sz val="10"/>
        <color indexed="8"/>
        <rFont val="微软雅黑"/>
        <charset val="134"/>
      </rPr>
      <t>2</t>
    </r>
    <r>
      <rPr>
        <b/>
        <sz val="10"/>
        <color indexed="8"/>
        <rFont val="微软雅黑"/>
        <charset val="134"/>
      </rPr>
      <t>e)</t>
    </r>
  </si>
  <si>
    <t>25/08/2023-31/12/2023</t>
  </si>
  <si>
    <t>01/01/2024-31/12/2024</t>
  </si>
  <si>
    <t>01/01/2025-31/12/2025</t>
  </si>
  <si>
    <t>01/01/2026-31/12/2026</t>
  </si>
  <si>
    <t>01/01/2027-31/12/2027</t>
  </si>
  <si>
    <t>01/01/2028-31/12/2028</t>
  </si>
  <si>
    <t>01/01/2029-31/12/2029</t>
  </si>
  <si>
    <t>01/01/2030-31/12/2030</t>
  </si>
  <si>
    <t>01/01/2031-31/12/2031</t>
  </si>
  <si>
    <t>01/01/2032-31/12/2032</t>
  </si>
  <si>
    <r>
      <rPr>
        <b/>
        <sz val="10"/>
        <color indexed="8"/>
        <rFont val="微软雅黑"/>
        <charset val="134"/>
      </rPr>
      <t>Total(tCO</t>
    </r>
    <r>
      <rPr>
        <b/>
        <vertAlign val="subscript"/>
        <sz val="10"/>
        <color indexed="8"/>
        <rFont val="微软雅黑"/>
        <charset val="134"/>
      </rPr>
      <t>2</t>
    </r>
    <r>
      <rPr>
        <b/>
        <sz val="10"/>
        <color indexed="8"/>
        <rFont val="微软雅黑"/>
        <charset val="134"/>
      </rPr>
      <t>e)</t>
    </r>
  </si>
  <si>
    <r>
      <rPr>
        <b/>
        <sz val="10"/>
        <color indexed="8"/>
        <rFont val="微软雅黑"/>
        <charset val="134"/>
      </rPr>
      <t>Average(tCO</t>
    </r>
    <r>
      <rPr>
        <b/>
        <vertAlign val="subscript"/>
        <sz val="10"/>
        <color indexed="8"/>
        <rFont val="微软雅黑"/>
        <charset val="134"/>
      </rPr>
      <t>2</t>
    </r>
    <r>
      <rPr>
        <b/>
        <sz val="10"/>
        <color indexed="8"/>
        <rFont val="微软雅黑"/>
        <charset val="134"/>
      </rPr>
      <t>e)</t>
    </r>
  </si>
  <si>
    <t>01/01/2033-24/08/2033</t>
    <phoneticPr fontId="62" type="noConversion"/>
  </si>
  <si>
    <t>29/07/2025</t>
    <phoneticPr fontId="62" type="noConversion"/>
  </si>
  <si>
    <r>
      <t>R</t>
    </r>
    <r>
      <rPr>
        <vertAlign val="subscript"/>
        <sz val="10"/>
        <rFont val="微软雅黑"/>
        <charset val="134"/>
      </rPr>
      <t>VS,3</t>
    </r>
    <phoneticPr fontId="62" type="noConversion"/>
  </si>
  <si>
    <t xml:space="preserve"> Appendix 1 of applied methodology ACM0010 (version 08.0) heated digester effluent prior to storage</t>
    <phoneticPr fontId="62" type="noConversion"/>
  </si>
  <si>
    <r>
      <t>PE</t>
    </r>
    <r>
      <rPr>
        <b/>
        <vertAlign val="subscript"/>
        <sz val="10"/>
        <rFont val="微软雅黑"/>
        <family val="2"/>
        <charset val="134"/>
      </rPr>
      <t>flare,y</t>
    </r>
  </si>
  <si>
    <t>Calculated</t>
    <phoneticPr fontId="61" type="noConversion"/>
  </si>
  <si>
    <t>Conservative</t>
  </si>
  <si>
    <t>Conservative</t>
    <phoneticPr fontId="6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</si>
</sst>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78" formatCode="0.00_ "/>
    <numFmt numFmtId="179" formatCode="_(* #,##0_);_(* \(#,##0\);_(* &quot;-&quot;??_);_(@_)"/>
    <numFmt numFmtId="180" formatCode="0.0%"/>
    <numFmt numFmtId="181" formatCode="0_ "/>
    <numFmt numFmtId="182" formatCode="#,##0_);\(#,##0\)"/>
    <numFmt numFmtId="183" formatCode="#,##0_ "/>
    <numFmt numFmtId="184" formatCode="_ \¥* #,##0.00_ ;_ \¥* \-#,##0.00_ ;_ \¥* &quot;-&quot;??_ ;_ @_ "/>
    <numFmt numFmtId="185" formatCode="#,##0.0000_ "/>
    <numFmt numFmtId="186" formatCode="#,##0.0_ "/>
    <numFmt numFmtId="187" formatCode="0.0000"/>
    <numFmt numFmtId="188" formatCode="#,##0.0"/>
    <numFmt numFmtId="189" formatCode="0.0_ "/>
  </numFmts>
  <fonts count="70">
    <font>
      <sz val="11"/>
      <color theme="1"/>
      <name val="等线"/>
      <charset val="134"/>
      <scheme val="minor"/>
    </font>
    <font>
      <b/>
      <sz val="10"/>
      <color indexed="8"/>
      <name val="微软雅黑"/>
      <charset val="134"/>
    </font>
    <font>
      <sz val="10"/>
      <color rgb="FF000000"/>
      <name val="微软雅黑"/>
      <charset val="134"/>
    </font>
    <font>
      <sz val="10"/>
      <color indexed="8"/>
      <name val="微软雅黑"/>
      <charset val="134"/>
    </font>
    <font>
      <sz val="10"/>
      <name val="微软雅黑"/>
      <charset val="134"/>
    </font>
    <font>
      <b/>
      <sz val="10"/>
      <name val="微软雅黑"/>
      <charset val="134"/>
    </font>
    <font>
      <sz val="14"/>
      <color theme="3"/>
      <name val="微软雅黑"/>
      <charset val="134"/>
    </font>
    <font>
      <sz val="9"/>
      <name val="Verdana"/>
      <family val="2"/>
    </font>
    <font>
      <b/>
      <sz val="9"/>
      <name val="Verdana"/>
      <family val="2"/>
    </font>
    <font>
      <sz val="9"/>
      <color indexed="46"/>
      <name val="Verdana"/>
      <family val="2"/>
    </font>
    <font>
      <b/>
      <sz val="11"/>
      <name val="微软雅黑"/>
      <charset val="134"/>
    </font>
    <font>
      <sz val="11"/>
      <name val="微软雅黑"/>
      <charset val="134"/>
    </font>
    <font>
      <b/>
      <sz val="9"/>
      <color indexed="12"/>
      <name val="Verdana"/>
      <family val="2"/>
    </font>
    <font>
      <b/>
      <sz val="10"/>
      <color rgb="FFFF0000"/>
      <name val="微软雅黑"/>
      <charset val="134"/>
    </font>
    <font>
      <sz val="11"/>
      <color rgb="FF3F3F76"/>
      <name val="微软雅黑"/>
      <charset val="134"/>
    </font>
    <font>
      <sz val="8"/>
      <name val="Verdana"/>
      <family val="2"/>
    </font>
    <font>
      <b/>
      <sz val="8"/>
      <color indexed="9"/>
      <name val="Verdana"/>
      <family val="2"/>
    </font>
    <font>
      <b/>
      <sz val="8"/>
      <name val="Verdana"/>
      <family val="2"/>
    </font>
    <font>
      <sz val="8"/>
      <color indexed="46"/>
      <name val="Verdana"/>
      <family val="2"/>
    </font>
    <font>
      <b/>
      <sz val="11"/>
      <color indexed="8"/>
      <name val="微软雅黑"/>
      <charset val="134"/>
    </font>
    <font>
      <sz val="8"/>
      <name val="微软雅黑"/>
      <charset val="134"/>
    </font>
    <font>
      <sz val="10"/>
      <color rgb="FF3F3F76"/>
      <name val="微软雅黑"/>
      <charset val="134"/>
    </font>
    <font>
      <sz val="8"/>
      <color indexed="9"/>
      <name val="Verdana"/>
      <family val="2"/>
    </font>
    <font>
      <sz val="10"/>
      <name val="Verdana"/>
      <family val="2"/>
    </font>
    <font>
      <b/>
      <sz val="10"/>
      <name val="Verdana"/>
      <family val="2"/>
    </font>
    <font>
      <b/>
      <sz val="11"/>
      <color theme="1"/>
      <name val="Verdana"/>
      <family val="2"/>
    </font>
    <font>
      <sz val="11"/>
      <name val="Verdana"/>
      <family val="2"/>
    </font>
    <font>
      <b/>
      <sz val="11"/>
      <color theme="1"/>
      <name val="微软雅黑"/>
      <charset val="134"/>
    </font>
    <font>
      <b/>
      <sz val="11"/>
      <name val="Verdana"/>
      <family val="2"/>
    </font>
    <font>
      <b/>
      <sz val="14"/>
      <color theme="3"/>
      <name val="微软雅黑"/>
      <charset val="134"/>
    </font>
    <font>
      <sz val="11"/>
      <color theme="1"/>
      <name val="微软雅黑"/>
      <charset val="134"/>
    </font>
    <font>
      <sz val="11"/>
      <color indexed="8"/>
      <name val="微软雅黑"/>
      <charset val="134"/>
    </font>
    <font>
      <u/>
      <sz val="11"/>
      <color theme="10"/>
      <name val="等线"/>
      <charset val="134"/>
      <scheme val="minor"/>
    </font>
    <font>
      <sz val="18"/>
      <color theme="3"/>
      <name val="等线 Light"/>
      <charset val="134"/>
      <scheme val="major"/>
    </font>
    <font>
      <sz val="11"/>
      <color rgb="FF3F3F76"/>
      <name val="等线"/>
      <charset val="134"/>
      <scheme val="minor"/>
    </font>
    <font>
      <b/>
      <sz val="11"/>
      <color rgb="FFFA7D00"/>
      <name val="等线"/>
      <charset val="134"/>
      <scheme val="minor"/>
    </font>
    <font>
      <sz val="11"/>
      <color theme="1"/>
      <name val="等线"/>
      <charset val="134"/>
      <scheme val="minor"/>
    </font>
    <font>
      <sz val="12"/>
      <name val="宋体"/>
      <charset val="134"/>
    </font>
    <font>
      <vertAlign val="subscript"/>
      <sz val="10"/>
      <color indexed="8"/>
      <name val="微软雅黑"/>
      <charset val="134"/>
    </font>
    <font>
      <vertAlign val="subscript"/>
      <sz val="10"/>
      <name val="微软雅黑"/>
      <charset val="134"/>
    </font>
    <font>
      <b/>
      <vertAlign val="subscript"/>
      <sz val="10"/>
      <name val="微软雅黑"/>
      <charset val="134"/>
    </font>
    <font>
      <b/>
      <i/>
      <vertAlign val="subscript"/>
      <sz val="10"/>
      <name val="微软雅黑"/>
      <charset val="134"/>
    </font>
    <font>
      <b/>
      <vertAlign val="subscript"/>
      <sz val="10"/>
      <name val="Verdana"/>
      <family val="2"/>
    </font>
    <font>
      <vertAlign val="superscript"/>
      <sz val="10"/>
      <name val="微软雅黑"/>
      <charset val="134"/>
    </font>
    <font>
      <b/>
      <vertAlign val="subscript"/>
      <sz val="9"/>
      <name val="微软雅黑"/>
      <charset val="134"/>
    </font>
    <font>
      <b/>
      <sz val="9"/>
      <name val="微软雅黑"/>
      <charset val="134"/>
    </font>
    <font>
      <vertAlign val="subscript"/>
      <sz val="10"/>
      <name val="Verdana"/>
      <family val="2"/>
    </font>
    <font>
      <b/>
      <vertAlign val="subscript"/>
      <sz val="11"/>
      <color indexed="8"/>
      <name val="微软雅黑"/>
      <charset val="134"/>
    </font>
    <font>
      <vertAlign val="subscript"/>
      <sz val="10"/>
      <color rgb="FF000000"/>
      <name val="微软雅黑"/>
      <charset val="134"/>
    </font>
    <font>
      <b/>
      <vertAlign val="subscript"/>
      <sz val="10"/>
      <color indexed="8"/>
      <name val="微软雅黑"/>
      <charset val="134"/>
    </font>
    <font>
      <b/>
      <vertAlign val="subscript"/>
      <sz val="11"/>
      <color theme="1"/>
      <name val="Verdana"/>
      <family val="2"/>
    </font>
    <font>
      <vertAlign val="subscript"/>
      <sz val="11"/>
      <color rgb="FF000000"/>
      <name val="微软雅黑"/>
      <charset val="134"/>
    </font>
    <font>
      <b/>
      <vertAlign val="subscript"/>
      <sz val="10"/>
      <color rgb="FF000000"/>
      <name val="微软雅黑"/>
      <charset val="134"/>
    </font>
    <font>
      <vertAlign val="subscript"/>
      <sz val="11"/>
      <color theme="1"/>
      <name val="微软雅黑"/>
      <charset val="134"/>
    </font>
    <font>
      <vertAlign val="superscript"/>
      <sz val="10"/>
      <color indexed="8"/>
      <name val="微软雅黑"/>
      <charset val="134"/>
    </font>
    <font>
      <vertAlign val="subscript"/>
      <sz val="11"/>
      <name val="Verdana"/>
      <family val="2"/>
    </font>
    <font>
      <b/>
      <vertAlign val="subscript"/>
      <sz val="8"/>
      <color indexed="9"/>
      <name val="Verdana"/>
      <family val="2"/>
    </font>
    <font>
      <vertAlign val="subscript"/>
      <sz val="11"/>
      <name val="微软雅黑"/>
      <charset val="134"/>
    </font>
    <font>
      <vertAlign val="subscript"/>
      <sz val="8"/>
      <name val="Verdana"/>
      <family val="2"/>
    </font>
    <font>
      <b/>
      <vertAlign val="subscript"/>
      <sz val="11"/>
      <name val="微软雅黑"/>
      <charset val="134"/>
    </font>
    <font>
      <vertAlign val="subscript"/>
      <sz val="11"/>
      <color indexed="8"/>
      <name val="微软雅黑"/>
      <charset val="134"/>
    </font>
    <font>
      <sz val="9"/>
      <name val="等线"/>
      <charset val="134"/>
      <scheme val="minor"/>
    </font>
    <font>
      <sz val="9"/>
      <name val="等线"/>
      <family val="3"/>
      <charset val="134"/>
      <scheme val="minor"/>
    </font>
    <font>
      <sz val="10"/>
      <color rgb="FF000000"/>
      <name val="微软雅黑"/>
      <family val="2"/>
      <charset val="134"/>
    </font>
    <font>
      <sz val="11"/>
      <name val="微软雅黑"/>
      <family val="2"/>
      <charset val="134"/>
    </font>
    <font>
      <sz val="10"/>
      <name val="微软雅黑"/>
      <family val="2"/>
      <charset val="134"/>
    </font>
    <font>
      <b/>
      <sz val="10"/>
      <name val="微软雅黑"/>
      <family val="2"/>
      <charset val="134"/>
    </font>
    <font>
      <b/>
      <vertAlign val="subscript"/>
      <sz val="10"/>
      <name val="微软雅黑"/>
      <family val="2"/>
      <charset val="134"/>
    </font>
    <font>
      <b/>
      <sz val="11"/>
      <name val="微软雅黑"/>
      <family val="2"/>
      <charset val="134"/>
    </font>
    <font>
      <sz val="10"/>
      <color indexed="8"/>
      <name val="微软雅黑"/>
      <family val="2"/>
      <charset val="134"/>
    </font>
  </fonts>
  <fills count="8">
    <fill>
      <patternFill patternType="none"/>
    </fill>
    <fill>
      <patternFill patternType="gray125"/>
    </fill>
    <fill>
      <patternFill patternType="solid">
        <fgColor theme="4" tint="0.79995117038483843"/>
        <bgColor indexed="64"/>
      </patternFill>
    </fill>
    <fill>
      <patternFill patternType="solid">
        <fgColor theme="9" tint="0.79995117038483843"/>
        <bgColor indexed="64"/>
      </patternFill>
    </fill>
    <fill>
      <patternFill patternType="solid">
        <fgColor theme="7" tint="0.79995117038483843"/>
        <bgColor indexed="64"/>
      </patternFill>
    </fill>
    <fill>
      <patternFill patternType="solid">
        <fgColor theme="0"/>
        <bgColor indexed="64"/>
      </patternFill>
    </fill>
    <fill>
      <patternFill patternType="solid">
        <fgColor rgb="FFFFCC99"/>
        <bgColor indexed="64"/>
      </patternFill>
    </fill>
    <fill>
      <patternFill patternType="solid">
        <fgColor rgb="FFF2F2F2"/>
        <bgColor indexed="64"/>
      </patternFill>
    </fill>
  </fills>
  <borders count="3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rgb="FF7F7F7F"/>
      </left>
      <right style="thin">
        <color rgb="FF7F7F7F"/>
      </right>
      <top/>
      <bottom style="medium">
        <color auto="1"/>
      </bottom>
      <diagonal/>
    </border>
    <border>
      <left style="medium">
        <color auto="1"/>
      </left>
      <right style="thin">
        <color auto="1"/>
      </right>
      <top/>
      <bottom/>
      <diagonal/>
    </border>
    <border>
      <left style="thin">
        <color rgb="FF7F7F7F"/>
      </left>
      <right style="thin">
        <color rgb="FF7F7F7F"/>
      </right>
      <top/>
      <bottom/>
      <diagonal/>
    </border>
    <border>
      <left style="thin">
        <color auto="1"/>
      </left>
      <right style="thin">
        <color auto="1"/>
      </right>
      <top/>
      <bottom/>
      <diagonal/>
    </border>
    <border>
      <left style="thin">
        <color auto="1"/>
      </left>
      <right style="medium">
        <color auto="1"/>
      </right>
      <top/>
      <bottom/>
      <diagonal/>
    </border>
    <border>
      <left/>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style="thin">
        <color rgb="FF7F7F7F"/>
      </left>
      <right style="thin">
        <color rgb="FF7F7F7F"/>
      </right>
      <top style="thin">
        <color rgb="FF7F7F7F"/>
      </top>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style="thin">
        <color auto="1"/>
      </right>
      <top/>
      <bottom style="thin">
        <color auto="1"/>
      </bottom>
      <diagonal/>
    </border>
    <border>
      <left style="thin">
        <color rgb="FF7F7F7F"/>
      </left>
      <right style="thin">
        <color rgb="FF7F7F7F"/>
      </right>
      <top/>
      <bottom style="thin">
        <color rgb="FF7F7F7F"/>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9">
    <xf numFmtId="0" fontId="0" fillId="0" borderId="0"/>
    <xf numFmtId="43" fontId="36" fillId="0" borderId="0" applyFont="0" applyFill="0" applyBorder="0" applyAlignment="0" applyProtection="0">
      <alignment vertical="center"/>
    </xf>
    <xf numFmtId="0" fontId="32" fillId="0" borderId="0" applyNumberFormat="0" applyFill="0" applyBorder="0" applyAlignment="0" applyProtection="0"/>
    <xf numFmtId="0" fontId="33" fillId="0" borderId="0" applyNumberFormat="0" applyFill="0" applyBorder="0" applyAlignment="0" applyProtection="0">
      <alignment vertical="center"/>
    </xf>
    <xf numFmtId="0" fontId="34" fillId="6" borderId="10" applyNumberFormat="0" applyAlignment="0" applyProtection="0">
      <alignment vertical="center"/>
    </xf>
    <xf numFmtId="0" fontId="35" fillId="7" borderId="10" applyNumberFormat="0" applyAlignment="0" applyProtection="0">
      <alignment vertical="center"/>
    </xf>
    <xf numFmtId="0" fontId="37" fillId="0" borderId="0">
      <alignment vertical="center"/>
    </xf>
    <xf numFmtId="0" fontId="37" fillId="0" borderId="0">
      <alignment vertical="center"/>
    </xf>
    <xf numFmtId="0" fontId="37" fillId="0" borderId="0">
      <alignment vertical="center"/>
    </xf>
  </cellStyleXfs>
  <cellXfs count="286">
    <xf numFmtId="0" fontId="0" fillId="0" borderId="0" xfId="0"/>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2" fillId="0" borderId="4" xfId="0" applyFont="1" applyBorder="1" applyAlignment="1">
      <alignment horizontal="center" vertical="center"/>
    </xf>
    <xf numFmtId="3" fontId="3" fillId="0" borderId="5" xfId="0" applyNumberFormat="1" applyFont="1" applyBorder="1" applyAlignment="1">
      <alignment horizontal="center"/>
    </xf>
    <xf numFmtId="3" fontId="4" fillId="0" borderId="5" xfId="0" applyNumberFormat="1" applyFont="1" applyBorder="1" applyAlignment="1">
      <alignment horizontal="center"/>
    </xf>
    <xf numFmtId="3" fontId="4" fillId="0" borderId="6" xfId="0" applyNumberFormat="1" applyFont="1" applyBorder="1" applyAlignment="1">
      <alignment horizontal="center"/>
    </xf>
    <xf numFmtId="0" fontId="1" fillId="0" borderId="4" xfId="0" applyFont="1" applyBorder="1" applyAlignment="1">
      <alignment horizontal="center"/>
    </xf>
    <xf numFmtId="3" fontId="5" fillId="0" borderId="5" xfId="0" applyNumberFormat="1" applyFont="1" applyBorder="1" applyAlignment="1">
      <alignment horizontal="center"/>
    </xf>
    <xf numFmtId="3" fontId="5" fillId="0" borderId="6" xfId="0" applyNumberFormat="1" applyFont="1" applyBorder="1" applyAlignment="1">
      <alignment horizontal="center"/>
    </xf>
    <xf numFmtId="0" fontId="1" fillId="0" borderId="7" xfId="0" applyFont="1" applyBorder="1" applyAlignment="1">
      <alignment horizontal="center"/>
    </xf>
    <xf numFmtId="3" fontId="3" fillId="0" borderId="8" xfId="0" applyNumberFormat="1" applyFont="1" applyBorder="1" applyAlignment="1">
      <alignment horizontal="center"/>
    </xf>
    <xf numFmtId="3" fontId="5" fillId="0" borderId="9" xfId="0" applyNumberFormat="1" applyFont="1" applyBorder="1" applyAlignment="1">
      <alignment horizontal="center"/>
    </xf>
    <xf numFmtId="0" fontId="7" fillId="0" borderId="0" xfId="0" applyFont="1"/>
    <xf numFmtId="0" fontId="8" fillId="0" borderId="0" xfId="0" applyFont="1"/>
    <xf numFmtId="0" fontId="9" fillId="0" borderId="0" xfId="0" applyFont="1"/>
    <xf numFmtId="0" fontId="9" fillId="0" borderId="0" xfId="0" applyFont="1" applyAlignment="1">
      <alignment horizontal="left"/>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4" fillId="0" borderId="4" xfId="7" applyFont="1" applyBorder="1" applyAlignment="1">
      <alignment horizontal="center" vertical="center" wrapText="1"/>
    </xf>
    <xf numFmtId="3" fontId="11" fillId="0" borderId="5" xfId="4" applyNumberFormat="1" applyFont="1" applyFill="1" applyBorder="1" applyAlignment="1">
      <alignment horizontal="center"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4" fontId="11" fillId="0" borderId="5" xfId="5" applyNumberFormat="1" applyFont="1" applyFill="1" applyBorder="1" applyAlignment="1">
      <alignment horizontal="center" vertical="center" wrapText="1"/>
    </xf>
    <xf numFmtId="4" fontId="4" fillId="0" borderId="5" xfId="0" applyNumberFormat="1" applyFont="1" applyBorder="1" applyAlignment="1">
      <alignment horizontal="center" wrapText="1"/>
    </xf>
    <xf numFmtId="9" fontId="4" fillId="0" borderId="5" xfId="8"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5" xfId="4" applyFont="1" applyFill="1" applyBorder="1" applyAlignment="1">
      <alignment horizontal="center" vertical="center" wrapText="1"/>
    </xf>
    <xf numFmtId="0" fontId="4" fillId="0" borderId="4" xfId="6" applyFont="1" applyBorder="1" applyAlignment="1">
      <alignment horizontal="center" vertical="center" wrapText="1"/>
    </xf>
    <xf numFmtId="0" fontId="11" fillId="0" borderId="5" xfId="0" applyFont="1" applyBorder="1" applyAlignment="1">
      <alignment horizontal="center" vertical="center" wrapText="1"/>
    </xf>
    <xf numFmtId="178" fontId="11" fillId="0" borderId="5" xfId="0" applyNumberFormat="1" applyFont="1" applyBorder="1" applyAlignment="1">
      <alignment horizontal="center" vertical="center" wrapText="1"/>
    </xf>
    <xf numFmtId="0" fontId="5" fillId="0" borderId="4" xfId="7" applyFont="1" applyBorder="1" applyAlignment="1">
      <alignment horizontal="center" vertical="center" wrapText="1"/>
    </xf>
    <xf numFmtId="0" fontId="5" fillId="0" borderId="7" xfId="7" applyFont="1" applyBorder="1" applyAlignment="1">
      <alignment horizontal="center" vertical="center" wrapText="1"/>
    </xf>
    <xf numFmtId="3" fontId="5" fillId="0" borderId="8" xfId="0" applyNumberFormat="1" applyFont="1" applyBorder="1" applyAlignment="1">
      <alignment horizontal="center"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7" fillId="0" borderId="0" xfId="7" applyFont="1">
      <alignment vertical="center"/>
    </xf>
    <xf numFmtId="179" fontId="12" fillId="0" borderId="0" xfId="7" applyNumberFormat="1" applyFont="1">
      <alignment vertical="center"/>
    </xf>
    <xf numFmtId="0" fontId="10" fillId="2" borderId="1" xfId="0" applyFont="1" applyFill="1" applyBorder="1" applyAlignment="1">
      <alignment horizontal="center" wrapText="1"/>
    </xf>
    <xf numFmtId="0" fontId="10" fillId="2" borderId="3" xfId="0" applyFont="1" applyFill="1" applyBorder="1" applyAlignment="1">
      <alignment horizontal="center" wrapText="1"/>
    </xf>
    <xf numFmtId="0" fontId="11" fillId="0" borderId="5" xfId="7" applyFont="1" applyBorder="1" applyAlignment="1">
      <alignment horizontal="center" vertical="center" wrapText="1"/>
    </xf>
    <xf numFmtId="0" fontId="4" fillId="0" borderId="5" xfId="7" applyFont="1" applyBorder="1" applyAlignment="1">
      <alignment horizontal="center" vertical="center" wrapText="1"/>
    </xf>
    <xf numFmtId="0" fontId="4" fillId="0" borderId="6" xfId="7" applyFont="1" applyBorder="1" applyAlignment="1">
      <alignment horizontal="center" vertical="center" wrapText="1"/>
    </xf>
    <xf numFmtId="3" fontId="11" fillId="0" borderId="5" xfId="0" applyNumberFormat="1" applyFont="1" applyBorder="1" applyAlignment="1">
      <alignment horizontal="center" vertical="center" wrapText="1"/>
    </xf>
    <xf numFmtId="3" fontId="10" fillId="0" borderId="8" xfId="0" applyNumberFormat="1" applyFont="1" applyBorder="1" applyAlignment="1">
      <alignment horizontal="center" vertical="center" wrapText="1"/>
    </xf>
    <xf numFmtId="0" fontId="5" fillId="0" borderId="0" xfId="7" applyFont="1" applyAlignment="1">
      <alignment horizontal="center" vertical="center"/>
    </xf>
    <xf numFmtId="3" fontId="13" fillId="0" borderId="0" xfId="0" applyNumberFormat="1" applyFont="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8" applyFont="1" applyBorder="1" applyAlignment="1">
      <alignment horizontal="center" vertical="center" wrapText="1"/>
    </xf>
    <xf numFmtId="0" fontId="5" fillId="0" borderId="5" xfId="0" applyFont="1" applyBorder="1" applyAlignment="1">
      <alignment horizontal="center" vertical="center" wrapText="1"/>
    </xf>
    <xf numFmtId="4" fontId="11" fillId="0" borderId="10" xfId="5" applyNumberFormat="1" applyFont="1" applyFill="1" applyAlignment="1">
      <alignment horizontal="center" vertical="center" wrapText="1"/>
    </xf>
    <xf numFmtId="3" fontId="14" fillId="0" borderId="10" xfId="4" applyNumberFormat="1" applyFont="1" applyFill="1" applyAlignment="1">
      <alignment horizontal="center" vertical="center" wrapText="1"/>
    </xf>
    <xf numFmtId="3" fontId="4" fillId="0" borderId="5" xfId="1" applyNumberFormat="1" applyFont="1" applyFill="1" applyBorder="1" applyAlignment="1">
      <alignment horizontal="center" vertical="center" wrapText="1"/>
    </xf>
    <xf numFmtId="3" fontId="4" fillId="0" borderId="6" xfId="1" applyNumberFormat="1" applyFont="1" applyFill="1" applyBorder="1" applyAlignment="1">
      <alignment horizontal="center" vertical="center" wrapText="1"/>
    </xf>
    <xf numFmtId="0" fontId="14" fillId="0" borderId="10" xfId="4" applyFont="1" applyFill="1" applyAlignment="1">
      <alignment horizontal="center" vertical="center" wrapText="1"/>
    </xf>
    <xf numFmtId="9" fontId="4" fillId="0" borderId="5" xfId="7" applyNumberFormat="1" applyFont="1" applyBorder="1" applyAlignment="1">
      <alignment horizontal="center" vertical="center" wrapText="1"/>
    </xf>
    <xf numFmtId="0" fontId="3" fillId="0" borderId="6" xfId="0" applyFont="1" applyBorder="1" applyAlignment="1">
      <alignment horizontal="center" vertical="center" wrapText="1"/>
    </xf>
    <xf numFmtId="0" fontId="5" fillId="0" borderId="7" xfId="0" applyFont="1" applyBorder="1" applyAlignment="1">
      <alignment horizontal="center" vertical="center" wrapText="1"/>
    </xf>
    <xf numFmtId="3" fontId="10" fillId="0" borderId="1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8" fillId="0" borderId="0" xfId="0" applyFont="1" applyAlignment="1">
      <alignment wrapText="1"/>
    </xf>
    <xf numFmtId="0" fontId="7" fillId="0" borderId="0" xfId="0" applyFont="1" applyAlignment="1">
      <alignment wrapText="1"/>
    </xf>
    <xf numFmtId="3" fontId="4" fillId="0" borderId="5" xfId="7" applyNumberFormat="1" applyFont="1" applyBorder="1" applyAlignment="1">
      <alignment horizontal="center" vertical="center" wrapText="1"/>
    </xf>
    <xf numFmtId="3" fontId="4" fillId="0" borderId="6" xfId="7" applyNumberFormat="1" applyFont="1" applyBorder="1" applyAlignment="1">
      <alignment horizontal="center" vertical="center" wrapText="1"/>
    </xf>
    <xf numFmtId="0" fontId="4" fillId="0" borderId="12" xfId="8" applyFont="1" applyBorder="1" applyAlignment="1">
      <alignment horizontal="center" vertical="center" wrapText="1"/>
    </xf>
    <xf numFmtId="9" fontId="4" fillId="0" borderId="13" xfId="8" applyNumberFormat="1" applyFont="1" applyBorder="1" applyAlignment="1">
      <alignment horizontal="center" vertical="center" wrapText="1"/>
    </xf>
    <xf numFmtId="180" fontId="7" fillId="0" borderId="0" xfId="0" applyNumberFormat="1" applyFont="1"/>
    <xf numFmtId="0" fontId="5" fillId="0" borderId="1" xfId="0" applyFont="1" applyBorder="1"/>
    <xf numFmtId="3" fontId="5" fillId="0" borderId="2" xfId="0" applyNumberFormat="1" applyFont="1" applyBorder="1" applyAlignment="1">
      <alignment horizontal="center"/>
    </xf>
    <xf numFmtId="0" fontId="5" fillId="0" borderId="3" xfId="0" applyFont="1" applyBorder="1" applyAlignment="1">
      <alignment horizontal="center" vertical="center" wrapText="1"/>
    </xf>
    <xf numFmtId="0" fontId="5" fillId="0" borderId="4" xfId="0" applyFont="1" applyBorder="1"/>
    <xf numFmtId="0" fontId="5" fillId="0" borderId="6" xfId="0" applyFont="1" applyBorder="1" applyAlignment="1">
      <alignment horizontal="center" vertical="center" wrapText="1"/>
    </xf>
    <xf numFmtId="181" fontId="7" fillId="0" borderId="0" xfId="0" applyNumberFormat="1" applyFont="1"/>
    <xf numFmtId="0" fontId="5" fillId="0" borderId="7" xfId="0" applyFont="1" applyBorder="1"/>
    <xf numFmtId="3" fontId="5" fillId="0" borderId="8" xfId="0" applyNumberFormat="1" applyFont="1" applyBorder="1" applyAlignment="1">
      <alignment horizontal="center"/>
    </xf>
    <xf numFmtId="0" fontId="5" fillId="0" borderId="9" xfId="0" applyFont="1" applyBorder="1" applyAlignment="1">
      <alignment horizontal="center"/>
    </xf>
    <xf numFmtId="0" fontId="5" fillId="0" borderId="0" xfId="0" applyFont="1"/>
    <xf numFmtId="3" fontId="5" fillId="0" borderId="0" xfId="0" applyNumberFormat="1" applyFont="1"/>
    <xf numFmtId="0" fontId="4" fillId="0" borderId="0" xfId="0" applyFont="1"/>
    <xf numFmtId="0" fontId="5" fillId="0" borderId="15" xfId="0" applyFont="1" applyBorder="1"/>
    <xf numFmtId="179" fontId="5" fillId="4" borderId="16" xfId="1" applyNumberFormat="1" applyFont="1" applyFill="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6" applyFont="1">
      <alignment vertical="center"/>
    </xf>
    <xf numFmtId="0" fontId="15" fillId="0" borderId="0" xfId="6" applyFont="1">
      <alignment vertical="center"/>
    </xf>
    <xf numFmtId="0" fontId="15" fillId="0" borderId="0" xfId="8" applyFont="1">
      <alignment vertical="center"/>
    </xf>
    <xf numFmtId="0" fontId="18" fillId="0" borderId="0" xfId="0" applyFont="1" applyAlignment="1">
      <alignment horizontal="left" vertical="center"/>
    </xf>
    <xf numFmtId="0" fontId="3" fillId="0" borderId="4" xfId="0" applyFont="1" applyBorder="1" applyAlignment="1">
      <alignment horizontal="center" vertical="center" wrapText="1"/>
    </xf>
    <xf numFmtId="178" fontId="14" fillId="0" borderId="5" xfId="4" applyNumberFormat="1" applyFont="1" applyFill="1" applyBorder="1" applyAlignment="1">
      <alignment horizontal="center" vertical="center" wrapText="1"/>
    </xf>
    <xf numFmtId="4" fontId="14" fillId="0" borderId="5" xfId="4" applyNumberFormat="1" applyFont="1" applyFill="1" applyBorder="1" applyAlignment="1">
      <alignment horizontal="center" vertical="center" wrapText="1"/>
    </xf>
    <xf numFmtId="9" fontId="4" fillId="0" borderId="5" xfId="6" applyNumberFormat="1" applyFont="1" applyBorder="1" applyAlignment="1">
      <alignment horizontal="center" vertical="center" wrapText="1"/>
    </xf>
    <xf numFmtId="0" fontId="4" fillId="0" borderId="0" xfId="0" applyFont="1" applyAlignment="1">
      <alignment horizontal="center" vertical="center" wrapText="1"/>
    </xf>
    <xf numFmtId="0" fontId="5" fillId="0" borderId="7" xfId="6" applyFont="1" applyBorder="1" applyAlignment="1">
      <alignment horizontal="center" vertical="center" wrapText="1"/>
    </xf>
    <xf numFmtId="182" fontId="10" fillId="0" borderId="8" xfId="5"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3" fontId="17" fillId="0" borderId="0" xfId="8" applyNumberFormat="1" applyFont="1" applyAlignment="1">
      <alignment horizontal="right" vertical="center"/>
    </xf>
    <xf numFmtId="0" fontId="17" fillId="0" borderId="0" xfId="0" applyFont="1" applyAlignment="1">
      <alignment vertical="center"/>
    </xf>
    <xf numFmtId="0" fontId="11" fillId="0" borderId="0" xfId="0" applyFont="1" applyAlignment="1">
      <alignment horizontal="center" vertical="center" wrapText="1"/>
    </xf>
    <xf numFmtId="0" fontId="4" fillId="0" borderId="4" xfId="6" applyFont="1" applyBorder="1" applyAlignment="1">
      <alignment horizontal="center" vertical="center"/>
    </xf>
    <xf numFmtId="3" fontId="4" fillId="0" borderId="5" xfId="8" applyNumberFormat="1"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5" borderId="7" xfId="6" applyFont="1" applyFill="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5" fillId="5" borderId="0" xfId="6" applyFont="1" applyFill="1">
      <alignment vertical="center"/>
    </xf>
    <xf numFmtId="0" fontId="15" fillId="5" borderId="0" xfId="0" applyFont="1" applyFill="1" applyAlignment="1">
      <alignment vertical="center"/>
    </xf>
    <xf numFmtId="0" fontId="18" fillId="0" borderId="0" xfId="0" applyFont="1" applyAlignment="1">
      <alignment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4" fillId="0" borderId="5" xfId="6" applyFont="1" applyBorder="1" applyAlignment="1">
      <alignment horizontal="center" vertical="center" wrapText="1"/>
    </xf>
    <xf numFmtId="9" fontId="4"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5" xfId="4" applyFont="1" applyFill="1" applyBorder="1" applyAlignment="1">
      <alignment horizontal="center" vertical="center" wrapText="1"/>
    </xf>
    <xf numFmtId="3" fontId="4" fillId="0" borderId="5" xfId="4" applyNumberFormat="1" applyFont="1" applyFill="1" applyBorder="1" applyAlignment="1">
      <alignment horizontal="center" vertical="center" wrapText="1"/>
    </xf>
    <xf numFmtId="0" fontId="4" fillId="0" borderId="6" xfId="6" applyFont="1" applyBorder="1" applyAlignment="1">
      <alignment horizontal="center" vertical="center" wrapText="1"/>
    </xf>
    <xf numFmtId="2" fontId="4" fillId="0" borderId="5" xfId="5" applyNumberFormat="1" applyFont="1" applyFill="1" applyBorder="1" applyAlignment="1">
      <alignment horizontal="center" vertical="center" wrapText="1"/>
    </xf>
    <xf numFmtId="180" fontId="4" fillId="0" borderId="5" xfId="6" applyNumberFormat="1" applyFont="1" applyBorder="1" applyAlignment="1">
      <alignment horizontal="center" vertical="center" wrapText="1"/>
    </xf>
    <xf numFmtId="182" fontId="5" fillId="0" borderId="8" xfId="0" applyNumberFormat="1" applyFont="1" applyBorder="1" applyAlignment="1">
      <alignment horizontal="center" vertical="center" wrapText="1"/>
    </xf>
    <xf numFmtId="0" fontId="4" fillId="0" borderId="8" xfId="6" applyFont="1" applyBorder="1" applyAlignment="1">
      <alignment horizontal="center" vertical="center" wrapText="1"/>
    </xf>
    <xf numFmtId="0" fontId="4" fillId="0" borderId="9" xfId="6" applyFont="1" applyBorder="1" applyAlignment="1">
      <alignment horizontal="center" vertical="center" wrapText="1"/>
    </xf>
    <xf numFmtId="0" fontId="16" fillId="0" borderId="0" xfId="6" applyFont="1">
      <alignment vertical="center"/>
    </xf>
    <xf numFmtId="0" fontId="22" fillId="0" borderId="0" xfId="0" applyFont="1" applyAlignment="1">
      <alignment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23" fillId="0" borderId="4" xfId="6" applyFont="1" applyBorder="1" applyAlignment="1">
      <alignment horizontal="center" vertical="center"/>
    </xf>
    <xf numFmtId="0" fontId="11" fillId="0" borderId="5" xfId="4" applyFont="1" applyFill="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wrapText="1"/>
    </xf>
    <xf numFmtId="2" fontId="11" fillId="0" borderId="5" xfId="5" applyNumberFormat="1" applyFont="1" applyFill="1" applyBorder="1" applyAlignment="1">
      <alignment horizontal="center" vertical="center"/>
    </xf>
    <xf numFmtId="0" fontId="23" fillId="0" borderId="6" xfId="0" applyFont="1" applyBorder="1" applyAlignment="1">
      <alignment horizontal="center" vertical="center"/>
    </xf>
    <xf numFmtId="3" fontId="11" fillId="0" borderId="5" xfId="4" applyNumberFormat="1" applyFont="1" applyFill="1" applyBorder="1" applyAlignment="1">
      <alignment horizontal="center" vertical="center"/>
    </xf>
    <xf numFmtId="0" fontId="24" fillId="0" borderId="4" xfId="6" applyFont="1" applyBorder="1" applyAlignment="1">
      <alignment horizontal="center" vertical="center"/>
    </xf>
    <xf numFmtId="183" fontId="10" fillId="0" borderId="5" xfId="5" applyNumberFormat="1" applyFont="1" applyFill="1" applyBorder="1" applyAlignment="1">
      <alignment horizontal="center" vertical="center"/>
    </xf>
    <xf numFmtId="181" fontId="5" fillId="0" borderId="5" xfId="0" applyNumberFormat="1" applyFont="1" applyBorder="1" applyAlignment="1">
      <alignment horizontal="center" vertical="center"/>
    </xf>
    <xf numFmtId="0" fontId="24" fillId="0" borderId="7" xfId="6" applyFont="1" applyBorder="1" applyAlignment="1">
      <alignment horizontal="center" vertical="center"/>
    </xf>
    <xf numFmtId="183" fontId="10" fillId="0" borderId="8" xfId="5" applyNumberFormat="1" applyFont="1" applyFill="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1" fillId="0" borderId="10" xfId="4" applyFont="1" applyFill="1" applyAlignment="1">
      <alignment horizontal="center" vertical="center" wrapText="1"/>
    </xf>
    <xf numFmtId="4" fontId="11" fillId="0" borderId="10" xfId="4" applyNumberFormat="1" applyFont="1" applyFill="1" applyAlignment="1">
      <alignment horizontal="center" vertical="center" wrapText="1"/>
    </xf>
    <xf numFmtId="3" fontId="11" fillId="0" borderId="10" xfId="4" applyNumberFormat="1" applyFont="1" applyFill="1" applyAlignment="1">
      <alignment horizontal="center" vertical="center" wrapText="1"/>
    </xf>
    <xf numFmtId="0" fontId="5" fillId="0" borderId="12" xfId="6" applyFont="1" applyBorder="1" applyAlignment="1">
      <alignment horizontal="center" vertical="center" wrapText="1"/>
    </xf>
    <xf numFmtId="0" fontId="3" fillId="0" borderId="14" xfId="0" applyFont="1" applyBorder="1" applyAlignment="1">
      <alignment horizontal="center" vertical="center" wrapText="1"/>
    </xf>
    <xf numFmtId="178" fontId="11" fillId="0" borderId="10" xfId="4" applyNumberFormat="1" applyFont="1" applyFill="1" applyAlignment="1">
      <alignment horizontal="center" vertical="center" wrapText="1"/>
    </xf>
    <xf numFmtId="0" fontId="4" fillId="0" borderId="12" xfId="6" applyFont="1" applyBorder="1" applyAlignment="1">
      <alignment horizontal="center" vertical="center" wrapText="1"/>
    </xf>
    <xf numFmtId="3" fontId="10" fillId="0" borderId="20" xfId="5"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5" fillId="0" borderId="21" xfId="6" applyFont="1" applyBorder="1" applyAlignment="1">
      <alignment horizontal="center" vertical="center" wrapText="1"/>
    </xf>
    <xf numFmtId="3" fontId="10" fillId="0" borderId="22" xfId="5"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1" xfId="6"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78" fontId="4" fillId="0" borderId="5" xfId="0" applyNumberFormat="1" applyFont="1" applyBorder="1" applyAlignment="1">
      <alignment horizontal="center" vertical="center" wrapText="1"/>
    </xf>
    <xf numFmtId="0" fontId="10" fillId="0" borderId="7" xfId="6" applyFont="1" applyBorder="1" applyAlignment="1">
      <alignment horizontal="center" vertical="center" wrapText="1"/>
    </xf>
    <xf numFmtId="3" fontId="25" fillId="0" borderId="8" xfId="0" applyNumberFormat="1" applyFont="1" applyBorder="1" applyAlignment="1">
      <alignment horizontal="center" vertical="center" wrapText="1"/>
    </xf>
    <xf numFmtId="184" fontId="16" fillId="0" borderId="9" xfId="0" applyNumberFormat="1" applyFont="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center" vertical="center"/>
    </xf>
    <xf numFmtId="0" fontId="15" fillId="0" borderId="0" xfId="8" applyFont="1" applyAlignment="1">
      <alignment horizontal="center" vertical="center"/>
    </xf>
    <xf numFmtId="0" fontId="4" fillId="0" borderId="5" xfId="8" applyFont="1" applyBorder="1" applyAlignment="1">
      <alignment horizontal="center" vertical="center"/>
    </xf>
    <xf numFmtId="185" fontId="4" fillId="0" borderId="5" xfId="0" applyNumberFormat="1" applyFont="1" applyBorder="1" applyAlignment="1">
      <alignment horizontal="center" vertical="center"/>
    </xf>
    <xf numFmtId="186" fontId="4" fillId="0" borderId="5" xfId="0" applyNumberFormat="1" applyFont="1" applyBorder="1" applyAlignment="1">
      <alignment horizontal="center" vertical="center"/>
    </xf>
    <xf numFmtId="187" fontId="14" fillId="0" borderId="5" xfId="4" applyNumberFormat="1" applyFont="1" applyFill="1" applyBorder="1" applyAlignment="1">
      <alignment horizontal="center" vertical="center"/>
    </xf>
    <xf numFmtId="9" fontId="4" fillId="0" borderId="5" xfId="6" applyNumberFormat="1" applyFont="1" applyBorder="1" applyAlignment="1">
      <alignment horizontal="center" vertical="center"/>
    </xf>
    <xf numFmtId="0" fontId="5" fillId="0" borderId="7" xfId="6" applyFont="1" applyBorder="1" applyAlignment="1">
      <alignment horizontal="center" vertical="center"/>
    </xf>
    <xf numFmtId="182" fontId="27" fillId="0" borderId="8" xfId="5" applyNumberFormat="1" applyFont="1" applyFill="1" applyBorder="1" applyAlignment="1">
      <alignment horizontal="center" vertical="center" wrapText="1"/>
    </xf>
    <xf numFmtId="0" fontId="28" fillId="0" borderId="0" xfId="0" applyFont="1" applyAlignment="1">
      <alignment vertical="center"/>
    </xf>
    <xf numFmtId="179" fontId="28" fillId="4" borderId="0" xfId="1" applyNumberFormat="1" applyFont="1" applyFill="1" applyBorder="1" applyAlignment="1">
      <alignment horizontal="center" vertical="center"/>
    </xf>
    <xf numFmtId="0" fontId="19" fillId="2" borderId="5"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9" fontId="11" fillId="0" borderId="5" xfId="4" applyNumberFormat="1" applyFont="1" applyFill="1" applyBorder="1" applyAlignment="1">
      <alignment horizontal="center" vertical="center" wrapText="1"/>
    </xf>
    <xf numFmtId="10" fontId="11" fillId="0" borderId="5" xfId="5" applyNumberFormat="1" applyFont="1" applyFill="1" applyBorder="1" applyAlignment="1">
      <alignment horizontal="center" vertical="center"/>
    </xf>
    <xf numFmtId="0" fontId="4" fillId="0" borderId="5" xfId="4" applyFont="1" applyFill="1" applyBorder="1" applyAlignment="1">
      <alignment horizontal="center" vertical="center" wrapText="1"/>
    </xf>
    <xf numFmtId="188" fontId="4" fillId="0" borderId="5" xfId="4" applyNumberFormat="1" applyFont="1" applyFill="1" applyBorder="1" applyAlignment="1">
      <alignment horizontal="center" vertical="center" wrapText="1"/>
    </xf>
    <xf numFmtId="4" fontId="4" fillId="0" borderId="5" xfId="5" applyNumberFormat="1" applyFont="1" applyFill="1" applyBorder="1" applyAlignment="1">
      <alignment horizontal="center" vertical="center" wrapText="1"/>
    </xf>
    <xf numFmtId="0" fontId="19" fillId="0" borderId="5" xfId="0" applyFont="1" applyBorder="1" applyAlignment="1">
      <alignment horizontal="center" vertical="center" wrapText="1"/>
    </xf>
    <xf numFmtId="3" fontId="10" fillId="0" borderId="5" xfId="0" applyNumberFormat="1" applyFont="1" applyBorder="1" applyAlignment="1">
      <alignment horizontal="center" wrapText="1"/>
    </xf>
    <xf numFmtId="0" fontId="1" fillId="0" borderId="5" xfId="0" applyFont="1" applyBorder="1" applyAlignment="1">
      <alignment horizontal="center" vertical="center" wrapText="1"/>
    </xf>
    <xf numFmtId="189" fontId="7" fillId="0" borderId="0" xfId="0" applyNumberFormat="1" applyFont="1"/>
    <xf numFmtId="0" fontId="7" fillId="0" borderId="0" xfId="0" applyFont="1" applyAlignment="1">
      <alignment horizontal="center"/>
    </xf>
    <xf numFmtId="0" fontId="10" fillId="2" borderId="27" xfId="0" applyFont="1" applyFill="1" applyBorder="1" applyAlignment="1">
      <alignment horizontal="center" vertical="center" wrapText="1"/>
    </xf>
    <xf numFmtId="0" fontId="4" fillId="0" borderId="10" xfId="4" applyFont="1" applyFill="1" applyAlignment="1">
      <alignment horizontal="center" vertical="center" wrapText="1"/>
    </xf>
    <xf numFmtId="178" fontId="4" fillId="0" borderId="10" xfId="4" applyNumberFormat="1" applyFont="1" applyFill="1" applyAlignment="1">
      <alignment horizontal="center" vertical="center" wrapText="1"/>
    </xf>
    <xf numFmtId="4" fontId="4" fillId="0" borderId="10" xfId="5" applyNumberFormat="1" applyFont="1" applyFill="1" applyAlignment="1">
      <alignment horizontal="center" vertical="center" wrapText="1"/>
    </xf>
    <xf numFmtId="183" fontId="4" fillId="0" borderId="10" xfId="4" applyNumberFormat="1" applyFont="1" applyFill="1" applyAlignment="1">
      <alignment horizontal="center" vertical="center" wrapText="1"/>
    </xf>
    <xf numFmtId="0" fontId="4" fillId="0" borderId="12" xfId="0" applyFont="1" applyBorder="1" applyAlignment="1">
      <alignment horizontal="center" vertical="center" wrapText="1"/>
    </xf>
    <xf numFmtId="3" fontId="4" fillId="0" borderId="28" xfId="4" applyNumberFormat="1" applyFont="1" applyFill="1" applyBorder="1" applyAlignment="1">
      <alignment horizontal="center" vertical="center" wrapText="1"/>
    </xf>
    <xf numFmtId="0" fontId="4" fillId="0" borderId="29" xfId="0" applyFont="1" applyBorder="1" applyAlignment="1">
      <alignment horizontal="center" vertical="center" wrapText="1"/>
    </xf>
    <xf numFmtId="0" fontId="3" fillId="0" borderId="29" xfId="0" applyFont="1" applyBorder="1" applyAlignment="1">
      <alignment horizontal="center" vertical="center" wrapText="1"/>
    </xf>
    <xf numFmtId="0" fontId="30" fillId="0" borderId="5" xfId="0" applyFont="1" applyBorder="1" applyAlignment="1">
      <alignment horizontal="center" vertical="center"/>
    </xf>
    <xf numFmtId="0" fontId="0" fillId="0" borderId="5" xfId="0" applyBorder="1"/>
    <xf numFmtId="181" fontId="30" fillId="0" borderId="5" xfId="0" applyNumberFormat="1" applyFont="1" applyBorder="1" applyAlignment="1">
      <alignment horizontal="center"/>
    </xf>
    <xf numFmtId="0" fontId="30" fillId="0" borderId="5" xfId="0" applyFont="1" applyBorder="1" applyAlignment="1">
      <alignment horizontal="center"/>
    </xf>
    <xf numFmtId="0" fontId="4" fillId="0" borderId="30" xfId="0" applyFont="1" applyBorder="1" applyAlignment="1">
      <alignment horizontal="center" vertical="center" wrapText="1"/>
    </xf>
    <xf numFmtId="9" fontId="4" fillId="0" borderId="10" xfId="4" applyNumberFormat="1" applyFont="1" applyFill="1" applyAlignment="1">
      <alignment horizontal="center" vertical="center" wrapText="1"/>
    </xf>
    <xf numFmtId="0" fontId="4" fillId="0" borderId="31" xfId="0" applyFont="1" applyBorder="1" applyAlignment="1">
      <alignment horizontal="center" vertical="center" wrapText="1"/>
    </xf>
    <xf numFmtId="3" fontId="4" fillId="0" borderId="32" xfId="4" applyNumberFormat="1" applyFont="1" applyFill="1" applyBorder="1" applyAlignment="1">
      <alignment horizontal="center" vertical="center" wrapText="1"/>
    </xf>
    <xf numFmtId="0" fontId="4" fillId="0" borderId="33" xfId="0" applyFont="1" applyBorder="1" applyAlignment="1">
      <alignment horizontal="center" vertical="center" wrapText="1"/>
    </xf>
    <xf numFmtId="0" fontId="19" fillId="0" borderId="7" xfId="0" applyFont="1" applyBorder="1" applyAlignment="1">
      <alignment horizontal="center" vertical="center" wrapText="1"/>
    </xf>
    <xf numFmtId="3" fontId="10" fillId="0" borderId="11" xfId="0" applyNumberFormat="1" applyFont="1" applyBorder="1" applyAlignment="1">
      <alignment horizontal="center" wrapText="1"/>
    </xf>
    <xf numFmtId="3" fontId="12" fillId="0" borderId="0" xfId="0" applyNumberFormat="1" applyFont="1" applyAlignment="1">
      <alignment horizontal="center"/>
    </xf>
    <xf numFmtId="0" fontId="7" fillId="0" borderId="0" xfId="8" applyFont="1">
      <alignment vertical="center"/>
    </xf>
    <xf numFmtId="179" fontId="7" fillId="0" borderId="0" xfId="8" applyNumberFormat="1" applyFont="1">
      <alignment vertical="center"/>
    </xf>
    <xf numFmtId="0" fontId="27" fillId="0" borderId="34" xfId="0" applyFont="1" applyBorder="1" applyAlignment="1">
      <alignment horizontal="center" vertical="center"/>
    </xf>
    <xf numFmtId="179" fontId="27" fillId="4" borderId="35" xfId="0" applyNumberFormat="1" applyFont="1" applyFill="1" applyBorder="1" applyAlignment="1">
      <alignment horizontal="center" vertical="center"/>
    </xf>
    <xf numFmtId="179" fontId="5" fillId="0" borderId="0" xfId="0" applyNumberFormat="1" applyFont="1" applyAlignment="1">
      <alignment horizontal="center"/>
    </xf>
    <xf numFmtId="0" fontId="19" fillId="2" borderId="1" xfId="0" applyFont="1" applyFill="1" applyBorder="1" applyAlignment="1">
      <alignment horizontal="center"/>
    </xf>
    <xf numFmtId="0" fontId="19" fillId="2" borderId="27" xfId="0" applyFont="1" applyFill="1" applyBorder="1" applyAlignment="1">
      <alignment horizontal="center"/>
    </xf>
    <xf numFmtId="0" fontId="19" fillId="2" borderId="2" xfId="0" applyFont="1" applyFill="1" applyBorder="1" applyAlignment="1">
      <alignment horizontal="center"/>
    </xf>
    <xf numFmtId="0" fontId="19" fillId="2" borderId="3" xfId="0" applyFont="1" applyFill="1" applyBorder="1" applyAlignment="1">
      <alignment horizontal="center"/>
    </xf>
    <xf numFmtId="0" fontId="30" fillId="0" borderId="4" xfId="0" applyFont="1" applyBorder="1" applyAlignment="1">
      <alignment horizontal="center" vertical="center"/>
    </xf>
    <xf numFmtId="0" fontId="19" fillId="0" borderId="5" xfId="0" applyFont="1" applyBorder="1" applyAlignment="1">
      <alignment horizontal="center" vertical="center"/>
    </xf>
    <xf numFmtId="0" fontId="30" fillId="0" borderId="6" xfId="0" applyFont="1" applyBorder="1" applyAlignment="1">
      <alignment vertical="center"/>
    </xf>
    <xf numFmtId="0" fontId="31" fillId="5" borderId="4" xfId="0" applyFont="1" applyFill="1" applyBorder="1" applyAlignment="1">
      <alignment horizontal="center"/>
    </xf>
    <xf numFmtId="0" fontId="30" fillId="0" borderId="6" xfId="0" applyFont="1" applyBorder="1" applyAlignment="1">
      <alignment horizontal="center" vertical="center"/>
    </xf>
    <xf numFmtId="181" fontId="30" fillId="0" borderId="5" xfId="0" applyNumberFormat="1" applyFont="1" applyBorder="1" applyAlignment="1">
      <alignment horizontal="center" vertical="center"/>
    </xf>
    <xf numFmtId="0" fontId="31" fillId="5" borderId="4" xfId="0" applyFont="1" applyFill="1" applyBorder="1" applyAlignment="1">
      <alignment horizontal="center" vertical="center"/>
    </xf>
    <xf numFmtId="0" fontId="10" fillId="5" borderId="7" xfId="6" applyFont="1" applyFill="1" applyBorder="1" applyAlignment="1">
      <alignment horizontal="center" vertical="center"/>
    </xf>
    <xf numFmtId="9" fontId="30" fillId="0" borderId="8" xfId="0" applyNumberFormat="1"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0" fillId="0" borderId="0" xfId="0" applyAlignment="1">
      <alignment wrapText="1"/>
    </xf>
    <xf numFmtId="0" fontId="11" fillId="2" borderId="1" xfId="0" applyFont="1" applyFill="1" applyBorder="1" applyAlignment="1">
      <alignment horizontal="justify" vertical="center" wrapText="1"/>
    </xf>
    <xf numFmtId="0" fontId="11" fillId="0" borderId="3" xfId="0" applyFont="1" applyBorder="1" applyAlignment="1">
      <alignment horizontal="left" vertical="center"/>
    </xf>
    <xf numFmtId="0" fontId="11" fillId="2" borderId="4" xfId="0" applyFont="1" applyFill="1" applyBorder="1" applyAlignment="1">
      <alignment horizontal="justify" vertical="center" wrapText="1"/>
    </xf>
    <xf numFmtId="0" fontId="11" fillId="0" borderId="6" xfId="0" applyFont="1" applyBorder="1" applyAlignment="1">
      <alignment horizontal="left" vertical="center"/>
    </xf>
    <xf numFmtId="0" fontId="11" fillId="2" borderId="7" xfId="0" applyFont="1" applyFill="1" applyBorder="1" applyAlignment="1">
      <alignment horizontal="justify" vertical="center" wrapText="1"/>
    </xf>
    <xf numFmtId="0" fontId="11" fillId="0" borderId="9" xfId="0" applyFont="1" applyBorder="1" applyAlignment="1">
      <alignment horizontal="left" vertical="center" wrapText="1"/>
    </xf>
    <xf numFmtId="0" fontId="32" fillId="0" borderId="14" xfId="2" applyBorder="1" applyAlignment="1">
      <alignment horizontal="center" vertical="center" wrapText="1"/>
    </xf>
    <xf numFmtId="0" fontId="0" fillId="0" borderId="24" xfId="0" applyBorder="1" applyAlignment="1">
      <alignment horizontal="center" vertical="center" wrapText="1"/>
    </xf>
    <xf numFmtId="0" fontId="5" fillId="0" borderId="0" xfId="0" applyFont="1" applyAlignment="1">
      <alignment horizontal="left" vertical="center"/>
    </xf>
    <xf numFmtId="0" fontId="5" fillId="3" borderId="0" xfId="0" applyFont="1" applyFill="1" applyAlignment="1">
      <alignment horizontal="left" vertical="center"/>
    </xf>
    <xf numFmtId="0" fontId="29" fillId="0" borderId="0" xfId="3" applyFont="1" applyAlignment="1">
      <alignment horizontal="left" vertical="center"/>
    </xf>
    <xf numFmtId="0" fontId="10" fillId="3" borderId="5" xfId="0" applyFont="1" applyFill="1" applyBorder="1" applyAlignment="1">
      <alignment horizontal="left" vertical="center"/>
    </xf>
    <xf numFmtId="0" fontId="5" fillId="3" borderId="5" xfId="0" applyFont="1" applyFill="1" applyBorder="1" applyAlignment="1">
      <alignment horizontal="left" vertical="center"/>
    </xf>
    <xf numFmtId="0" fontId="24" fillId="0" borderId="0" xfId="0" applyFont="1" applyAlignment="1">
      <alignment horizontal="left" vertical="center"/>
    </xf>
    <xf numFmtId="0" fontId="24" fillId="0" borderId="26" xfId="0" applyFont="1" applyBorder="1" applyAlignment="1">
      <alignment horizontal="left" vertical="center"/>
    </xf>
    <xf numFmtId="0" fontId="26" fillId="0" borderId="15" xfId="8" applyFont="1" applyBorder="1" applyAlignment="1">
      <alignment horizontal="left" vertical="center" wrapText="1"/>
    </xf>
    <xf numFmtId="0" fontId="26" fillId="0" borderId="25" xfId="8" applyFont="1" applyBorder="1" applyAlignment="1">
      <alignment horizontal="left" vertical="center" wrapText="1"/>
    </xf>
    <xf numFmtId="0" fontId="26" fillId="0" borderId="16" xfId="8" applyFont="1" applyBorder="1" applyAlignment="1">
      <alignment horizontal="left" vertical="center" wrapText="1"/>
    </xf>
    <xf numFmtId="0" fontId="10" fillId="3" borderId="0" xfId="6" applyFont="1" applyFill="1" applyAlignment="1">
      <alignment horizontal="left" vertical="center"/>
    </xf>
    <xf numFmtId="0" fontId="6" fillId="0" borderId="0" xfId="3" applyFont="1" applyAlignment="1">
      <alignment horizontal="left" vertical="center"/>
    </xf>
    <xf numFmtId="0" fontId="10" fillId="3" borderId="0" xfId="0" applyFont="1" applyFill="1" applyAlignment="1">
      <alignment horizontal="left"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188" fontId="4" fillId="0" borderId="5" xfId="0" applyNumberFormat="1" applyFont="1" applyBorder="1" applyAlignment="1">
      <alignment horizontal="center" vertical="center"/>
    </xf>
    <xf numFmtId="0" fontId="63" fillId="0" borderId="4" xfId="0" applyFont="1" applyBorder="1" applyAlignment="1">
      <alignment horizontal="center" vertical="center"/>
    </xf>
    <xf numFmtId="0" fontId="64" fillId="0" borderId="6" xfId="0" applyFont="1" applyBorder="1" applyAlignment="1">
      <alignment horizontal="left" vertical="center"/>
    </xf>
    <xf numFmtId="0" fontId="65" fillId="0" borderId="12" xfId="8" applyFont="1" applyBorder="1" applyAlignment="1">
      <alignment horizontal="center" vertical="center" wrapText="1"/>
    </xf>
    <xf numFmtId="0" fontId="65" fillId="0" borderId="14" xfId="0" applyFont="1" applyBorder="1" applyAlignment="1">
      <alignment horizontal="center" vertical="center" wrapText="1"/>
    </xf>
    <xf numFmtId="0" fontId="66" fillId="5" borderId="4" xfId="6" applyFont="1" applyFill="1" applyBorder="1" applyAlignment="1">
      <alignment horizontal="center" vertical="center"/>
    </xf>
    <xf numFmtId="3" fontId="68" fillId="0" borderId="5" xfId="5"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6" applyFont="1" applyFill="1" applyBorder="1" applyAlignment="1">
      <alignment horizontal="center" vertical="center" wrapText="1"/>
    </xf>
    <xf numFmtId="9" fontId="4" fillId="0" borderId="5" xfId="6" applyNumberFormat="1" applyFont="1" applyFill="1" applyBorder="1" applyAlignment="1">
      <alignment horizontal="center" vertical="center" wrapText="1"/>
    </xf>
    <xf numFmtId="0" fontId="65" fillId="0" borderId="6" xfId="6" applyFont="1" applyBorder="1" applyAlignment="1">
      <alignment horizontal="center" vertical="center" wrapText="1"/>
    </xf>
    <xf numFmtId="0" fontId="23" fillId="0" borderId="4" xfId="6" applyFont="1" applyFill="1" applyBorder="1" applyAlignment="1">
      <alignment horizontal="center" vertical="center"/>
    </xf>
    <xf numFmtId="180"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wrapText="1"/>
    </xf>
    <xf numFmtId="0" fontId="4" fillId="0" borderId="12" xfId="6" applyFont="1" applyFill="1" applyBorder="1" applyAlignment="1">
      <alignment horizontal="center" vertical="center" wrapText="1"/>
    </xf>
    <xf numFmtId="0" fontId="69" fillId="0" borderId="14" xfId="0" applyFont="1" applyBorder="1" applyAlignment="1">
      <alignment horizontal="center" vertical="center" wrapText="1"/>
    </xf>
    <xf numFmtId="0" fontId="69" fillId="0" borderId="6" xfId="0" applyFont="1" applyBorder="1" applyAlignment="1">
      <alignment horizontal="center" vertical="center" wrapText="1"/>
    </xf>
    <xf numFmtId="0" fontId="4" fillId="0" borderId="12" xfId="8" applyFont="1" applyFill="1" applyBorder="1" applyAlignment="1">
      <alignment horizontal="center" vertical="center" wrapText="1"/>
    </xf>
    <xf numFmtId="9" fontId="4" fillId="0" borderId="13" xfId="8" applyNumberFormat="1" applyFont="1" applyFill="1" applyBorder="1" applyAlignment="1">
      <alignment horizontal="center" vertical="center" wrapText="1"/>
    </xf>
  </cellXfs>
  <cellStyles count="9">
    <cellStyle name="Normal_Sheet2" xfId="6" xr:uid="{00000000-0005-0000-0000-000031000000}"/>
    <cellStyle name="Normal_Sheet3" xfId="7" xr:uid="{00000000-0005-0000-0000-000032000000}"/>
    <cellStyle name="标题" xfId="3" builtinId="15"/>
    <cellStyle name="常规" xfId="0" builtinId="0"/>
    <cellStyle name="常规_范霍夫数－计算结果" xfId="8" xr:uid="{00000000-0005-0000-0000-000033000000}"/>
    <cellStyle name="超链接" xfId="2" builtinId="8"/>
    <cellStyle name="计算" xfId="5" builtinId="22"/>
    <cellStyle name="千位分隔" xfId="1" builtinId="3"/>
    <cellStyle name="输入" xfId="4" builtinId="2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 Id="rId9" Type="http://schemas.openxmlformats.org/officeDocument/2006/relationships/image" Target="../media/image16.png"/></Relationships>
</file>

<file path=xl/drawings/_rels/drawing3.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11" Type="http://schemas.openxmlformats.org/officeDocument/2006/relationships/image" Target="../media/image27.png"/><Relationship Id="rId5" Type="http://schemas.openxmlformats.org/officeDocument/2006/relationships/image" Target="../media/image21.png"/><Relationship Id="rId10" Type="http://schemas.openxmlformats.org/officeDocument/2006/relationships/image" Target="../media/image26.png"/><Relationship Id="rId4" Type="http://schemas.openxmlformats.org/officeDocument/2006/relationships/image" Target="../media/image20.png"/><Relationship Id="rId9"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twoCellAnchor editAs="oneCell">
    <xdr:from>
      <xdr:col>2</xdr:col>
      <xdr:colOff>92247</xdr:colOff>
      <xdr:row>2</xdr:row>
      <xdr:rowOff>65764</xdr:rowOff>
    </xdr:from>
    <xdr:to>
      <xdr:col>3</xdr:col>
      <xdr:colOff>2150014</xdr:colOff>
      <xdr:row>4</xdr:row>
      <xdr:rowOff>25198</xdr:rowOff>
    </xdr:to>
    <xdr:pic>
      <xdr:nvPicPr>
        <xdr:cNvPr id="8" name="图片 9">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3766820" y="415925"/>
          <a:ext cx="3904615" cy="30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2432379</xdr:colOff>
      <xdr:row>1</xdr:row>
      <xdr:rowOff>137729</xdr:rowOff>
    </xdr:from>
    <xdr:to>
      <xdr:col>4</xdr:col>
      <xdr:colOff>0</xdr:colOff>
      <xdr:row>4</xdr:row>
      <xdr:rowOff>56078</xdr:rowOff>
    </xdr:to>
    <xdr:pic>
      <xdr:nvPicPr>
        <xdr:cNvPr id="9" name="图片 1">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10837"/>
        <a:stretch>
          <a:fillRect/>
        </a:stretch>
      </xdr:blipFill>
      <xdr:spPr>
        <a:xfrm>
          <a:off x="7954010" y="312420"/>
          <a:ext cx="161798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144431</xdr:colOff>
      <xdr:row>21</xdr:row>
      <xdr:rowOff>166068</xdr:rowOff>
    </xdr:from>
    <xdr:to>
      <xdr:col>3</xdr:col>
      <xdr:colOff>1699805</xdr:colOff>
      <xdr:row>23</xdr:row>
      <xdr:rowOff>149412</xdr:rowOff>
    </xdr:to>
    <xdr:pic>
      <xdr:nvPicPr>
        <xdr:cNvPr id="10" name="图片 13">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3818890" y="5586095"/>
          <a:ext cx="3402330"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164568</xdr:colOff>
      <xdr:row>24</xdr:row>
      <xdr:rowOff>50278</xdr:rowOff>
    </xdr:from>
    <xdr:to>
      <xdr:col>3</xdr:col>
      <xdr:colOff>1173349</xdr:colOff>
      <xdr:row>26</xdr:row>
      <xdr:rowOff>64746</xdr:rowOff>
    </xdr:to>
    <xdr:pic>
      <xdr:nvPicPr>
        <xdr:cNvPr id="11" name="图片 14">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3839210" y="5996305"/>
          <a:ext cx="2855595" cy="364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1345140</xdr:colOff>
      <xdr:row>24</xdr:row>
      <xdr:rowOff>86833</xdr:rowOff>
    </xdr:from>
    <xdr:to>
      <xdr:col>4</xdr:col>
      <xdr:colOff>493276</xdr:colOff>
      <xdr:row>26</xdr:row>
      <xdr:rowOff>33925</xdr:rowOff>
    </xdr:to>
    <xdr:pic>
      <xdr:nvPicPr>
        <xdr:cNvPr id="12" name="图片 15">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b="5128"/>
        <a:stretch>
          <a:fillRect/>
        </a:stretch>
      </xdr:blipFill>
      <xdr:spPr>
        <a:xfrm>
          <a:off x="6866890" y="6032500"/>
          <a:ext cx="3197860" cy="297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343646</xdr:colOff>
      <xdr:row>50</xdr:row>
      <xdr:rowOff>134343</xdr:rowOff>
    </xdr:from>
    <xdr:to>
      <xdr:col>3</xdr:col>
      <xdr:colOff>1018071</xdr:colOff>
      <xdr:row>52</xdr:row>
      <xdr:rowOff>24902</xdr:rowOff>
    </xdr:to>
    <xdr:pic>
      <xdr:nvPicPr>
        <xdr:cNvPr id="13" name="图片 16">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b="15375"/>
        <a:stretch>
          <a:fillRect/>
        </a:stretch>
      </xdr:blipFill>
      <xdr:spPr>
        <a:xfrm>
          <a:off x="4018280" y="13554075"/>
          <a:ext cx="2521585" cy="290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431130</xdr:colOff>
      <xdr:row>0</xdr:row>
      <xdr:rowOff>58356</xdr:rowOff>
    </xdr:from>
    <xdr:to>
      <xdr:col>2</xdr:col>
      <xdr:colOff>1535478</xdr:colOff>
      <xdr:row>1</xdr:row>
      <xdr:rowOff>124289</xdr:rowOff>
    </xdr:to>
    <xdr:pic>
      <xdr:nvPicPr>
        <xdr:cNvPr id="2" name="图片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738120" y="57785"/>
          <a:ext cx="2472055" cy="241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452468</xdr:colOff>
      <xdr:row>0</xdr:row>
      <xdr:rowOff>31376</xdr:rowOff>
    </xdr:from>
    <xdr:to>
      <xdr:col>2</xdr:col>
      <xdr:colOff>228482</xdr:colOff>
      <xdr:row>1</xdr:row>
      <xdr:rowOff>154392</xdr:rowOff>
    </xdr:to>
    <xdr:pic>
      <xdr:nvPicPr>
        <xdr:cNvPr id="13" name="图片 1">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2360295" y="31115"/>
          <a:ext cx="3747135"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159372</xdr:colOff>
      <xdr:row>22</xdr:row>
      <xdr:rowOff>109178</xdr:rowOff>
    </xdr:from>
    <xdr:to>
      <xdr:col>3</xdr:col>
      <xdr:colOff>4093881</xdr:colOff>
      <xdr:row>25</xdr:row>
      <xdr:rowOff>33187</xdr:rowOff>
    </xdr:to>
    <xdr:pic>
      <xdr:nvPicPr>
        <xdr:cNvPr id="14" name="图片 2">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6038215" y="4619625"/>
          <a:ext cx="626681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1161179</xdr:colOff>
      <xdr:row>45</xdr:row>
      <xdr:rowOff>88152</xdr:rowOff>
    </xdr:from>
    <xdr:to>
      <xdr:col>1</xdr:col>
      <xdr:colOff>2451102</xdr:colOff>
      <xdr:row>47</xdr:row>
      <xdr:rowOff>113552</xdr:rowOff>
    </xdr:to>
    <xdr:pic>
      <xdr:nvPicPr>
        <xdr:cNvPr id="15" name="图片 3">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1160780" y="9990455"/>
          <a:ext cx="3198495" cy="37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699498</xdr:colOff>
      <xdr:row>65</xdr:row>
      <xdr:rowOff>100106</xdr:rowOff>
    </xdr:from>
    <xdr:to>
      <xdr:col>1</xdr:col>
      <xdr:colOff>2480237</xdr:colOff>
      <xdr:row>67</xdr:row>
      <xdr:rowOff>102089</xdr:rowOff>
    </xdr:to>
    <xdr:pic>
      <xdr:nvPicPr>
        <xdr:cNvPr id="17" name="图片 5">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699135" y="14499590"/>
          <a:ext cx="36887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149411</xdr:colOff>
      <xdr:row>42</xdr:row>
      <xdr:rowOff>6257</xdr:rowOff>
    </xdr:from>
    <xdr:to>
      <xdr:col>3</xdr:col>
      <xdr:colOff>2191372</xdr:colOff>
      <xdr:row>44</xdr:row>
      <xdr:rowOff>29342</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6028690" y="9377680"/>
          <a:ext cx="4373245" cy="379095"/>
        </a:xfrm>
        <a:prstGeom prst="rect">
          <a:avLst/>
        </a:prstGeom>
      </xdr:spPr>
    </xdr:pic>
    <xdr:clientData/>
  </xdr:twoCellAnchor>
  <xdr:twoCellAnchor editAs="oneCell">
    <xdr:from>
      <xdr:col>4</xdr:col>
      <xdr:colOff>582704</xdr:colOff>
      <xdr:row>5</xdr:row>
      <xdr:rowOff>169334</xdr:rowOff>
    </xdr:from>
    <xdr:to>
      <xdr:col>9</xdr:col>
      <xdr:colOff>543485</xdr:colOff>
      <xdr:row>8</xdr:row>
      <xdr:rowOff>129492</xdr:rowOff>
    </xdr:to>
    <xdr:pic>
      <xdr:nvPicPr>
        <xdr:cNvPr id="2" name="图片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14558010" y="1045210"/>
          <a:ext cx="3343275" cy="541020"/>
        </a:xfrm>
        <a:prstGeom prst="rect">
          <a:avLst/>
        </a:prstGeom>
      </xdr:spPr>
    </xdr:pic>
    <xdr:clientData/>
  </xdr:twoCellAnchor>
  <xdr:twoCellAnchor editAs="oneCell">
    <xdr:from>
      <xdr:col>2</xdr:col>
      <xdr:colOff>204194</xdr:colOff>
      <xdr:row>3</xdr:row>
      <xdr:rowOff>31659</xdr:rowOff>
    </xdr:from>
    <xdr:to>
      <xdr:col>3</xdr:col>
      <xdr:colOff>1185332</xdr:colOff>
      <xdr:row>4</xdr:row>
      <xdr:rowOff>128257</xdr:rowOff>
    </xdr:to>
    <xdr:pic>
      <xdr:nvPicPr>
        <xdr:cNvPr id="4" name="图片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6083300" y="556895"/>
          <a:ext cx="3312795" cy="271780"/>
        </a:xfrm>
        <a:prstGeom prst="rect">
          <a:avLst/>
        </a:prstGeom>
      </xdr:spPr>
    </xdr:pic>
    <xdr:clientData/>
  </xdr:twoCellAnchor>
  <xdr:twoCellAnchor editAs="oneCell">
    <xdr:from>
      <xdr:col>2</xdr:col>
      <xdr:colOff>373527</xdr:colOff>
      <xdr:row>11</xdr:row>
      <xdr:rowOff>55065</xdr:rowOff>
    </xdr:from>
    <xdr:to>
      <xdr:col>3</xdr:col>
      <xdr:colOff>2232764</xdr:colOff>
      <xdr:row>14</xdr:row>
      <xdr:rowOff>129490</xdr:rowOff>
    </xdr:to>
    <xdr:pic>
      <xdr:nvPicPr>
        <xdr:cNvPr id="5" name="图片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6252845" y="2359660"/>
          <a:ext cx="4191000" cy="600075"/>
        </a:xfrm>
        <a:prstGeom prst="rect">
          <a:avLst/>
        </a:prstGeom>
      </xdr:spPr>
    </xdr:pic>
    <xdr:clientData/>
  </xdr:twoCellAnchor>
  <xdr:twoCellAnchor editAs="oneCell">
    <xdr:from>
      <xdr:col>2</xdr:col>
      <xdr:colOff>1603685</xdr:colOff>
      <xdr:row>0</xdr:row>
      <xdr:rowOff>44823</xdr:rowOff>
    </xdr:from>
    <xdr:to>
      <xdr:col>3</xdr:col>
      <xdr:colOff>3197980</xdr:colOff>
      <xdr:row>2</xdr:row>
      <xdr:rowOff>49805</xdr:rowOff>
    </xdr:to>
    <xdr:pic>
      <xdr:nvPicPr>
        <xdr:cNvPr id="6" name="图片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7482840" y="44450"/>
          <a:ext cx="3926205" cy="355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143935</xdr:colOff>
      <xdr:row>0</xdr:row>
      <xdr:rowOff>55034</xdr:rowOff>
    </xdr:from>
    <xdr:to>
      <xdr:col>2</xdr:col>
      <xdr:colOff>945305</xdr:colOff>
      <xdr:row>1</xdr:row>
      <xdr:rowOff>140997</xdr:rowOff>
    </xdr:to>
    <xdr:pic>
      <xdr:nvPicPr>
        <xdr:cNvPr id="13" name="图片 1">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1813560" y="54610"/>
          <a:ext cx="3830955" cy="26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5</xdr:row>
      <xdr:rowOff>76201</xdr:rowOff>
    </xdr:from>
    <xdr:to>
      <xdr:col>2</xdr:col>
      <xdr:colOff>35040</xdr:colOff>
      <xdr:row>7</xdr:row>
      <xdr:rowOff>89647</xdr:rowOff>
    </xdr:to>
    <xdr:pic>
      <xdr:nvPicPr>
        <xdr:cNvPr id="14" name="图片 2">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190500" y="952500"/>
          <a:ext cx="45440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1339975</xdr:colOff>
      <xdr:row>5</xdr:row>
      <xdr:rowOff>103095</xdr:rowOff>
    </xdr:from>
    <xdr:to>
      <xdr:col>3</xdr:col>
      <xdr:colOff>2148544</xdr:colOff>
      <xdr:row>7</xdr:row>
      <xdr:rowOff>132728</xdr:rowOff>
    </xdr:to>
    <xdr:pic>
      <xdr:nvPicPr>
        <xdr:cNvPr id="15" name="图片 3">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6039485" y="979170"/>
          <a:ext cx="289369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207434</xdr:colOff>
      <xdr:row>8</xdr:row>
      <xdr:rowOff>76198</xdr:rowOff>
    </xdr:from>
    <xdr:to>
      <xdr:col>1</xdr:col>
      <xdr:colOff>1733177</xdr:colOff>
      <xdr:row>10</xdr:row>
      <xdr:rowOff>83961</xdr:rowOff>
    </xdr:to>
    <xdr:pic>
      <xdr:nvPicPr>
        <xdr:cNvPr id="16" name="图片 4">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207010" y="1477645"/>
          <a:ext cx="3195955" cy="35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424329</xdr:colOff>
      <xdr:row>8</xdr:row>
      <xdr:rowOff>76946</xdr:rowOff>
    </xdr:from>
    <xdr:to>
      <xdr:col>3</xdr:col>
      <xdr:colOff>1795931</xdr:colOff>
      <xdr:row>10</xdr:row>
      <xdr:rowOff>106580</xdr:rowOff>
    </xdr:to>
    <xdr:pic>
      <xdr:nvPicPr>
        <xdr:cNvPr id="17" name="图片 5">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5123815" y="1478915"/>
          <a:ext cx="3456940" cy="379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241300</xdr:colOff>
      <xdr:row>28</xdr:row>
      <xdr:rowOff>55033</xdr:rowOff>
    </xdr:from>
    <xdr:to>
      <xdr:col>1</xdr:col>
      <xdr:colOff>2727868</xdr:colOff>
      <xdr:row>30</xdr:row>
      <xdr:rowOff>16930</xdr:rowOff>
    </xdr:to>
    <xdr:pic>
      <xdr:nvPicPr>
        <xdr:cNvPr id="18" name="图片 6">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241300" y="6640195"/>
          <a:ext cx="4156075"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2031005</xdr:colOff>
      <xdr:row>28</xdr:row>
      <xdr:rowOff>18677</xdr:rowOff>
    </xdr:from>
    <xdr:to>
      <xdr:col>3</xdr:col>
      <xdr:colOff>2682940</xdr:colOff>
      <xdr:row>30</xdr:row>
      <xdr:rowOff>27141</xdr:rowOff>
    </xdr:to>
    <xdr:pic>
      <xdr:nvPicPr>
        <xdr:cNvPr id="19" name="图片 7">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6730365" y="6604000"/>
          <a:ext cx="2737485" cy="35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211667</xdr:colOff>
      <xdr:row>31</xdr:row>
      <xdr:rowOff>97367</xdr:rowOff>
    </xdr:from>
    <xdr:to>
      <xdr:col>1</xdr:col>
      <xdr:colOff>1947334</xdr:colOff>
      <xdr:row>33</xdr:row>
      <xdr:rowOff>122764</xdr:rowOff>
    </xdr:to>
    <xdr:pic>
      <xdr:nvPicPr>
        <xdr:cNvPr id="20" name="图片 9">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211455" y="7208520"/>
          <a:ext cx="3405505" cy="37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1924423</xdr:colOff>
      <xdr:row>31</xdr:row>
      <xdr:rowOff>90146</xdr:rowOff>
    </xdr:from>
    <xdr:to>
      <xdr:col>3</xdr:col>
      <xdr:colOff>2948892</xdr:colOff>
      <xdr:row>33</xdr:row>
      <xdr:rowOff>107076</xdr:rowOff>
    </xdr:to>
    <xdr:pic>
      <xdr:nvPicPr>
        <xdr:cNvPr id="21" name="图片 10">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rcRect t="9808" b="2"/>
        <a:stretch>
          <a:fillRect/>
        </a:stretch>
      </xdr:blipFill>
      <xdr:spPr>
        <a:xfrm>
          <a:off x="6623685" y="7200900"/>
          <a:ext cx="3109595" cy="36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93134</xdr:colOff>
      <xdr:row>51</xdr:row>
      <xdr:rowOff>84667</xdr:rowOff>
    </xdr:from>
    <xdr:to>
      <xdr:col>3</xdr:col>
      <xdr:colOff>3417647</xdr:colOff>
      <xdr:row>53</xdr:row>
      <xdr:rowOff>168227</xdr:rowOff>
    </xdr:to>
    <xdr:pic>
      <xdr:nvPicPr>
        <xdr:cNvPr id="22" name="图片 12">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10"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4792345" y="12586970"/>
          <a:ext cx="541020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314262</xdr:colOff>
      <xdr:row>64</xdr:row>
      <xdr:rowOff>102845</xdr:rowOff>
    </xdr:from>
    <xdr:to>
      <xdr:col>3</xdr:col>
      <xdr:colOff>3264897</xdr:colOff>
      <xdr:row>67</xdr:row>
      <xdr:rowOff>12447</xdr:rowOff>
    </xdr:to>
    <xdr:pic>
      <xdr:nvPicPr>
        <xdr:cNvPr id="23" name="图片 13">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1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5013325" y="16094075"/>
          <a:ext cx="5036185" cy="435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410632</xdr:colOff>
      <xdr:row>89</xdr:row>
      <xdr:rowOff>140945</xdr:rowOff>
    </xdr:from>
    <xdr:to>
      <xdr:col>3</xdr:col>
      <xdr:colOff>2171699</xdr:colOff>
      <xdr:row>91</xdr:row>
      <xdr:rowOff>15240</xdr:rowOff>
    </xdr:to>
    <xdr:pic>
      <xdr:nvPicPr>
        <xdr:cNvPr id="2" name="图片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5109845" y="22235795"/>
          <a:ext cx="384619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ASELINE%20EMISSION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ROJECT%20EMISSION"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EAKEAG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longyang.gov.cn/info/15875/13674609.ht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7"/>
  <sheetViews>
    <sheetView workbookViewId="0">
      <selection activeCell="C11" sqref="C11"/>
    </sheetView>
  </sheetViews>
  <sheetFormatPr defaultColWidth="9" defaultRowHeight="14"/>
  <cols>
    <col min="2" max="2" width="48.1171875" customWidth="1"/>
    <col min="3" max="3" width="70.46875" customWidth="1"/>
  </cols>
  <sheetData>
    <row r="3" spans="2:3" ht="25" customHeight="1">
      <c r="B3" s="242" t="s">
        <v>0</v>
      </c>
      <c r="C3" s="243" t="s">
        <v>1</v>
      </c>
    </row>
    <row r="4" spans="2:3" ht="25" customHeight="1">
      <c r="B4" s="244" t="s">
        <v>2</v>
      </c>
      <c r="C4" s="245"/>
    </row>
    <row r="5" spans="2:3" ht="25" customHeight="1">
      <c r="B5" s="244" t="s">
        <v>3</v>
      </c>
      <c r="C5" s="245">
        <v>3</v>
      </c>
    </row>
    <row r="6" spans="2:3" ht="25" customHeight="1">
      <c r="B6" s="244" t="s">
        <v>4</v>
      </c>
      <c r="C6" s="267" t="s">
        <v>244</v>
      </c>
    </row>
    <row r="7" spans="2:3" ht="25" customHeight="1">
      <c r="B7" s="246" t="s">
        <v>5</v>
      </c>
      <c r="C7" s="247" t="s">
        <v>6</v>
      </c>
    </row>
  </sheetData>
  <phoneticPr fontId="6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5"/>
  <sheetViews>
    <sheetView workbookViewId="0">
      <selection activeCell="D17" sqref="D17"/>
    </sheetView>
  </sheetViews>
  <sheetFormatPr defaultColWidth="9" defaultRowHeight="14"/>
  <cols>
    <col min="2" max="2" width="20.64453125" customWidth="1"/>
    <col min="3" max="3" width="18.52734375" customWidth="1"/>
    <col min="4" max="4" width="16.703125" customWidth="1"/>
    <col min="5" max="5" width="48.234375" customWidth="1"/>
  </cols>
  <sheetData>
    <row r="2" spans="2:5" ht="25" customHeight="1">
      <c r="B2" s="226" t="s">
        <v>7</v>
      </c>
      <c r="C2" s="227" t="s">
        <v>8</v>
      </c>
      <c r="D2" s="228" t="s">
        <v>9</v>
      </c>
      <c r="E2" s="229" t="s">
        <v>10</v>
      </c>
    </row>
    <row r="3" spans="2:5" ht="25" customHeight="1">
      <c r="B3" s="230"/>
      <c r="C3" s="231" t="s">
        <v>11</v>
      </c>
      <c r="D3" s="209"/>
      <c r="E3" s="232"/>
    </row>
    <row r="4" spans="2:5" ht="25" customHeight="1">
      <c r="B4" s="233" t="s">
        <v>12</v>
      </c>
      <c r="C4" s="209">
        <v>125000</v>
      </c>
      <c r="D4" s="209" t="s">
        <v>13</v>
      </c>
      <c r="E4" s="234" t="s">
        <v>14</v>
      </c>
    </row>
    <row r="5" spans="2:5" ht="25" customHeight="1">
      <c r="B5" s="233" t="s">
        <v>15</v>
      </c>
      <c r="C5" s="209">
        <v>168</v>
      </c>
      <c r="D5" s="209" t="s">
        <v>16</v>
      </c>
      <c r="E5" s="234" t="s">
        <v>14</v>
      </c>
    </row>
    <row r="6" spans="2:5" ht="25" customHeight="1">
      <c r="B6" s="233" t="s">
        <v>17</v>
      </c>
      <c r="C6" s="235">
        <f>C4*C5/365</f>
        <v>57534.246575342499</v>
      </c>
      <c r="D6" s="209" t="s">
        <v>13</v>
      </c>
      <c r="E6" s="234" t="s">
        <v>14</v>
      </c>
    </row>
    <row r="7" spans="2:5" ht="25" customHeight="1">
      <c r="B7" s="236" t="s">
        <v>18</v>
      </c>
      <c r="C7" s="209">
        <v>15.7</v>
      </c>
      <c r="D7" s="209" t="s">
        <v>19</v>
      </c>
      <c r="E7" s="248" t="s">
        <v>20</v>
      </c>
    </row>
    <row r="8" spans="2:5" ht="25" customHeight="1">
      <c r="B8" s="236" t="s">
        <v>21</v>
      </c>
      <c r="C8" s="209">
        <v>975.6</v>
      </c>
      <c r="D8" s="209" t="s">
        <v>22</v>
      </c>
      <c r="E8" s="249"/>
    </row>
    <row r="9" spans="2:5" ht="25" customHeight="1">
      <c r="B9" s="236" t="s">
        <v>23</v>
      </c>
      <c r="C9" s="209">
        <v>1612.6</v>
      </c>
      <c r="D9" s="209" t="s">
        <v>22</v>
      </c>
      <c r="E9" s="249"/>
    </row>
    <row r="10" spans="2:5" ht="25" customHeight="1">
      <c r="B10" s="236" t="s">
        <v>24</v>
      </c>
      <c r="C10" s="209">
        <v>115</v>
      </c>
      <c r="D10" s="209" t="s">
        <v>25</v>
      </c>
      <c r="E10" s="234" t="s">
        <v>14</v>
      </c>
    </row>
    <row r="11" spans="2:5" ht="25" customHeight="1">
      <c r="B11" s="237" t="s">
        <v>26</v>
      </c>
      <c r="C11" s="238">
        <v>0.5</v>
      </c>
      <c r="D11" s="239" t="s">
        <v>27</v>
      </c>
      <c r="E11" s="240" t="s">
        <v>14</v>
      </c>
    </row>
    <row r="15" spans="2:5">
      <c r="E15" s="241"/>
    </row>
  </sheetData>
  <mergeCells count="1">
    <mergeCell ref="E7:E9"/>
  </mergeCells>
  <phoneticPr fontId="62" type="noConversion"/>
  <hyperlinks>
    <hyperlink ref="E7"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2"/>
  <sheetViews>
    <sheetView topLeftCell="A40" workbookViewId="0">
      <selection activeCell="C43" sqref="A43:C43"/>
    </sheetView>
  </sheetViews>
  <sheetFormatPr defaultColWidth="9" defaultRowHeight="14"/>
  <cols>
    <col min="1" max="1" width="33.64453125" customWidth="1"/>
    <col min="2" max="2" width="19.9375" customWidth="1"/>
    <col min="3" max="3" width="26.9375" customWidth="1"/>
    <col min="4" max="4" width="59.05859375" customWidth="1"/>
  </cols>
  <sheetData>
    <row r="1" spans="1:4">
      <c r="A1" s="252" t="s">
        <v>28</v>
      </c>
      <c r="B1" s="252"/>
      <c r="C1" s="19"/>
      <c r="D1" s="17"/>
    </row>
    <row r="2" spans="1:4">
      <c r="A2" s="252"/>
      <c r="B2" s="252"/>
      <c r="C2" s="19"/>
      <c r="D2" s="17"/>
    </row>
    <row r="3" spans="1:4">
      <c r="A3" s="253" t="s">
        <v>29</v>
      </c>
      <c r="B3" s="253"/>
      <c r="C3" s="17"/>
      <c r="D3" s="17"/>
    </row>
    <row r="4" spans="1:4">
      <c r="A4" s="253"/>
      <c r="B4" s="253"/>
      <c r="C4" s="17"/>
      <c r="D4" s="17"/>
    </row>
    <row r="5" spans="1:4">
      <c r="A5" s="18"/>
      <c r="B5" s="18"/>
      <c r="C5" s="17"/>
      <c r="D5" s="17"/>
    </row>
    <row r="6" spans="1:4" ht="14" customHeight="1">
      <c r="A6" s="187" t="s">
        <v>7</v>
      </c>
      <c r="B6" s="187" t="s">
        <v>30</v>
      </c>
      <c r="C6" s="187" t="s">
        <v>9</v>
      </c>
      <c r="D6" s="187" t="s">
        <v>10</v>
      </c>
    </row>
    <row r="7" spans="1:4" ht="15.7">
      <c r="A7" s="188" t="s">
        <v>31</v>
      </c>
      <c r="B7" s="32">
        <v>28</v>
      </c>
      <c r="C7" s="188" t="s">
        <v>32</v>
      </c>
      <c r="D7" s="188" t="s">
        <v>33</v>
      </c>
    </row>
    <row r="8" spans="1:4" ht="15.7">
      <c r="A8" s="189" t="s">
        <v>34</v>
      </c>
      <c r="B8" s="111">
        <v>6.7000000000000002E-4</v>
      </c>
      <c r="C8" s="189" t="s">
        <v>35</v>
      </c>
      <c r="D8" s="188" t="s">
        <v>36</v>
      </c>
    </row>
    <row r="9" spans="1:4" ht="27.35">
      <c r="A9" s="188" t="s">
        <v>37</v>
      </c>
      <c r="B9" s="190">
        <v>0.73</v>
      </c>
      <c r="C9" s="188" t="s">
        <v>38</v>
      </c>
      <c r="D9" s="188" t="s">
        <v>39</v>
      </c>
    </row>
    <row r="10" spans="1:4">
      <c r="A10" s="189" t="s">
        <v>40</v>
      </c>
      <c r="B10" s="111">
        <v>0.94</v>
      </c>
      <c r="C10" s="189" t="s">
        <v>41</v>
      </c>
      <c r="D10" s="188" t="s">
        <v>42</v>
      </c>
    </row>
    <row r="11" spans="1:4" ht="15.35">
      <c r="A11" s="188" t="s">
        <v>43</v>
      </c>
      <c r="B11" s="191">
        <f>B9*B10</f>
        <v>0.68620000000000003</v>
      </c>
      <c r="C11" s="189" t="s">
        <v>41</v>
      </c>
      <c r="D11" s="188" t="s">
        <v>44</v>
      </c>
    </row>
    <row r="12" spans="1:4" ht="27.35">
      <c r="A12" s="188" t="s">
        <v>45</v>
      </c>
      <c r="B12" s="192">
        <v>0.45</v>
      </c>
      <c r="C12" s="188" t="s">
        <v>46</v>
      </c>
      <c r="D12" s="188" t="s">
        <v>47</v>
      </c>
    </row>
    <row r="13" spans="1:4" ht="15.7">
      <c r="A13" s="188" t="s">
        <v>48</v>
      </c>
      <c r="B13" s="126">
        <v>57534</v>
      </c>
      <c r="C13" s="188" t="s">
        <v>49</v>
      </c>
      <c r="D13" s="188" t="s">
        <v>44</v>
      </c>
    </row>
    <row r="14" spans="1:4" ht="15.7">
      <c r="A14" s="188" t="s">
        <v>50</v>
      </c>
      <c r="B14" s="126">
        <v>115</v>
      </c>
      <c r="C14" s="188" t="s">
        <v>25</v>
      </c>
      <c r="D14" s="188" t="s">
        <v>14</v>
      </c>
    </row>
    <row r="15" spans="1:4" ht="27.35">
      <c r="A15" s="188" t="s">
        <v>51</v>
      </c>
      <c r="B15" s="193">
        <v>5.0999999999999996</v>
      </c>
      <c r="C15" s="188" t="s">
        <v>52</v>
      </c>
      <c r="D15" s="188" t="s">
        <v>53</v>
      </c>
    </row>
    <row r="16" spans="1:4" ht="27.35">
      <c r="A16" s="188" t="s">
        <v>54</v>
      </c>
      <c r="B16" s="126">
        <v>56</v>
      </c>
      <c r="C16" s="188" t="s">
        <v>25</v>
      </c>
      <c r="D16" s="188" t="s">
        <v>55</v>
      </c>
    </row>
    <row r="17" spans="1:4" ht="15.7">
      <c r="A17" s="188" t="s">
        <v>56</v>
      </c>
      <c r="B17" s="34">
        <f>B15*B16/1000</f>
        <v>0.28560000000000002</v>
      </c>
      <c r="C17" s="188" t="s">
        <v>57</v>
      </c>
      <c r="D17" s="188" t="s">
        <v>58</v>
      </c>
    </row>
    <row r="18" spans="1:4" ht="15.7">
      <c r="A18" s="188" t="s">
        <v>59</v>
      </c>
      <c r="B18" s="194">
        <f>(B14/B16)*B17*B20</f>
        <v>214.07249999999999</v>
      </c>
      <c r="C18" s="188" t="s">
        <v>60</v>
      </c>
      <c r="D18" s="188" t="s">
        <v>61</v>
      </c>
    </row>
    <row r="19" spans="1:4" ht="15.7">
      <c r="A19" s="272" t="s">
        <v>62</v>
      </c>
      <c r="B19" s="190">
        <v>1</v>
      </c>
      <c r="C19" s="188" t="s">
        <v>38</v>
      </c>
      <c r="D19" s="188" t="s">
        <v>14</v>
      </c>
    </row>
    <row r="20" spans="1:4" ht="15.7">
      <c r="A20" s="188" t="s">
        <v>63</v>
      </c>
      <c r="B20" s="34">
        <v>365</v>
      </c>
      <c r="C20" s="188" t="s">
        <v>64</v>
      </c>
      <c r="D20" s="188" t="s">
        <v>65</v>
      </c>
    </row>
    <row r="21" spans="1:4" ht="16.350000000000001">
      <c r="A21" s="195" t="s">
        <v>66</v>
      </c>
      <c r="B21" s="196">
        <f>ROUNDDOWN(B7*B8*B11*B12*B13*B18*B19,0)</f>
        <v>71347</v>
      </c>
      <c r="C21" s="197" t="s">
        <v>67</v>
      </c>
      <c r="D21" s="197"/>
    </row>
    <row r="22" spans="1:4">
      <c r="A22" s="17"/>
      <c r="B22" s="17"/>
      <c r="C22" s="198"/>
      <c r="D22" s="17"/>
    </row>
    <row r="23" spans="1:4">
      <c r="A23" s="254" t="s">
        <v>68</v>
      </c>
      <c r="B23" s="253"/>
      <c r="C23" s="198"/>
      <c r="D23" s="17"/>
    </row>
    <row r="24" spans="1:4">
      <c r="A24" s="253"/>
      <c r="B24" s="253"/>
      <c r="C24" s="17"/>
      <c r="D24" s="199"/>
    </row>
    <row r="25" spans="1:4">
      <c r="A25" s="69"/>
      <c r="B25" s="17"/>
      <c r="C25" s="17"/>
      <c r="D25" s="199"/>
    </row>
    <row r="26" spans="1:4">
      <c r="A26" s="255" t="s">
        <v>69</v>
      </c>
      <c r="B26" s="255"/>
      <c r="C26" s="17"/>
      <c r="D26" s="17"/>
    </row>
    <row r="27" spans="1:4">
      <c r="A27" s="256"/>
      <c r="B27" s="256"/>
      <c r="C27" s="17"/>
      <c r="D27" s="17"/>
    </row>
    <row r="28" spans="1:4" ht="15" customHeight="1">
      <c r="A28" s="21" t="s">
        <v>7</v>
      </c>
      <c r="B28" s="200" t="s">
        <v>70</v>
      </c>
      <c r="C28" s="23" t="s">
        <v>9</v>
      </c>
      <c r="D28" s="23" t="s">
        <v>10</v>
      </c>
    </row>
    <row r="29" spans="1:4" ht="41">
      <c r="A29" s="55" t="s">
        <v>71</v>
      </c>
      <c r="B29" s="201">
        <v>0</v>
      </c>
      <c r="C29" s="32" t="s">
        <v>72</v>
      </c>
      <c r="D29" s="32" t="s">
        <v>73</v>
      </c>
    </row>
    <row r="30" spans="1:4" ht="27.35">
      <c r="A30" s="55" t="s">
        <v>74</v>
      </c>
      <c r="B30" s="201">
        <v>0.01</v>
      </c>
      <c r="C30" s="32" t="s">
        <v>75</v>
      </c>
      <c r="D30" s="32" t="s">
        <v>76</v>
      </c>
    </row>
    <row r="31" spans="1:4" ht="15.7">
      <c r="A31" s="55" t="s">
        <v>77</v>
      </c>
      <c r="B31" s="202">
        <f>B34*B35/1000*365</f>
        <v>12.8772</v>
      </c>
      <c r="C31" s="32" t="s">
        <v>78</v>
      </c>
      <c r="D31" s="32" t="s">
        <v>58</v>
      </c>
    </row>
    <row r="32" spans="1:4" ht="27.35">
      <c r="A32" s="55" t="s">
        <v>79</v>
      </c>
      <c r="B32" s="201">
        <v>56</v>
      </c>
      <c r="C32" s="32" t="s">
        <v>25</v>
      </c>
      <c r="D32" s="32" t="s">
        <v>80</v>
      </c>
    </row>
    <row r="33" spans="1:4" ht="15.7">
      <c r="A33" s="55" t="s">
        <v>81</v>
      </c>
      <c r="B33" s="201">
        <v>115</v>
      </c>
      <c r="C33" s="32" t="s">
        <v>25</v>
      </c>
      <c r="D33" s="32" t="s">
        <v>14</v>
      </c>
    </row>
    <row r="34" spans="1:4" ht="27.35">
      <c r="A34" s="55" t="s">
        <v>82</v>
      </c>
      <c r="B34" s="201">
        <v>56</v>
      </c>
      <c r="C34" s="32" t="s">
        <v>25</v>
      </c>
      <c r="D34" s="32" t="s">
        <v>55</v>
      </c>
    </row>
    <row r="35" spans="1:4" ht="27.35">
      <c r="A35" s="55" t="s">
        <v>83</v>
      </c>
      <c r="B35" s="201">
        <v>0.63</v>
      </c>
      <c r="C35" s="32" t="s">
        <v>84</v>
      </c>
      <c r="D35" s="32" t="s">
        <v>85</v>
      </c>
    </row>
    <row r="36" spans="1:4" ht="15.7">
      <c r="A36" s="55" t="s">
        <v>86</v>
      </c>
      <c r="B36" s="203">
        <f>(B37/B38)*B31</f>
        <v>26.44425</v>
      </c>
      <c r="C36" s="32" t="s">
        <v>78</v>
      </c>
      <c r="D36" s="32" t="s">
        <v>58</v>
      </c>
    </row>
    <row r="37" spans="1:4" ht="15.7">
      <c r="A37" s="55" t="s">
        <v>81</v>
      </c>
      <c r="B37" s="204">
        <f>B14</f>
        <v>115</v>
      </c>
      <c r="C37" s="32" t="s">
        <v>25</v>
      </c>
      <c r="D37" s="32" t="str">
        <f>D14</f>
        <v>EIA</v>
      </c>
    </row>
    <row r="38" spans="1:4" ht="27.35">
      <c r="A38" s="205" t="s">
        <v>82</v>
      </c>
      <c r="B38" s="206">
        <f>B16</f>
        <v>56</v>
      </c>
      <c r="C38" s="207" t="s">
        <v>25</v>
      </c>
      <c r="D38" s="208" t="str">
        <f>D16</f>
        <v>2019 Refinement to 2006 IPCC Guidelines for National  Greenhouse Gas Inventories, Volume 4, Chapter 10, Table 10A.5，High PS</v>
      </c>
    </row>
    <row r="39" spans="1:4" ht="16.7">
      <c r="A39" s="32" t="s">
        <v>87</v>
      </c>
      <c r="B39" s="209">
        <f>B29*B36*B42*B43</f>
        <v>0</v>
      </c>
      <c r="C39" s="32" t="s">
        <v>88</v>
      </c>
      <c r="D39" s="210"/>
    </row>
    <row r="40" spans="1:4" ht="16.7">
      <c r="A40" s="32" t="s">
        <v>89</v>
      </c>
      <c r="B40" s="211">
        <f>ROUNDDOWN(B30*B41*B36*B42*B43,0)</f>
        <v>6085</v>
      </c>
      <c r="C40" s="212" t="s">
        <v>90</v>
      </c>
      <c r="D40" s="210"/>
    </row>
    <row r="41" spans="1:4" ht="27.35">
      <c r="A41" s="213" t="s">
        <v>91</v>
      </c>
      <c r="B41" s="214">
        <v>0.4</v>
      </c>
      <c r="C41" s="207" t="s">
        <v>27</v>
      </c>
      <c r="D41" s="208" t="s">
        <v>92</v>
      </c>
    </row>
    <row r="42" spans="1:4" ht="15.7">
      <c r="A42" s="215" t="s">
        <v>93</v>
      </c>
      <c r="B42" s="216">
        <f>B13</f>
        <v>57534</v>
      </c>
      <c r="C42" s="217" t="str">
        <f>C13</f>
        <v>No of heads</v>
      </c>
      <c r="D42" s="217" t="str">
        <f>D13</f>
        <v>Calculated</v>
      </c>
    </row>
    <row r="43" spans="1:4" ht="15.7">
      <c r="A43" s="273" t="s">
        <v>94</v>
      </c>
      <c r="B43" s="214">
        <f>B19</f>
        <v>1</v>
      </c>
      <c r="C43" s="274" t="str">
        <f>C19</f>
        <v>%</v>
      </c>
      <c r="D43" s="32" t="str">
        <f>D14</f>
        <v>EIA</v>
      </c>
    </row>
    <row r="44" spans="1:4" ht="15.7">
      <c r="A44" s="55" t="s">
        <v>95</v>
      </c>
      <c r="B44" s="211">
        <v>265</v>
      </c>
      <c r="C44" s="207" t="s">
        <v>96</v>
      </c>
      <c r="D44" s="207" t="s">
        <v>33</v>
      </c>
    </row>
    <row r="45" spans="1:4" ht="15.35">
      <c r="A45" s="205" t="s">
        <v>97</v>
      </c>
      <c r="B45" s="58">
        <f>44/28</f>
        <v>1.5714285714285701</v>
      </c>
      <c r="C45" s="207" t="s">
        <v>27</v>
      </c>
      <c r="D45" s="207"/>
    </row>
    <row r="46" spans="1:4" ht="16.350000000000001">
      <c r="A46" s="218" t="s">
        <v>98</v>
      </c>
      <c r="B46" s="219">
        <f>ROUNDDOWN(B44*B45*0.001*(B39+B40),0)</f>
        <v>2533</v>
      </c>
      <c r="C46" s="41" t="s">
        <v>99</v>
      </c>
      <c r="D46" s="41"/>
    </row>
    <row r="47" spans="1:4">
      <c r="A47" s="199"/>
      <c r="B47" s="220"/>
      <c r="C47" s="199"/>
      <c r="D47" s="199"/>
    </row>
    <row r="48" spans="1:4">
      <c r="A48" s="251" t="s">
        <v>100</v>
      </c>
      <c r="B48" s="251"/>
      <c r="C48" s="17"/>
      <c r="D48" s="17"/>
    </row>
    <row r="49" spans="1:4">
      <c r="A49" s="251"/>
      <c r="B49" s="251"/>
      <c r="C49" s="17"/>
      <c r="D49" s="17"/>
    </row>
    <row r="50" spans="1:4" ht="20" customHeight="1">
      <c r="A50" s="250" t="s">
        <v>101</v>
      </c>
      <c r="B50" s="250"/>
      <c r="C50" s="250"/>
      <c r="D50" s="250"/>
    </row>
    <row r="51" spans="1:4">
      <c r="A51" s="221"/>
      <c r="B51" s="222"/>
      <c r="C51" s="199"/>
      <c r="D51" s="17"/>
    </row>
    <row r="52" spans="1:4" ht="15.7">
      <c r="A52" s="223" t="s">
        <v>102</v>
      </c>
      <c r="B52" s="224">
        <f>ROUNDDOWN(B21+B46,0)</f>
        <v>73880</v>
      </c>
      <c r="C52" s="225"/>
      <c r="D52" s="17"/>
    </row>
  </sheetData>
  <mergeCells count="6">
    <mergeCell ref="A50:D50"/>
    <mergeCell ref="A48:B49"/>
    <mergeCell ref="A1:B2"/>
    <mergeCell ref="A3:B4"/>
    <mergeCell ref="A23:B24"/>
    <mergeCell ref="A26:B27"/>
  </mergeCells>
  <phoneticPr fontId="62" type="noConversion"/>
  <conditionalFormatting sqref="B9">
    <cfRule type="aboveAverage" priority="2" stopIfTrue="1" aboveAverage="0" equalAverage="1"/>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9"/>
  <sheetViews>
    <sheetView topLeftCell="A79" zoomScale="85" zoomScaleNormal="85" workbookViewId="0">
      <selection activeCell="D87" sqref="D87"/>
    </sheetView>
  </sheetViews>
  <sheetFormatPr defaultColWidth="9" defaultRowHeight="14"/>
  <cols>
    <col min="1" max="1" width="27.8203125" customWidth="1"/>
    <col min="2" max="2" width="57.87890625" customWidth="1"/>
    <col min="3" max="3" width="34" customWidth="1"/>
    <col min="4" max="4" width="84.05859375" customWidth="1"/>
    <col min="5" max="5" width="13.29296875" customWidth="1"/>
  </cols>
  <sheetData>
    <row r="1" spans="1:5">
      <c r="A1" s="261" t="s">
        <v>103</v>
      </c>
      <c r="B1" s="261"/>
      <c r="C1" s="90"/>
      <c r="D1" s="90"/>
    </row>
    <row r="2" spans="1:5">
      <c r="A2" s="261"/>
      <c r="B2" s="261"/>
      <c r="C2" s="90"/>
      <c r="D2" s="90"/>
    </row>
    <row r="3" spans="1:5">
      <c r="A3" s="91"/>
      <c r="B3" s="90"/>
      <c r="C3" s="90"/>
      <c r="D3" s="90"/>
    </row>
    <row r="4" spans="1:5">
      <c r="A4" s="262" t="s">
        <v>104</v>
      </c>
      <c r="B4" s="262"/>
      <c r="C4" s="90"/>
      <c r="D4" s="90"/>
    </row>
    <row r="5" spans="1:5">
      <c r="A5" s="262"/>
      <c r="B5" s="262"/>
      <c r="C5" s="90"/>
      <c r="D5" s="90"/>
    </row>
    <row r="6" spans="1:5">
      <c r="A6" s="92"/>
      <c r="B6" s="93"/>
      <c r="C6" s="94"/>
      <c r="D6" s="95"/>
    </row>
    <row r="7" spans="1:5" ht="15.7">
      <c r="A7" s="21" t="s">
        <v>7</v>
      </c>
      <c r="B7" s="23" t="s">
        <v>105</v>
      </c>
      <c r="C7" s="23" t="s">
        <v>9</v>
      </c>
      <c r="D7" s="24" t="s">
        <v>10</v>
      </c>
    </row>
    <row r="8" spans="1:5" ht="15" customHeight="1">
      <c r="A8" s="96" t="s">
        <v>31</v>
      </c>
      <c r="B8" s="32">
        <f>'[1]#REF'!B7</f>
        <v>28</v>
      </c>
      <c r="C8" s="32" t="s">
        <v>106</v>
      </c>
      <c r="D8" s="33" t="str">
        <f>'[1]#REF'!D7</f>
        <v>IPCC Fifth Assessment Report (AR5)</v>
      </c>
    </row>
    <row r="9" spans="1:5" ht="15.7">
      <c r="A9" s="96" t="s">
        <v>107</v>
      </c>
      <c r="B9" s="97">
        <v>0.1</v>
      </c>
      <c r="C9" s="32" t="s">
        <v>108</v>
      </c>
      <c r="D9" s="33" t="s">
        <v>109</v>
      </c>
    </row>
    <row r="10" spans="1:5" ht="30" customHeight="1">
      <c r="A10" s="35" t="s">
        <v>110</v>
      </c>
      <c r="B10" s="98">
        <f>60423.54*60%*0.00067</f>
        <v>24.290263079999999</v>
      </c>
      <c r="C10" s="99" t="s">
        <v>111</v>
      </c>
      <c r="D10" s="33" t="s">
        <v>112</v>
      </c>
      <c r="E10" s="100"/>
    </row>
    <row r="11" spans="1:5" ht="15.7">
      <c r="A11" s="101" t="s">
        <v>113</v>
      </c>
      <c r="B11" s="102">
        <f>ROUNDUP(B8*B9*B10,0)</f>
        <v>69</v>
      </c>
      <c r="C11" s="103" t="s">
        <v>114</v>
      </c>
      <c r="D11" s="104" t="s">
        <v>58</v>
      </c>
    </row>
    <row r="12" spans="1:5">
      <c r="A12" s="92"/>
      <c r="B12" s="105"/>
      <c r="C12" s="106"/>
      <c r="D12" s="106"/>
    </row>
    <row r="13" spans="1:5">
      <c r="A13" s="92"/>
      <c r="B13" s="105"/>
      <c r="C13" s="106"/>
      <c r="D13" s="106"/>
    </row>
    <row r="14" spans="1:5">
      <c r="A14" s="92"/>
      <c r="B14" s="105"/>
      <c r="C14" s="106"/>
      <c r="D14" s="106"/>
    </row>
    <row r="15" spans="1:5">
      <c r="A15" s="92"/>
      <c r="B15" s="105"/>
      <c r="C15" s="106"/>
      <c r="D15" s="106"/>
    </row>
    <row r="16" spans="1:5" ht="15.7">
      <c r="A16" s="21" t="s">
        <v>7</v>
      </c>
      <c r="B16" s="23" t="s">
        <v>115</v>
      </c>
      <c r="C16" s="23" t="s">
        <v>9</v>
      </c>
      <c r="D16" s="24" t="s">
        <v>10</v>
      </c>
      <c r="E16" s="107"/>
    </row>
    <row r="17" spans="1:5" ht="15" customHeight="1">
      <c r="A17" s="108" t="s">
        <v>116</v>
      </c>
      <c r="B17" s="109">
        <v>28</v>
      </c>
      <c r="C17" s="109" t="str">
        <f>'[1]#REF'!C7</f>
        <v>tCO2/tCH4</v>
      </c>
      <c r="D17" s="33" t="str">
        <f>D8</f>
        <v>IPCC Fifth Assessment Report (AR5)</v>
      </c>
    </row>
    <row r="18" spans="1:5" ht="15.7">
      <c r="A18" s="110" t="s">
        <v>117</v>
      </c>
      <c r="B18" s="34">
        <v>0</v>
      </c>
      <c r="C18" s="111" t="s">
        <v>118</v>
      </c>
      <c r="D18" s="112" t="s">
        <v>119</v>
      </c>
      <c r="E18" s="113"/>
    </row>
    <row r="19" spans="1:5" ht="15.7">
      <c r="A19" s="110" t="s">
        <v>120</v>
      </c>
      <c r="B19" s="34">
        <v>0.5</v>
      </c>
      <c r="C19" s="111" t="s">
        <v>41</v>
      </c>
      <c r="D19" s="112" t="s">
        <v>121</v>
      </c>
    </row>
    <row r="20" spans="1:5" ht="15.7">
      <c r="A20" s="270" t="s">
        <v>247</v>
      </c>
      <c r="B20" s="271">
        <f>ROUNDUP(B17*B18*(1-B19),0)</f>
        <v>0</v>
      </c>
      <c r="C20" s="111" t="s">
        <v>114</v>
      </c>
      <c r="D20" s="112" t="s">
        <v>122</v>
      </c>
    </row>
    <row r="21" spans="1:5" ht="15.7">
      <c r="A21" s="114" t="s">
        <v>123</v>
      </c>
      <c r="B21" s="102">
        <f>ROUNDUP(B11+B20,0)</f>
        <v>69</v>
      </c>
      <c r="C21" s="115" t="s">
        <v>114</v>
      </c>
      <c r="D21" s="116" t="s">
        <v>58</v>
      </c>
    </row>
    <row r="22" spans="1:5">
      <c r="A22" s="117"/>
      <c r="B22" s="118"/>
      <c r="C22" s="90"/>
      <c r="D22" s="90"/>
    </row>
    <row r="23" spans="1:5">
      <c r="A23" s="117"/>
      <c r="B23" s="117"/>
      <c r="C23" s="90"/>
      <c r="D23" s="90"/>
    </row>
    <row r="24" spans="1:5" ht="16.350000000000001" customHeight="1">
      <c r="A24" s="260" t="s">
        <v>124</v>
      </c>
      <c r="B24" s="260"/>
      <c r="C24" s="90"/>
      <c r="D24" s="119"/>
    </row>
    <row r="25" spans="1:5">
      <c r="A25" s="260"/>
      <c r="B25" s="260"/>
      <c r="C25" s="90"/>
      <c r="D25" s="119"/>
    </row>
    <row r="26" spans="1:5">
      <c r="A26" s="93"/>
      <c r="B26" s="90"/>
      <c r="C26" s="90"/>
      <c r="D26" s="90"/>
    </row>
    <row r="27" spans="1:5" ht="15.7" customHeight="1">
      <c r="A27" s="21" t="s">
        <v>7</v>
      </c>
      <c r="B27" s="23" t="s">
        <v>115</v>
      </c>
      <c r="C27" s="120" t="s">
        <v>9</v>
      </c>
      <c r="D27" s="121" t="s">
        <v>10</v>
      </c>
    </row>
    <row r="28" spans="1:5" ht="15.7">
      <c r="A28" s="96" t="s">
        <v>31</v>
      </c>
      <c r="B28" s="32">
        <f>'[1]#REF'!B7</f>
        <v>28</v>
      </c>
      <c r="C28" s="109" t="str">
        <f>'[1]#REF'!C7</f>
        <v>tCO2/tCH4</v>
      </c>
      <c r="D28" s="33" t="str">
        <f>'[1]#REF'!D7</f>
        <v>IPCC Fifth Assessment Report (AR5)</v>
      </c>
    </row>
    <row r="29" spans="1:5" ht="15.7">
      <c r="A29" s="35" t="s">
        <v>125</v>
      </c>
      <c r="B29" s="32">
        <f>'[1]#REF'!B8</f>
        <v>6.7000000000000002E-4</v>
      </c>
      <c r="C29" s="32" t="s">
        <v>126</v>
      </c>
      <c r="D29" s="33" t="str">
        <f>'[1]#REF'!D8</f>
        <v>ACM0010 Version 08.0, page 30</v>
      </c>
    </row>
    <row r="30" spans="1:5">
      <c r="A30" s="55"/>
      <c r="B30" s="122">
        <v>1E-3</v>
      </c>
      <c r="C30" s="32" t="s">
        <v>27</v>
      </c>
      <c r="D30" s="33"/>
    </row>
    <row r="31" spans="1:5" ht="27.35">
      <c r="A31" s="35" t="s">
        <v>127</v>
      </c>
      <c r="B31" s="123">
        <v>1</v>
      </c>
      <c r="C31" s="32" t="s">
        <v>27</v>
      </c>
      <c r="D31" s="33" t="s">
        <v>128</v>
      </c>
    </row>
    <row r="32" spans="1:5" ht="15.7">
      <c r="A32" s="35" t="s">
        <v>129</v>
      </c>
      <c r="B32" s="123">
        <v>0.8</v>
      </c>
      <c r="C32" s="124" t="s">
        <v>27</v>
      </c>
      <c r="D32" s="33" t="s">
        <v>130</v>
      </c>
    </row>
    <row r="33" spans="1:4" ht="27.35">
      <c r="A33" s="35" t="s">
        <v>131</v>
      </c>
      <c r="B33" s="123">
        <v>0.1</v>
      </c>
      <c r="C33" s="124" t="s">
        <v>27</v>
      </c>
      <c r="D33" s="33" t="s">
        <v>132</v>
      </c>
    </row>
    <row r="34" spans="1:4" ht="27.35">
      <c r="A34" s="35" t="s">
        <v>133</v>
      </c>
      <c r="B34" s="125">
        <f>'[1]#REF'!B12</f>
        <v>0.45</v>
      </c>
      <c r="C34" s="32" t="s">
        <v>134</v>
      </c>
      <c r="D34" s="33" t="str">
        <f>'[1]#REF'!D12</f>
        <v>2019 Refinement to 2006 IPCC Guidelines for National Greenhouse Gas Inventories , volume 4, chapter 10, tbl. 10.16 ，High PS，swine</v>
      </c>
    </row>
    <row r="35" spans="1:4" ht="15.7">
      <c r="A35" s="35" t="s">
        <v>93</v>
      </c>
      <c r="B35" s="126">
        <f>'[1]#REF'!B13</f>
        <v>57534</v>
      </c>
      <c r="C35" s="122" t="str">
        <f>'[1]#REF'!C13</f>
        <v>No of heads</v>
      </c>
      <c r="D35" s="277" t="s">
        <v>248</v>
      </c>
    </row>
    <row r="36" spans="1:4" ht="15.7">
      <c r="A36" s="35" t="s">
        <v>135</v>
      </c>
      <c r="B36" s="128">
        <f>'[1]#REF'!B18</f>
        <v>214.07249999999999</v>
      </c>
      <c r="C36" s="122" t="str">
        <f>'[1]#REF'!C18</f>
        <v>kg-dm/animal/yr</v>
      </c>
      <c r="D36" s="127" t="str">
        <f>'[1]#REF'!D18</f>
        <v>Project proponents /anaerobic lagoon only</v>
      </c>
    </row>
    <row r="37" spans="1:4" ht="15.7">
      <c r="A37" s="275" t="s">
        <v>136</v>
      </c>
      <c r="B37" s="276">
        <v>0.5</v>
      </c>
      <c r="C37" s="122" t="s">
        <v>27</v>
      </c>
      <c r="D37" s="277" t="s">
        <v>250</v>
      </c>
    </row>
    <row r="38" spans="1:4" ht="15.7">
      <c r="A38" s="35" t="s">
        <v>129</v>
      </c>
      <c r="B38" s="129">
        <v>0.8</v>
      </c>
      <c r="C38" s="122" t="s">
        <v>27</v>
      </c>
      <c r="D38" s="127" t="s">
        <v>137</v>
      </c>
    </row>
    <row r="39" spans="1:4">
      <c r="A39" s="275" t="s">
        <v>138</v>
      </c>
      <c r="B39" s="276">
        <v>0.5</v>
      </c>
      <c r="C39" s="122" t="s">
        <v>27</v>
      </c>
      <c r="D39" s="277" t="s">
        <v>250</v>
      </c>
    </row>
    <row r="40" spans="1:4" ht="27.35">
      <c r="A40" s="35" t="s">
        <v>139</v>
      </c>
      <c r="B40" s="122">
        <v>0</v>
      </c>
      <c r="C40" s="122" t="s">
        <v>114</v>
      </c>
      <c r="D40" s="127" t="s">
        <v>140</v>
      </c>
    </row>
    <row r="41" spans="1:4" ht="15.7">
      <c r="A41" s="101" t="s">
        <v>141</v>
      </c>
      <c r="B41" s="130">
        <f>ROUNDUP(B28*B29*B30*B31*B32*B33*B34*B35*B36*B37+B28*B29*B30*B31*B34*B35*B36*B38*B39+B40,0)</f>
        <v>46</v>
      </c>
      <c r="C41" s="131" t="s">
        <v>114</v>
      </c>
      <c r="D41" s="132"/>
    </row>
    <row r="42" spans="1:4">
      <c r="A42" s="93"/>
      <c r="B42" s="90"/>
      <c r="C42" s="90"/>
      <c r="D42" s="90"/>
    </row>
    <row r="43" spans="1:4" ht="14" customHeight="1">
      <c r="A43" s="260" t="s">
        <v>142</v>
      </c>
      <c r="B43" s="260"/>
      <c r="C43" s="90"/>
      <c r="D43" s="90"/>
    </row>
    <row r="44" spans="1:4" ht="14" customHeight="1">
      <c r="A44" s="260"/>
      <c r="B44" s="260"/>
      <c r="C44" s="90"/>
      <c r="D44" s="90"/>
    </row>
    <row r="45" spans="1:4">
      <c r="A45" s="106"/>
      <c r="B45" s="90"/>
      <c r="C45" s="119"/>
      <c r="D45" s="90"/>
    </row>
    <row r="46" spans="1:4">
      <c r="A46" s="106"/>
      <c r="B46" s="90"/>
      <c r="C46" s="119"/>
      <c r="D46" s="90"/>
    </row>
    <row r="47" spans="1:4">
      <c r="A47" s="133" t="s">
        <v>143</v>
      </c>
      <c r="B47" s="134"/>
      <c r="C47" s="90"/>
      <c r="D47" s="90"/>
    </row>
    <row r="48" spans="1:4">
      <c r="A48" s="92"/>
      <c r="B48" s="90"/>
      <c r="C48" s="90"/>
      <c r="D48" s="90"/>
    </row>
    <row r="49" spans="1:4" ht="15.7">
      <c r="A49" s="135" t="s">
        <v>7</v>
      </c>
      <c r="B49" s="136" t="s">
        <v>144</v>
      </c>
      <c r="C49" s="136" t="s">
        <v>9</v>
      </c>
      <c r="D49" s="137" t="s">
        <v>10</v>
      </c>
    </row>
    <row r="50" spans="1:4" ht="24.7">
      <c r="A50" s="138" t="s">
        <v>145</v>
      </c>
      <c r="B50" s="139">
        <v>2E-3</v>
      </c>
      <c r="C50" s="140" t="s">
        <v>146</v>
      </c>
      <c r="D50" s="141" t="s">
        <v>147</v>
      </c>
    </row>
    <row r="51" spans="1:4" ht="15.35">
      <c r="A51" s="138" t="s">
        <v>148</v>
      </c>
      <c r="B51" s="142">
        <f>'[1]#REF'!B36</f>
        <v>26.44425</v>
      </c>
      <c r="C51" s="140" t="s">
        <v>78</v>
      </c>
      <c r="D51" s="143" t="s">
        <v>248</v>
      </c>
    </row>
    <row r="52" spans="1:4" ht="15.35">
      <c r="A52" s="138" t="s">
        <v>149</v>
      </c>
      <c r="B52" s="144">
        <f>B35</f>
        <v>57534</v>
      </c>
      <c r="C52" s="140" t="s">
        <v>49</v>
      </c>
      <c r="D52" s="143" t="s">
        <v>58</v>
      </c>
    </row>
    <row r="53" spans="1:4" ht="15">
      <c r="A53" s="278" t="s">
        <v>150</v>
      </c>
      <c r="B53" s="279">
        <v>1</v>
      </c>
      <c r="C53" s="140" t="s">
        <v>27</v>
      </c>
      <c r="D53" s="143" t="str">
        <f>D37</f>
        <v>Conservative</v>
      </c>
    </row>
    <row r="54" spans="1:4" ht="15.7">
      <c r="A54" s="145" t="s">
        <v>151</v>
      </c>
      <c r="B54" s="146">
        <f>B50*B51*B52*B53</f>
        <v>3042.8869589999999</v>
      </c>
      <c r="C54" s="140" t="s">
        <v>152</v>
      </c>
      <c r="D54" s="143" t="s">
        <v>58</v>
      </c>
    </row>
    <row r="55" spans="1:4" ht="24.7">
      <c r="A55" s="138" t="s">
        <v>153</v>
      </c>
      <c r="B55" s="139">
        <v>5.9999999999999995E-4</v>
      </c>
      <c r="C55" s="140" t="s">
        <v>146</v>
      </c>
      <c r="D55" s="141" t="s">
        <v>154</v>
      </c>
    </row>
    <row r="56" spans="1:4" ht="15.35">
      <c r="A56" s="138" t="s">
        <v>148</v>
      </c>
      <c r="B56" s="142">
        <f>B51</f>
        <v>26.44425</v>
      </c>
      <c r="C56" s="140" t="s">
        <v>78</v>
      </c>
      <c r="D56" s="143" t="s">
        <v>58</v>
      </c>
    </row>
    <row r="57" spans="1:4" ht="15.35">
      <c r="A57" s="138" t="s">
        <v>149</v>
      </c>
      <c r="B57" s="144">
        <f>B52</f>
        <v>57534</v>
      </c>
      <c r="C57" s="140" t="s">
        <v>49</v>
      </c>
      <c r="D57" s="143" t="s">
        <v>58</v>
      </c>
    </row>
    <row r="58" spans="1:4">
      <c r="A58" s="278" t="s">
        <v>138</v>
      </c>
      <c r="B58" s="279">
        <v>0.5</v>
      </c>
      <c r="C58" s="140" t="s">
        <v>27</v>
      </c>
      <c r="D58" s="143" t="s">
        <v>250</v>
      </c>
    </row>
    <row r="59" spans="1:4" ht="15">
      <c r="A59" s="145" t="s">
        <v>151</v>
      </c>
      <c r="B59" s="147">
        <f>B55*B56*B57*B58</f>
        <v>456.43304384999999</v>
      </c>
      <c r="C59" s="140" t="s">
        <v>152</v>
      </c>
      <c r="D59" s="143" t="s">
        <v>58</v>
      </c>
    </row>
    <row r="60" spans="1:4" ht="24.7">
      <c r="A60" s="138" t="s">
        <v>155</v>
      </c>
      <c r="B60" s="139">
        <v>5.0000000000000001E-3</v>
      </c>
      <c r="C60" s="140" t="s">
        <v>146</v>
      </c>
      <c r="D60" s="141" t="s">
        <v>156</v>
      </c>
    </row>
    <row r="61" spans="1:4" ht="15.35">
      <c r="A61" s="138" t="s">
        <v>148</v>
      </c>
      <c r="B61" s="142">
        <f>B56</f>
        <v>26.44425</v>
      </c>
      <c r="C61" s="140" t="s">
        <v>78</v>
      </c>
      <c r="D61" s="143" t="s">
        <v>58</v>
      </c>
    </row>
    <row r="62" spans="1:4" ht="15.35">
      <c r="A62" s="138" t="s">
        <v>149</v>
      </c>
      <c r="B62" s="144">
        <f>B57</f>
        <v>57534</v>
      </c>
      <c r="C62" s="140" t="s">
        <v>49</v>
      </c>
      <c r="D62" s="143" t="s">
        <v>58</v>
      </c>
    </row>
    <row r="63" spans="1:4" ht="14" customHeight="1">
      <c r="A63" s="278" t="s">
        <v>138</v>
      </c>
      <c r="B63" s="279">
        <f>B53-B58</f>
        <v>0.5</v>
      </c>
      <c r="C63" s="140" t="s">
        <v>27</v>
      </c>
      <c r="D63" s="143" t="s">
        <v>249</v>
      </c>
    </row>
    <row r="64" spans="1:4" ht="15.7">
      <c r="A64" s="145" t="s">
        <v>151</v>
      </c>
      <c r="B64" s="146">
        <f>B60*B61*B62*B63</f>
        <v>3803.6086987500003</v>
      </c>
      <c r="C64" s="140" t="s">
        <v>152</v>
      </c>
      <c r="D64" s="143" t="s">
        <v>58</v>
      </c>
    </row>
    <row r="65" spans="1:4" ht="15.7">
      <c r="A65" s="148" t="s">
        <v>157</v>
      </c>
      <c r="B65" s="149">
        <f>ROUNDUP(B54+B59+B64,0)</f>
        <v>7303</v>
      </c>
      <c r="C65" s="150" t="s">
        <v>152</v>
      </c>
      <c r="D65" s="151" t="s">
        <v>58</v>
      </c>
    </row>
    <row r="66" spans="1:4">
      <c r="A66" s="90"/>
      <c r="B66" s="90"/>
      <c r="C66" s="90"/>
      <c r="D66" s="90"/>
    </row>
    <row r="67" spans="1:4">
      <c r="A67" s="91" t="s">
        <v>158</v>
      </c>
      <c r="B67" s="134"/>
      <c r="C67" s="119"/>
      <c r="D67" s="134"/>
    </row>
    <row r="68" spans="1:4">
      <c r="A68" s="91"/>
      <c r="B68" s="134"/>
      <c r="C68" s="119"/>
      <c r="D68" s="134"/>
    </row>
    <row r="69" spans="1:4" ht="15.7">
      <c r="A69" s="152" t="s">
        <v>7</v>
      </c>
      <c r="B69" s="136" t="s">
        <v>115</v>
      </c>
      <c r="C69" s="153" t="s">
        <v>9</v>
      </c>
      <c r="D69" s="154" t="s">
        <v>10</v>
      </c>
    </row>
    <row r="70" spans="1:4" ht="15.7">
      <c r="A70" s="35" t="s">
        <v>74</v>
      </c>
      <c r="B70" s="155">
        <v>0.01</v>
      </c>
      <c r="C70" s="32" t="s">
        <v>72</v>
      </c>
      <c r="D70" s="33" t="s">
        <v>159</v>
      </c>
    </row>
    <row r="71" spans="1:4" ht="27.35">
      <c r="A71" s="35" t="s">
        <v>160</v>
      </c>
      <c r="B71" s="142">
        <v>0.25</v>
      </c>
      <c r="C71" s="32" t="s">
        <v>27</v>
      </c>
      <c r="D71" s="33" t="s">
        <v>161</v>
      </c>
    </row>
    <row r="72" spans="1:4" ht="15.7">
      <c r="A72" s="35" t="s">
        <v>86</v>
      </c>
      <c r="B72" s="156">
        <f>B51</f>
        <v>26.44425</v>
      </c>
      <c r="C72" s="32" t="str">
        <f>C51</f>
        <v>kg N/animal/year</v>
      </c>
      <c r="D72" s="33" t="s">
        <v>58</v>
      </c>
    </row>
    <row r="73" spans="1:4" ht="15.7">
      <c r="A73" s="35" t="s">
        <v>93</v>
      </c>
      <c r="B73" s="157">
        <f>B52</f>
        <v>57534</v>
      </c>
      <c r="C73" s="32" t="str">
        <f>C52</f>
        <v>No of heads</v>
      </c>
      <c r="D73" s="33" t="s">
        <v>58</v>
      </c>
    </row>
    <row r="74" spans="1:4" ht="15.7">
      <c r="A74" s="275" t="s">
        <v>136</v>
      </c>
      <c r="B74" s="280">
        <v>1</v>
      </c>
      <c r="C74" s="32" t="s">
        <v>27</v>
      </c>
      <c r="D74" s="283" t="s">
        <v>250</v>
      </c>
    </row>
    <row r="75" spans="1:4" ht="15.7">
      <c r="A75" s="158" t="s">
        <v>151</v>
      </c>
      <c r="B75" s="146">
        <f>B70*B71*B72*B73*B74</f>
        <v>3803.6086987499998</v>
      </c>
      <c r="C75" s="32" t="s">
        <v>162</v>
      </c>
      <c r="D75" s="159"/>
    </row>
    <row r="76" spans="1:4" ht="15.7">
      <c r="A76" s="35" t="s">
        <v>74</v>
      </c>
      <c r="B76" s="155">
        <v>0.01</v>
      </c>
      <c r="C76" s="32" t="s">
        <v>75</v>
      </c>
      <c r="D76" s="33" t="s">
        <v>159</v>
      </c>
    </row>
    <row r="77" spans="1:4" ht="15.7">
      <c r="A77" s="35" t="s">
        <v>163</v>
      </c>
      <c r="B77" s="160">
        <v>0.5</v>
      </c>
      <c r="C77" s="32" t="s">
        <v>27</v>
      </c>
      <c r="D77" s="33" t="s">
        <v>164</v>
      </c>
    </row>
    <row r="78" spans="1:4" ht="15.7">
      <c r="A78" s="35" t="s">
        <v>86</v>
      </c>
      <c r="B78" s="156">
        <f>B56</f>
        <v>26.44425</v>
      </c>
      <c r="C78" s="32" t="str">
        <f>C56</f>
        <v>kg N/animal/year</v>
      </c>
      <c r="D78" s="33" t="s">
        <v>58</v>
      </c>
    </row>
    <row r="79" spans="1:4" ht="15.7">
      <c r="A79" s="35" t="s">
        <v>93</v>
      </c>
      <c r="B79" s="157">
        <f>B57</f>
        <v>57534</v>
      </c>
      <c r="C79" s="32" t="str">
        <f>C57</f>
        <v>No of heads</v>
      </c>
      <c r="D79" s="33" t="s">
        <v>58</v>
      </c>
    </row>
    <row r="80" spans="1:4">
      <c r="A80" s="281" t="s">
        <v>138</v>
      </c>
      <c r="B80" s="280">
        <v>0.5</v>
      </c>
      <c r="C80" s="32" t="s">
        <v>27</v>
      </c>
      <c r="D80" s="159" t="str">
        <f>D63</f>
        <v>Conservative</v>
      </c>
    </row>
    <row r="81" spans="1:4" ht="15.7">
      <c r="A81" s="158" t="s">
        <v>151</v>
      </c>
      <c r="B81" s="146">
        <f>B76*B77*B78*B79*B80</f>
        <v>3803.6086987499998</v>
      </c>
      <c r="C81" s="32" t="s">
        <v>162</v>
      </c>
      <c r="D81" s="159"/>
    </row>
    <row r="82" spans="1:4" ht="15.7">
      <c r="A82" s="35" t="s">
        <v>74</v>
      </c>
      <c r="B82" s="155">
        <v>0.01</v>
      </c>
      <c r="C82" s="32" t="s">
        <v>75</v>
      </c>
      <c r="D82" s="33" t="s">
        <v>159</v>
      </c>
    </row>
    <row r="83" spans="1:4" ht="27.35">
      <c r="A83" s="161" t="s">
        <v>165</v>
      </c>
      <c r="B83" s="160">
        <v>0.6</v>
      </c>
      <c r="C83" s="32" t="s">
        <v>27</v>
      </c>
      <c r="D83" s="159" t="s">
        <v>166</v>
      </c>
    </row>
    <row r="84" spans="1:4" ht="15.7">
      <c r="A84" s="35" t="s">
        <v>86</v>
      </c>
      <c r="B84" s="156">
        <f>B78</f>
        <v>26.44425</v>
      </c>
      <c r="C84" s="32" t="s">
        <v>78</v>
      </c>
      <c r="D84" s="33" t="s">
        <v>58</v>
      </c>
    </row>
    <row r="85" spans="1:4" ht="15.7">
      <c r="A85" s="35" t="s">
        <v>93</v>
      </c>
      <c r="B85" s="157">
        <f>B79</f>
        <v>57534</v>
      </c>
      <c r="C85" s="32" t="str">
        <f>C73</f>
        <v>No of heads</v>
      </c>
      <c r="D85" s="33" t="s">
        <v>58</v>
      </c>
    </row>
    <row r="86" spans="1:4">
      <c r="A86" s="281" t="s">
        <v>138</v>
      </c>
      <c r="B86" s="280">
        <f>B74-B80</f>
        <v>0.5</v>
      </c>
      <c r="C86" s="32" t="s">
        <v>27</v>
      </c>
      <c r="D86" s="282" t="s">
        <v>250</v>
      </c>
    </row>
    <row r="87" spans="1:4" ht="15.7">
      <c r="A87" s="158" t="s">
        <v>151</v>
      </c>
      <c r="B87" s="146">
        <f>B82*B83*B84*B85*B86</f>
        <v>4564.3304385000001</v>
      </c>
      <c r="C87" s="32"/>
      <c r="D87" s="159"/>
    </row>
    <row r="88" spans="1:4" ht="15.7">
      <c r="A88" s="101" t="s">
        <v>167</v>
      </c>
      <c r="B88" s="162">
        <f>ROUNDUP(B75+B81+B87,0)</f>
        <v>12172</v>
      </c>
      <c r="C88" s="150" t="s">
        <v>152</v>
      </c>
      <c r="D88" s="163"/>
    </row>
    <row r="89" spans="1:4" ht="15.7">
      <c r="A89" s="164"/>
      <c r="B89" s="165"/>
      <c r="C89" s="166"/>
      <c r="D89" s="167"/>
    </row>
    <row r="90" spans="1:4" ht="15.7">
      <c r="A90" s="168" t="s">
        <v>95</v>
      </c>
      <c r="B90" s="169">
        <v>265</v>
      </c>
      <c r="C90" s="169" t="s">
        <v>168</v>
      </c>
      <c r="D90" s="170" t="s">
        <v>33</v>
      </c>
    </row>
    <row r="91" spans="1:4" ht="15.7">
      <c r="A91" s="55" t="s">
        <v>169</v>
      </c>
      <c r="B91" s="171">
        <f>44/28</f>
        <v>1.5714285714285701</v>
      </c>
      <c r="C91" s="32" t="s">
        <v>27</v>
      </c>
      <c r="D91" s="80"/>
    </row>
    <row r="92" spans="1:4" ht="16.350000000000001">
      <c r="A92" s="172" t="s">
        <v>170</v>
      </c>
      <c r="B92" s="51">
        <f>ROUNDUP(B90*B91*(B65+B88)/1000,0)</f>
        <v>8110</v>
      </c>
      <c r="C92" s="173" t="s">
        <v>171</v>
      </c>
      <c r="D92" s="174"/>
    </row>
    <row r="93" spans="1:4">
      <c r="A93" s="175"/>
      <c r="B93" s="175"/>
      <c r="C93" s="175"/>
      <c r="D93" s="175"/>
    </row>
    <row r="94" spans="1:4" ht="15.7" customHeight="1">
      <c r="A94" s="260" t="s">
        <v>172</v>
      </c>
      <c r="B94" s="260"/>
      <c r="C94" s="90"/>
      <c r="D94" s="90"/>
    </row>
    <row r="95" spans="1:4" ht="15.7" customHeight="1">
      <c r="A95" s="260"/>
      <c r="B95" s="260"/>
      <c r="C95" s="176"/>
      <c r="D95" s="90"/>
    </row>
    <row r="96" spans="1:4">
      <c r="A96" s="177"/>
      <c r="B96" s="177"/>
      <c r="C96" s="176"/>
      <c r="D96" s="90"/>
    </row>
    <row r="97" spans="1:4" ht="30" customHeight="1">
      <c r="A97" s="257" t="s">
        <v>173</v>
      </c>
      <c r="B97" s="258"/>
      <c r="C97" s="258"/>
      <c r="D97" s="259"/>
    </row>
    <row r="99" spans="1:4" ht="15.7">
      <c r="A99" s="152" t="s">
        <v>7</v>
      </c>
      <c r="B99" s="136" t="s">
        <v>115</v>
      </c>
      <c r="C99" s="153" t="s">
        <v>9</v>
      </c>
      <c r="D99" s="154" t="s">
        <v>10</v>
      </c>
    </row>
    <row r="100" spans="1:4" ht="15.7">
      <c r="A100" s="108" t="s">
        <v>174</v>
      </c>
      <c r="B100" s="265">
        <v>409.4</v>
      </c>
      <c r="C100" s="178" t="s">
        <v>175</v>
      </c>
      <c r="D100" s="112" t="s">
        <v>14</v>
      </c>
    </row>
    <row r="101" spans="1:4" ht="15.7">
      <c r="A101" s="108" t="s">
        <v>176</v>
      </c>
      <c r="B101" s="179">
        <v>0.77380000000000004</v>
      </c>
      <c r="C101" s="178" t="s">
        <v>177</v>
      </c>
      <c r="D101" s="112" t="s">
        <v>178</v>
      </c>
    </row>
    <row r="102" spans="1:4" ht="15.7">
      <c r="A102" s="108" t="s">
        <v>179</v>
      </c>
      <c r="B102" s="179">
        <v>0.1981</v>
      </c>
      <c r="C102" s="178" t="s">
        <v>177</v>
      </c>
      <c r="D102" s="112" t="s">
        <v>178</v>
      </c>
    </row>
    <row r="103" spans="1:4" ht="15.7">
      <c r="A103" s="108" t="s">
        <v>180</v>
      </c>
      <c r="B103" s="180">
        <v>0.5</v>
      </c>
      <c r="C103" s="178" t="s">
        <v>27</v>
      </c>
      <c r="D103" s="112"/>
    </row>
    <row r="104" spans="1:4" ht="15.7">
      <c r="A104" s="108" t="s">
        <v>181</v>
      </c>
      <c r="B104" s="180">
        <v>0.5</v>
      </c>
      <c r="C104" s="178" t="s">
        <v>27</v>
      </c>
      <c r="D104" s="112"/>
    </row>
    <row r="105" spans="1:4" ht="15.7">
      <c r="A105" s="108" t="s">
        <v>182</v>
      </c>
      <c r="B105" s="181">
        <f>B101*B103+B102*B104</f>
        <v>0.48594999999999999</v>
      </c>
      <c r="C105" s="178" t="s">
        <v>177</v>
      </c>
      <c r="D105" s="112" t="s">
        <v>58</v>
      </c>
    </row>
    <row r="106" spans="1:4" ht="15.7">
      <c r="A106" s="108" t="s">
        <v>183</v>
      </c>
      <c r="B106" s="182">
        <v>0.2</v>
      </c>
      <c r="C106" s="178" t="s">
        <v>27</v>
      </c>
      <c r="D106" s="112" t="s">
        <v>33</v>
      </c>
    </row>
    <row r="107" spans="1:4" ht="15.7">
      <c r="A107" s="183" t="s">
        <v>184</v>
      </c>
      <c r="B107" s="184">
        <f>B100*B105*(1+B106)</f>
        <v>238.73751599999997</v>
      </c>
      <c r="C107" s="115" t="s">
        <v>114</v>
      </c>
      <c r="D107" s="116" t="s">
        <v>58</v>
      </c>
    </row>
    <row r="109" spans="1:4">
      <c r="A109" s="185" t="s">
        <v>185</v>
      </c>
      <c r="B109" s="186">
        <f>ROUNDUP(B21+B41+B92+B107,0)</f>
        <v>8464</v>
      </c>
    </row>
  </sheetData>
  <mergeCells count="6">
    <mergeCell ref="A97:D97"/>
    <mergeCell ref="A94:B95"/>
    <mergeCell ref="A43:B44"/>
    <mergeCell ref="A24:B25"/>
    <mergeCell ref="A1:B2"/>
    <mergeCell ref="A4:B5"/>
  </mergeCells>
  <phoneticPr fontId="61" type="noConversion"/>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1"/>
  <sheetViews>
    <sheetView topLeftCell="A73" zoomScale="85" zoomScaleNormal="85" workbookViewId="0">
      <selection activeCell="D76" sqref="D76"/>
    </sheetView>
  </sheetViews>
  <sheetFormatPr defaultColWidth="9" defaultRowHeight="14"/>
  <cols>
    <col min="1" max="1" width="24.3515625" customWidth="1"/>
    <col min="2" max="2" width="44.17578125" customWidth="1"/>
    <col min="3" max="3" width="30.41015625" customWidth="1"/>
    <col min="4" max="4" width="74.46875" customWidth="1"/>
  </cols>
  <sheetData>
    <row r="1" spans="1:4">
      <c r="A1" s="261" t="s">
        <v>186</v>
      </c>
      <c r="B1" s="261"/>
      <c r="C1" s="17"/>
      <c r="D1" s="17"/>
    </row>
    <row r="2" spans="1:4">
      <c r="A2" s="261"/>
      <c r="B2" s="261"/>
      <c r="C2" s="17"/>
      <c r="D2" s="17"/>
    </row>
    <row r="3" spans="1:4">
      <c r="A3" s="18"/>
      <c r="B3" s="19"/>
      <c r="C3" s="17"/>
      <c r="D3" s="17"/>
    </row>
    <row r="4" spans="1:4">
      <c r="A4" s="262" t="s">
        <v>187</v>
      </c>
      <c r="B4" s="262"/>
      <c r="C4" s="17"/>
      <c r="D4" s="17"/>
    </row>
    <row r="5" spans="1:4">
      <c r="A5" s="262"/>
      <c r="B5" s="262"/>
      <c r="C5" s="20"/>
      <c r="D5" s="17"/>
    </row>
    <row r="6" spans="1:4">
      <c r="A6" s="18"/>
      <c r="B6" s="17"/>
      <c r="C6" s="20"/>
      <c r="D6" s="17"/>
    </row>
    <row r="7" spans="1:4">
      <c r="A7" s="18"/>
      <c r="B7" s="17"/>
      <c r="C7" s="20"/>
      <c r="D7" s="17"/>
    </row>
    <row r="8" spans="1:4">
      <c r="A8" s="18"/>
      <c r="B8" s="17"/>
      <c r="C8" s="20"/>
      <c r="D8" s="17"/>
    </row>
    <row r="9" spans="1:4">
      <c r="A9" s="18"/>
      <c r="B9" s="17"/>
      <c r="C9" s="20"/>
      <c r="D9" s="17"/>
    </row>
    <row r="10" spans="1:4">
      <c r="A10" s="18"/>
      <c r="B10" s="17"/>
      <c r="C10" s="20"/>
      <c r="D10" s="17"/>
    </row>
    <row r="11" spans="1:4">
      <c r="A11" s="18"/>
      <c r="B11" s="17"/>
      <c r="C11" s="20"/>
      <c r="D11" s="17"/>
    </row>
    <row r="12" spans="1:4">
      <c r="A12" s="18"/>
      <c r="B12" s="17"/>
      <c r="C12" s="20"/>
      <c r="D12" s="17"/>
    </row>
    <row r="13" spans="1:4" ht="15.7">
      <c r="A13" s="21" t="s">
        <v>7</v>
      </c>
      <c r="B13" s="22" t="s">
        <v>115</v>
      </c>
      <c r="C13" s="23" t="s">
        <v>9</v>
      </c>
      <c r="D13" s="24" t="s">
        <v>10</v>
      </c>
    </row>
    <row r="14" spans="1:4" ht="15.7">
      <c r="A14" s="25" t="s">
        <v>93</v>
      </c>
      <c r="B14" s="26">
        <f>'[1]#REF'!B13</f>
        <v>57534</v>
      </c>
      <c r="C14" s="27" t="str">
        <f>'[1]#REF'!C13</f>
        <v>No of heads</v>
      </c>
      <c r="D14" s="28" t="str">
        <f>'[1]#REF'!D13</f>
        <v>Calculated</v>
      </c>
    </row>
    <row r="15" spans="1:4" ht="15.7">
      <c r="A15" s="25" t="s">
        <v>86</v>
      </c>
      <c r="B15" s="29">
        <f>'[1]#REF'!B36</f>
        <v>26.44425</v>
      </c>
      <c r="C15" s="30" t="s">
        <v>78</v>
      </c>
      <c r="D15" s="28" t="s">
        <v>58</v>
      </c>
    </row>
    <row r="16" spans="1:4" ht="27.45" customHeight="1">
      <c r="A16" s="25" t="s">
        <v>188</v>
      </c>
      <c r="B16" s="31">
        <v>0.8</v>
      </c>
      <c r="C16" s="32" t="s">
        <v>27</v>
      </c>
      <c r="D16" s="33" t="s">
        <v>189</v>
      </c>
    </row>
    <row r="17" spans="1:4" ht="27.35">
      <c r="A17" s="25" t="s">
        <v>190</v>
      </c>
      <c r="B17" s="34">
        <v>0.01</v>
      </c>
      <c r="C17" s="32" t="s">
        <v>72</v>
      </c>
      <c r="D17" s="33" t="s">
        <v>191</v>
      </c>
    </row>
    <row r="18" spans="1:4" ht="27.35">
      <c r="A18" s="25" t="s">
        <v>192</v>
      </c>
      <c r="B18" s="34">
        <v>1.0999999999999999E-2</v>
      </c>
      <c r="C18" s="27" t="s">
        <v>72</v>
      </c>
      <c r="D18" s="33" t="s">
        <v>193</v>
      </c>
    </row>
    <row r="19" spans="1:4" ht="27.35">
      <c r="A19" s="25" t="s">
        <v>194</v>
      </c>
      <c r="B19" s="34">
        <v>0.01</v>
      </c>
      <c r="C19" s="32" t="s">
        <v>195</v>
      </c>
      <c r="D19" s="33" t="s">
        <v>193</v>
      </c>
    </row>
    <row r="20" spans="1:4" ht="27.35">
      <c r="A20" s="25" t="s">
        <v>196</v>
      </c>
      <c r="B20" s="34">
        <v>0.24</v>
      </c>
      <c r="C20" s="32" t="s">
        <v>27</v>
      </c>
      <c r="D20" s="33" t="s">
        <v>193</v>
      </c>
    </row>
    <row r="21" spans="1:4" ht="27.35">
      <c r="A21" s="25" t="s">
        <v>197</v>
      </c>
      <c r="B21" s="34">
        <v>0.21</v>
      </c>
      <c r="C21" s="32" t="s">
        <v>27</v>
      </c>
      <c r="D21" s="33" t="s">
        <v>193</v>
      </c>
    </row>
    <row r="22" spans="1:4" ht="15.7">
      <c r="A22" s="35" t="s">
        <v>95</v>
      </c>
      <c r="B22" s="36">
        <v>265</v>
      </c>
      <c r="C22" s="32" t="s">
        <v>168</v>
      </c>
      <c r="D22" s="33" t="s">
        <v>33</v>
      </c>
    </row>
    <row r="23" spans="1:4" ht="15.7">
      <c r="A23" s="35" t="s">
        <v>169</v>
      </c>
      <c r="B23" s="37">
        <f>'[2]#REF'!B91</f>
        <v>1.5714285714285701</v>
      </c>
      <c r="C23" s="32" t="s">
        <v>27</v>
      </c>
      <c r="D23" s="33"/>
    </row>
    <row r="24" spans="1:4" ht="15.7">
      <c r="A24" s="38" t="s">
        <v>198</v>
      </c>
      <c r="B24" s="26">
        <f>B17*(1-B16)*B15*B14</f>
        <v>3042.8869589999999</v>
      </c>
      <c r="C24" s="27" t="s">
        <v>162</v>
      </c>
      <c r="D24" s="28" t="s">
        <v>58</v>
      </c>
    </row>
    <row r="25" spans="1:4" ht="15.7">
      <c r="A25" s="38" t="s">
        <v>199</v>
      </c>
      <c r="B25" s="26">
        <f>B18*B20*(1-B16)*B15*B14</f>
        <v>803.32215717600002</v>
      </c>
      <c r="C25" s="27" t="s">
        <v>162</v>
      </c>
      <c r="D25" s="28" t="s">
        <v>58</v>
      </c>
    </row>
    <row r="26" spans="1:4" ht="15.7">
      <c r="A26" s="38" t="s">
        <v>200</v>
      </c>
      <c r="B26" s="26">
        <f>B19*(1-B16)*B21*B15*B14</f>
        <v>639.00626138999996</v>
      </c>
      <c r="C26" s="27" t="s">
        <v>162</v>
      </c>
      <c r="D26" s="28" t="s">
        <v>58</v>
      </c>
    </row>
    <row r="27" spans="1:4" ht="15.7">
      <c r="A27" s="39" t="s">
        <v>201</v>
      </c>
      <c r="B27" s="40">
        <f>ROUNDDOWN(B22*44/28*1/1000*(B24+B25+B26),0)</f>
        <v>1867</v>
      </c>
      <c r="C27" s="41"/>
      <c r="D27" s="42" t="s">
        <v>202</v>
      </c>
    </row>
    <row r="28" spans="1:4">
      <c r="A28" s="43"/>
      <c r="B28" s="44"/>
      <c r="C28" s="17"/>
      <c r="D28" s="17"/>
    </row>
    <row r="29" spans="1:4">
      <c r="A29" s="43"/>
      <c r="B29" s="44"/>
      <c r="C29" s="17"/>
      <c r="D29" s="17"/>
    </row>
    <row r="30" spans="1:4">
      <c r="A30" s="43"/>
      <c r="B30" s="44"/>
      <c r="C30" s="20"/>
      <c r="D30" s="17"/>
    </row>
    <row r="31" spans="1:4">
      <c r="A31" s="43"/>
      <c r="B31" s="44"/>
      <c r="C31" s="20"/>
      <c r="D31" s="17"/>
    </row>
    <row r="32" spans="1:4">
      <c r="A32" s="43"/>
      <c r="B32" s="44"/>
      <c r="C32" s="20"/>
      <c r="D32" s="17"/>
    </row>
    <row r="33" spans="1:4">
      <c r="A33" s="43"/>
      <c r="B33" s="44"/>
      <c r="C33" s="20"/>
      <c r="D33" s="17"/>
    </row>
    <row r="34" spans="1:4">
      <c r="A34" s="43"/>
      <c r="B34" s="44"/>
      <c r="C34" s="20"/>
      <c r="D34" s="17"/>
    </row>
    <row r="35" spans="1:4">
      <c r="A35" s="43"/>
      <c r="B35" s="44"/>
      <c r="C35" s="20"/>
      <c r="D35" s="17"/>
    </row>
    <row r="36" spans="1:4" ht="15.7">
      <c r="A36" s="45" t="s">
        <v>7</v>
      </c>
      <c r="B36" s="22" t="s">
        <v>115</v>
      </c>
      <c r="C36" s="22" t="s">
        <v>9</v>
      </c>
      <c r="D36" s="46" t="s">
        <v>10</v>
      </c>
    </row>
    <row r="37" spans="1:4" ht="15.7">
      <c r="A37" s="25" t="s">
        <v>93</v>
      </c>
      <c r="B37" s="26">
        <f>B14</f>
        <v>57534</v>
      </c>
      <c r="C37" s="27" t="str">
        <f>C14</f>
        <v>No of heads</v>
      </c>
      <c r="D37" s="28" t="str">
        <f>D14</f>
        <v>Calculated</v>
      </c>
    </row>
    <row r="38" spans="1:4" ht="15.7">
      <c r="A38" s="25" t="s">
        <v>86</v>
      </c>
      <c r="B38" s="29">
        <f>B15</f>
        <v>26.44425</v>
      </c>
      <c r="C38" s="27" t="s">
        <v>78</v>
      </c>
      <c r="D38" s="28" t="s">
        <v>58</v>
      </c>
    </row>
    <row r="39" spans="1:4" ht="27.35">
      <c r="A39" s="25" t="s">
        <v>203</v>
      </c>
      <c r="B39" s="31">
        <v>0.05</v>
      </c>
      <c r="C39" s="32" t="s">
        <v>27</v>
      </c>
      <c r="D39" s="33" t="s">
        <v>204</v>
      </c>
    </row>
    <row r="40" spans="1:4" ht="27.35">
      <c r="A40" s="25" t="s">
        <v>205</v>
      </c>
      <c r="B40" s="31">
        <v>0.5</v>
      </c>
      <c r="C40" s="32" t="s">
        <v>27</v>
      </c>
      <c r="D40" s="33" t="s">
        <v>189</v>
      </c>
    </row>
    <row r="41" spans="1:4" ht="30" customHeight="1">
      <c r="A41" s="25" t="s">
        <v>190</v>
      </c>
      <c r="B41" s="34">
        <f t="shared" ref="B41:B46" si="0">B17</f>
        <v>0.01</v>
      </c>
      <c r="C41" s="32" t="s">
        <v>72</v>
      </c>
      <c r="D41" s="28" t="str">
        <f t="shared" ref="D41:D46" si="1">D17</f>
        <v>2019 Refinement to 2006 IPCC Guidelines for National Greenhouse Gas Inventories, Volume 4, Chapter 11, Table 11.1</v>
      </c>
    </row>
    <row r="42" spans="1:4" ht="30" customHeight="1">
      <c r="A42" s="25" t="s">
        <v>192</v>
      </c>
      <c r="B42" s="34">
        <f t="shared" si="0"/>
        <v>1.0999999999999999E-2</v>
      </c>
      <c r="C42" s="32" t="s">
        <v>72</v>
      </c>
      <c r="D42" s="28" t="str">
        <f t="shared" si="1"/>
        <v>2019 Refinement to 2006 IPCC Guidelines for National Greenhouse Gas Inventories, Volume 4, Chapter 11, Table 11.3</v>
      </c>
    </row>
    <row r="43" spans="1:4" ht="30" customHeight="1">
      <c r="A43" s="25" t="s">
        <v>194</v>
      </c>
      <c r="B43" s="34">
        <f t="shared" si="0"/>
        <v>0.01</v>
      </c>
      <c r="C43" s="32" t="s">
        <v>195</v>
      </c>
      <c r="D43" s="28" t="str">
        <f t="shared" si="1"/>
        <v>2019 Refinement to 2006 IPCC Guidelines for National Greenhouse Gas Inventories, Volume 4, Chapter 11, Table 11.3</v>
      </c>
    </row>
    <row r="44" spans="1:4" ht="30" customHeight="1">
      <c r="A44" s="25" t="s">
        <v>196</v>
      </c>
      <c r="B44" s="34">
        <f t="shared" si="0"/>
        <v>0.24</v>
      </c>
      <c r="C44" s="32" t="s">
        <v>27</v>
      </c>
      <c r="D44" s="28" t="str">
        <f t="shared" si="1"/>
        <v>2019 Refinement to 2006 IPCC Guidelines for National Greenhouse Gas Inventories, Volume 4, Chapter 11, Table 11.3</v>
      </c>
    </row>
    <row r="45" spans="1:4" ht="30" customHeight="1">
      <c r="A45" s="25" t="s">
        <v>197</v>
      </c>
      <c r="B45" s="34">
        <f t="shared" si="0"/>
        <v>0.21</v>
      </c>
      <c r="C45" s="32" t="s">
        <v>27</v>
      </c>
      <c r="D45" s="33" t="str">
        <f t="shared" si="1"/>
        <v>2019 Refinement to 2006 IPCC Guidelines for National Greenhouse Gas Inventories, Volume 4, Chapter 11, Table 11.3</v>
      </c>
    </row>
    <row r="46" spans="1:4" ht="15.7">
      <c r="A46" s="25" t="s">
        <v>95</v>
      </c>
      <c r="B46" s="47">
        <f t="shared" si="0"/>
        <v>265</v>
      </c>
      <c r="C46" s="48" t="str">
        <f>C22</f>
        <v>tCO2/tN2O</v>
      </c>
      <c r="D46" s="49" t="str">
        <f t="shared" si="1"/>
        <v>IPCC Fifth Assessment Report (AR5)</v>
      </c>
    </row>
    <row r="47" spans="1:4" ht="15.7">
      <c r="A47" s="38" t="s">
        <v>198</v>
      </c>
      <c r="B47" s="50">
        <f>B41*(1-B39)*(1-B40)*B38*B37</f>
        <v>7226.8565276250001</v>
      </c>
      <c r="C47" s="27" t="s">
        <v>162</v>
      </c>
      <c r="D47" s="28" t="s">
        <v>58</v>
      </c>
    </row>
    <row r="48" spans="1:4" ht="15.7">
      <c r="A48" s="38" t="s">
        <v>199</v>
      </c>
      <c r="B48" s="50">
        <f>B42*B44*(1-B39)*(1-B40)*B38*B37</f>
        <v>1907.890123293</v>
      </c>
      <c r="C48" s="27" t="s">
        <v>162</v>
      </c>
      <c r="D48" s="28" t="s">
        <v>58</v>
      </c>
    </row>
    <row r="49" spans="1:4" ht="15.7">
      <c r="A49" s="38" t="s">
        <v>200</v>
      </c>
      <c r="B49" s="50">
        <f>ROUNDUP(B43*(1-B39)*(1-B40)*B45*B38*B37,0)</f>
        <v>1518</v>
      </c>
      <c r="C49" s="27" t="s">
        <v>162</v>
      </c>
      <c r="D49" s="28" t="s">
        <v>58</v>
      </c>
    </row>
    <row r="50" spans="1:4" ht="15.7">
      <c r="A50" s="39" t="s">
        <v>206</v>
      </c>
      <c r="B50" s="51">
        <f>ROUNDUP(B46*44/28*1/1000*(B47+B48+B49),0)</f>
        <v>4437</v>
      </c>
      <c r="C50" s="41" t="s">
        <v>207</v>
      </c>
      <c r="D50" s="42" t="s">
        <v>58</v>
      </c>
    </row>
    <row r="51" spans="1:4" ht="14.35">
      <c r="A51" s="52"/>
      <c r="B51" s="53"/>
      <c r="C51" s="54"/>
      <c r="D51" s="54"/>
    </row>
    <row r="52" spans="1:4">
      <c r="A52" s="43"/>
      <c r="B52" s="44"/>
      <c r="C52" s="17"/>
      <c r="D52" s="17"/>
    </row>
    <row r="53" spans="1:4" ht="14" customHeight="1">
      <c r="A53" s="262" t="s">
        <v>208</v>
      </c>
      <c r="B53" s="262"/>
      <c r="C53" s="17"/>
      <c r="D53" s="17"/>
    </row>
    <row r="54" spans="1:4" ht="14" customHeight="1">
      <c r="A54" s="262"/>
      <c r="B54" s="262"/>
      <c r="C54" s="17"/>
      <c r="D54" s="17"/>
    </row>
    <row r="55" spans="1:4" ht="15.7">
      <c r="A55" s="21" t="s">
        <v>7</v>
      </c>
      <c r="B55" s="23" t="s">
        <v>115</v>
      </c>
      <c r="C55" s="23" t="s">
        <v>9</v>
      </c>
      <c r="D55" s="24" t="s">
        <v>10</v>
      </c>
    </row>
    <row r="56" spans="1:4" ht="15.7">
      <c r="A56" s="55" t="s">
        <v>116</v>
      </c>
      <c r="B56" s="32">
        <f>'[1]#REF'!B7</f>
        <v>28</v>
      </c>
      <c r="C56" s="32" t="str">
        <f>'[1]#REF'!C7</f>
        <v>tCO2/tCH4</v>
      </c>
      <c r="D56" s="33" t="str">
        <f>'[1]#REF'!D7</f>
        <v>IPCC Fifth Assessment Report (AR5)</v>
      </c>
    </row>
    <row r="57" spans="1:4" ht="15.7">
      <c r="A57" s="55" t="s">
        <v>125</v>
      </c>
      <c r="B57" s="32">
        <f>'[1]#REF'!B8</f>
        <v>6.7000000000000002E-4</v>
      </c>
      <c r="C57" s="32" t="str">
        <f>'[1]#REF'!C8</f>
        <v>t/m3</v>
      </c>
      <c r="D57" s="33" t="str">
        <f>'[1]#REF'!D8</f>
        <v>ACM0010 Version 08.0, page 30</v>
      </c>
    </row>
    <row r="58" spans="1:4" ht="15.7">
      <c r="A58" s="56" t="s">
        <v>209</v>
      </c>
      <c r="B58" s="48">
        <v>1</v>
      </c>
      <c r="C58" s="57" t="s">
        <v>41</v>
      </c>
      <c r="D58" s="33" t="s">
        <v>210</v>
      </c>
    </row>
    <row r="59" spans="1:4" ht="15.7">
      <c r="A59" s="25" t="s">
        <v>135</v>
      </c>
      <c r="B59" s="58">
        <f>'[1]#REF'!B18</f>
        <v>214.07249999999999</v>
      </c>
      <c r="C59" s="32" t="str">
        <f>'[1]#REF'!C18</f>
        <v>kg-dm/animal/yr</v>
      </c>
      <c r="D59" s="49" t="s">
        <v>58</v>
      </c>
    </row>
    <row r="60" spans="1:4" ht="15.7">
      <c r="A60" s="25" t="s">
        <v>93</v>
      </c>
      <c r="B60" s="59">
        <f>B37</f>
        <v>57534</v>
      </c>
      <c r="C60" s="60" t="str">
        <f>C37</f>
        <v>No of heads</v>
      </c>
      <c r="D60" s="61" t="str">
        <f>D37</f>
        <v>Calculated</v>
      </c>
    </row>
    <row r="61" spans="1:4" ht="30" customHeight="1">
      <c r="A61" s="25" t="s">
        <v>211</v>
      </c>
      <c r="B61" s="62">
        <f>'[1]#REF'!B12</f>
        <v>0.45</v>
      </c>
      <c r="C61" s="32" t="s">
        <v>212</v>
      </c>
      <c r="D61" s="33" t="str">
        <f>'[1]#REF'!D12</f>
        <v>2019 Refinement to 2006 IPCC Guidelines for National Greenhouse Gas Inventories , volume 4, chapter 10, tbl. 10.16 ，High PS，swine</v>
      </c>
    </row>
    <row r="62" spans="1:4" ht="60" customHeight="1">
      <c r="A62" s="56" t="s">
        <v>213</v>
      </c>
      <c r="B62" s="31">
        <v>0.85</v>
      </c>
      <c r="C62" s="48" t="s">
        <v>27</v>
      </c>
      <c r="D62" s="33" t="s">
        <v>214</v>
      </c>
    </row>
    <row r="63" spans="1:4" ht="15.7">
      <c r="A63" s="56" t="s">
        <v>136</v>
      </c>
      <c r="B63" s="63">
        <v>1</v>
      </c>
      <c r="C63" s="48" t="s">
        <v>27</v>
      </c>
      <c r="D63" s="64" t="str">
        <f>'[1]#REF'!D43</f>
        <v>EIA</v>
      </c>
    </row>
    <row r="64" spans="1:4" ht="15.7">
      <c r="A64" s="65" t="s">
        <v>215</v>
      </c>
      <c r="B64" s="66">
        <f>ROUNDDOWN(B56*B57*B58*(1-B62)*(B61*B60*B59*B63),0)</f>
        <v>15596</v>
      </c>
      <c r="C64" s="67" t="s">
        <v>216</v>
      </c>
      <c r="D64" s="68" t="s">
        <v>58</v>
      </c>
    </row>
    <row r="65" spans="1:4">
      <c r="A65" s="69"/>
      <c r="B65" s="70"/>
      <c r="C65" s="70"/>
      <c r="D65" s="70"/>
    </row>
    <row r="66" spans="1:4">
      <c r="A66" s="69"/>
      <c r="B66" s="70"/>
      <c r="C66" s="70"/>
      <c r="D66" s="70"/>
    </row>
    <row r="67" spans="1:4">
      <c r="A67" s="69"/>
      <c r="B67" s="70"/>
      <c r="C67" s="70"/>
      <c r="D67" s="70"/>
    </row>
    <row r="68" spans="1:4">
      <c r="A68" s="69"/>
      <c r="B68" s="70"/>
      <c r="C68" s="70"/>
      <c r="D68" s="70"/>
    </row>
    <row r="69" spans="1:4" ht="15.7">
      <c r="A69" s="21" t="s">
        <v>7</v>
      </c>
      <c r="B69" s="23" t="s">
        <v>115</v>
      </c>
      <c r="C69" s="23" t="s">
        <v>9</v>
      </c>
      <c r="D69" s="24" t="s">
        <v>10</v>
      </c>
    </row>
    <row r="70" spans="1:4" ht="15.7">
      <c r="A70" s="55" t="s">
        <v>116</v>
      </c>
      <c r="B70" s="32">
        <f>B56</f>
        <v>28</v>
      </c>
      <c r="C70" s="32" t="str">
        <f>C56</f>
        <v>tCO2/tCH4</v>
      </c>
      <c r="D70" s="33" t="str">
        <f>D56</f>
        <v>IPCC Fifth Assessment Report (AR5)</v>
      </c>
    </row>
    <row r="71" spans="1:4" ht="15.7">
      <c r="A71" s="55" t="s">
        <v>125</v>
      </c>
      <c r="B71" s="32">
        <v>6.7000000000000002E-4</v>
      </c>
      <c r="C71" s="32" t="str">
        <f>C57</f>
        <v>t/m3</v>
      </c>
      <c r="D71" s="33" t="str">
        <f>D57</f>
        <v>ACM0010 Version 08.0, page 30</v>
      </c>
    </row>
    <row r="72" spans="1:4" ht="15.7">
      <c r="A72" s="56" t="s">
        <v>209</v>
      </c>
      <c r="B72" s="48">
        <v>1</v>
      </c>
      <c r="C72" s="57" t="s">
        <v>41</v>
      </c>
      <c r="D72" s="33" t="s">
        <v>210</v>
      </c>
    </row>
    <row r="73" spans="1:4" ht="15.7">
      <c r="A73" s="25" t="s">
        <v>135</v>
      </c>
      <c r="B73" s="58">
        <f t="shared" ref="B73:D74" si="2">B59</f>
        <v>214.07249999999999</v>
      </c>
      <c r="C73" s="32" t="str">
        <f>C59</f>
        <v>kg-dm/animal/yr</v>
      </c>
      <c r="D73" s="49" t="str">
        <f t="shared" si="2"/>
        <v>Calculated</v>
      </c>
    </row>
    <row r="74" spans="1:4" ht="15.7">
      <c r="A74" s="25" t="s">
        <v>93</v>
      </c>
      <c r="B74" s="59">
        <f t="shared" si="2"/>
        <v>57534</v>
      </c>
      <c r="C74" s="71" t="str">
        <f t="shared" si="2"/>
        <v>No of heads</v>
      </c>
      <c r="D74" s="72" t="str">
        <f t="shared" si="2"/>
        <v>Calculated</v>
      </c>
    </row>
    <row r="75" spans="1:4" ht="30" customHeight="1">
      <c r="A75" s="25" t="s">
        <v>211</v>
      </c>
      <c r="B75" s="62">
        <f>B61</f>
        <v>0.45</v>
      </c>
      <c r="C75" s="32" t="s">
        <v>212</v>
      </c>
      <c r="D75" s="33" t="str">
        <f>D61</f>
        <v>2019 Refinement to 2006 IPCC Guidelines for National Greenhouse Gas Inventories , volume 4, chapter 10, tbl. 10.16 ，High PS，swine</v>
      </c>
    </row>
    <row r="76" spans="1:4" ht="15.7">
      <c r="A76" s="56" t="s">
        <v>217</v>
      </c>
      <c r="B76" s="31">
        <v>0.2</v>
      </c>
      <c r="C76" s="32" t="s">
        <v>27</v>
      </c>
      <c r="D76" s="33" t="s">
        <v>218</v>
      </c>
    </row>
    <row r="77" spans="1:4" ht="27.35">
      <c r="A77" s="56" t="s">
        <v>219</v>
      </c>
      <c r="B77" s="31">
        <v>0.9</v>
      </c>
      <c r="C77" s="32" t="s">
        <v>27</v>
      </c>
      <c r="D77" s="33" t="s">
        <v>220</v>
      </c>
    </row>
    <row r="78" spans="1:4" ht="15.7">
      <c r="A78" s="56" t="s">
        <v>136</v>
      </c>
      <c r="B78" s="31">
        <v>0.5</v>
      </c>
      <c r="C78" s="48" t="s">
        <v>27</v>
      </c>
      <c r="D78" s="33" t="s">
        <v>14</v>
      </c>
    </row>
    <row r="79" spans="1:4" ht="15.7">
      <c r="A79" s="73" t="s">
        <v>217</v>
      </c>
      <c r="B79" s="74">
        <v>0.2</v>
      </c>
      <c r="C79" s="48" t="s">
        <v>27</v>
      </c>
      <c r="D79" s="33" t="s">
        <v>218</v>
      </c>
    </row>
    <row r="80" spans="1:4" ht="27.35">
      <c r="A80" s="268" t="s">
        <v>245</v>
      </c>
      <c r="B80" s="74">
        <v>0.4</v>
      </c>
      <c r="C80" s="48" t="s">
        <v>27</v>
      </c>
      <c r="D80" s="269" t="s">
        <v>246</v>
      </c>
    </row>
    <row r="81" spans="1:4">
      <c r="A81" s="284" t="s">
        <v>138</v>
      </c>
      <c r="B81" s="285">
        <f>B63-B78</f>
        <v>0.5</v>
      </c>
      <c r="C81" s="48" t="s">
        <v>27</v>
      </c>
      <c r="D81" s="33" t="s">
        <v>14</v>
      </c>
    </row>
    <row r="82" spans="1:4" ht="15.7">
      <c r="A82" s="65" t="s">
        <v>221</v>
      </c>
      <c r="B82" s="66">
        <f>ROUNDUP(B70*B71*B72*(1-B76)*(1-B77)*B75*B74*B73*B78+B70*B71*B72*B73*B74*B75*(1-B79)*(1-B80)*B81,0)</f>
        <v>29114</v>
      </c>
      <c r="C82" s="67" t="s">
        <v>216</v>
      </c>
      <c r="D82" s="68" t="s">
        <v>58</v>
      </c>
    </row>
    <row r="83" spans="1:4">
      <c r="A83" s="18"/>
      <c r="B83" s="17"/>
      <c r="C83" s="17"/>
      <c r="D83" s="17"/>
    </row>
    <row r="84" spans="1:4">
      <c r="A84" s="17"/>
      <c r="B84" s="17"/>
      <c r="C84" s="75"/>
      <c r="D84" s="17"/>
    </row>
    <row r="85" spans="1:4" ht="15.7">
      <c r="A85" s="76" t="s">
        <v>215</v>
      </c>
      <c r="B85" s="77">
        <f>B64</f>
        <v>15596</v>
      </c>
      <c r="C85" s="78" t="s">
        <v>216</v>
      </c>
      <c r="D85" s="17"/>
    </row>
    <row r="86" spans="1:4" ht="15.7">
      <c r="A86" s="79" t="s">
        <v>221</v>
      </c>
      <c r="B86" s="12">
        <f>B82</f>
        <v>29114</v>
      </c>
      <c r="C86" s="80" t="s">
        <v>216</v>
      </c>
      <c r="D86" s="17"/>
    </row>
    <row r="87" spans="1:4" ht="15.7">
      <c r="A87" s="79" t="s">
        <v>201</v>
      </c>
      <c r="B87" s="12">
        <f>B27</f>
        <v>1867</v>
      </c>
      <c r="C87" s="80" t="s">
        <v>216</v>
      </c>
      <c r="D87" s="81"/>
    </row>
    <row r="88" spans="1:4" ht="15.7">
      <c r="A88" s="82" t="s">
        <v>222</v>
      </c>
      <c r="B88" s="83">
        <f>B50</f>
        <v>4437</v>
      </c>
      <c r="C88" s="84" t="s">
        <v>216</v>
      </c>
      <c r="D88" s="17"/>
    </row>
    <row r="89" spans="1:4" ht="14.7">
      <c r="A89" s="85"/>
      <c r="B89" s="86"/>
      <c r="C89" s="17"/>
      <c r="D89" s="17"/>
    </row>
    <row r="90" spans="1:4" ht="14.35">
      <c r="A90" s="87"/>
      <c r="B90" s="87"/>
      <c r="C90" s="17"/>
      <c r="D90" s="17"/>
    </row>
    <row r="91" spans="1:4" ht="15.7">
      <c r="A91" s="88" t="s">
        <v>223</v>
      </c>
      <c r="B91" s="89">
        <f>ROUNDUP((B86-B85)+(B88-B87),0)</f>
        <v>16088</v>
      </c>
      <c r="C91" s="17"/>
      <c r="D91" s="17"/>
    </row>
  </sheetData>
  <mergeCells count="3">
    <mergeCell ref="A53:B54"/>
    <mergeCell ref="A1:B2"/>
    <mergeCell ref="A4:B5"/>
  </mergeCells>
  <phoneticPr fontId="62" type="noConversion"/>
  <pageMargins left="0.7" right="0.7" top="0.75" bottom="0.75" header="0.3" footer="0.3"/>
  <ignoredErrors>
    <ignoredError sqref="B48:B49 B25:B26" 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F18"/>
  <sheetViews>
    <sheetView tabSelected="1" workbookViewId="0">
      <selection activeCell="F18" sqref="F18"/>
    </sheetView>
  </sheetViews>
  <sheetFormatPr defaultColWidth="9" defaultRowHeight="14"/>
  <cols>
    <col min="2" max="2" width="24.9375" customWidth="1"/>
    <col min="3" max="3" width="30.17578125" customWidth="1"/>
    <col min="4" max="4" width="26.52734375" customWidth="1"/>
    <col min="5" max="5" width="22" customWidth="1"/>
    <col min="6" max="6" width="27.3515625" customWidth="1"/>
  </cols>
  <sheetData>
    <row r="3" spans="2:6" ht="14.7">
      <c r="B3" s="263" t="s">
        <v>224</v>
      </c>
      <c r="C3" s="1" t="s">
        <v>225</v>
      </c>
      <c r="D3" s="1" t="s">
        <v>225</v>
      </c>
      <c r="E3" s="1" t="s">
        <v>225</v>
      </c>
      <c r="F3" s="2" t="s">
        <v>225</v>
      </c>
    </row>
    <row r="4" spans="2:6" ht="14.35">
      <c r="B4" s="264"/>
      <c r="C4" s="3" t="s">
        <v>226</v>
      </c>
      <c r="D4" s="3" t="s">
        <v>227</v>
      </c>
      <c r="E4" s="3" t="s">
        <v>228</v>
      </c>
      <c r="F4" s="4" t="s">
        <v>229</v>
      </c>
    </row>
    <row r="5" spans="2:6" ht="15.7">
      <c r="B5" s="264"/>
      <c r="C5" s="5" t="s">
        <v>230</v>
      </c>
      <c r="D5" s="5" t="s">
        <v>230</v>
      </c>
      <c r="E5" s="5" t="s">
        <v>230</v>
      </c>
      <c r="F5" s="6" t="s">
        <v>230</v>
      </c>
    </row>
    <row r="6" spans="2:6" ht="14.35">
      <c r="B6" s="7" t="s">
        <v>231</v>
      </c>
      <c r="C6" s="8">
        <f>'BASELINE EMISSIONS  '!B52*(129/365)</f>
        <v>26111.013698630137</v>
      </c>
      <c r="D6" s="9">
        <f>'PROJECT EMISSION  '!B109*(129/365)</f>
        <v>2991.3863013698628</v>
      </c>
      <c r="E6" s="8">
        <f>'LEAKEAGE '!B91*(129/365)</f>
        <v>5685.8958904109586</v>
      </c>
      <c r="F6" s="10">
        <f>C6-D6-E6</f>
        <v>17433.731506849312</v>
      </c>
    </row>
    <row r="7" spans="2:6" ht="14.35">
      <c r="B7" s="7" t="s">
        <v>232</v>
      </c>
      <c r="C7" s="8">
        <f>'[1]#REF'!B52</f>
        <v>73880</v>
      </c>
      <c r="D7" s="9">
        <f>'PROJECT EMISSION  '!B109</f>
        <v>8464</v>
      </c>
      <c r="E7" s="8">
        <f>'[3]#REF'!B91</f>
        <v>16088</v>
      </c>
      <c r="F7" s="10">
        <f>C7-D7-E7</f>
        <v>49328</v>
      </c>
    </row>
    <row r="8" spans="2:6" ht="14.35">
      <c r="B8" s="7" t="s">
        <v>233</v>
      </c>
      <c r="C8" s="8">
        <f>C7</f>
        <v>73880</v>
      </c>
      <c r="D8" s="9">
        <f>D7</f>
        <v>8464</v>
      </c>
      <c r="E8" s="8">
        <f>E7</f>
        <v>16088</v>
      </c>
      <c r="F8" s="10">
        <f t="shared" ref="F8:F16" si="0">C8-D8-E8</f>
        <v>49328</v>
      </c>
    </row>
    <row r="9" spans="2:6" ht="14.35">
      <c r="B9" s="7" t="s">
        <v>234</v>
      </c>
      <c r="C9" s="8">
        <f>C7</f>
        <v>73880</v>
      </c>
      <c r="D9" s="9">
        <f>D7</f>
        <v>8464</v>
      </c>
      <c r="E9" s="8">
        <f>E7</f>
        <v>16088</v>
      </c>
      <c r="F9" s="10">
        <f t="shared" si="0"/>
        <v>49328</v>
      </c>
    </row>
    <row r="10" spans="2:6" ht="14.35">
      <c r="B10" s="7" t="s">
        <v>235</v>
      </c>
      <c r="C10" s="8">
        <f>C7</f>
        <v>73880</v>
      </c>
      <c r="D10" s="9">
        <f>D7</f>
        <v>8464</v>
      </c>
      <c r="E10" s="8">
        <f>E7</f>
        <v>16088</v>
      </c>
      <c r="F10" s="10">
        <f t="shared" si="0"/>
        <v>49328</v>
      </c>
    </row>
    <row r="11" spans="2:6" ht="14.35">
      <c r="B11" s="7" t="s">
        <v>236</v>
      </c>
      <c r="C11" s="8">
        <f>C7</f>
        <v>73880</v>
      </c>
      <c r="D11" s="9">
        <f>D7</f>
        <v>8464</v>
      </c>
      <c r="E11" s="8">
        <f>E7</f>
        <v>16088</v>
      </c>
      <c r="F11" s="10">
        <f t="shared" si="0"/>
        <v>49328</v>
      </c>
    </row>
    <row r="12" spans="2:6" ht="14.35">
      <c r="B12" s="7" t="s">
        <v>237</v>
      </c>
      <c r="C12" s="8">
        <f>C7</f>
        <v>73880</v>
      </c>
      <c r="D12" s="9">
        <f>D7</f>
        <v>8464</v>
      </c>
      <c r="E12" s="8">
        <f>E7</f>
        <v>16088</v>
      </c>
      <c r="F12" s="10">
        <f t="shared" si="0"/>
        <v>49328</v>
      </c>
    </row>
    <row r="13" spans="2:6" ht="14.35">
      <c r="B13" s="7" t="s">
        <v>238</v>
      </c>
      <c r="C13" s="8">
        <f>C7</f>
        <v>73880</v>
      </c>
      <c r="D13" s="9">
        <f>D7</f>
        <v>8464</v>
      </c>
      <c r="E13" s="8">
        <f>E7</f>
        <v>16088</v>
      </c>
      <c r="F13" s="10">
        <f t="shared" si="0"/>
        <v>49328</v>
      </c>
    </row>
    <row r="14" spans="2:6" ht="14.35">
      <c r="B14" s="7" t="s">
        <v>239</v>
      </c>
      <c r="C14" s="8">
        <f>C7</f>
        <v>73880</v>
      </c>
      <c r="D14" s="9">
        <f>D7</f>
        <v>8464</v>
      </c>
      <c r="E14" s="8">
        <f>E7</f>
        <v>16088</v>
      </c>
      <c r="F14" s="10">
        <f t="shared" si="0"/>
        <v>49328</v>
      </c>
    </row>
    <row r="15" spans="2:6" ht="14.35">
      <c r="B15" s="7" t="s">
        <v>240</v>
      </c>
      <c r="C15" s="8">
        <f>C7</f>
        <v>73880</v>
      </c>
      <c r="D15" s="9">
        <f>D7</f>
        <v>8464</v>
      </c>
      <c r="E15" s="8">
        <f>E7</f>
        <v>16088</v>
      </c>
      <c r="F15" s="10">
        <f t="shared" si="0"/>
        <v>49328</v>
      </c>
    </row>
    <row r="16" spans="2:6" ht="14.35">
      <c r="B16" s="266" t="s">
        <v>243</v>
      </c>
      <c r="C16" s="8">
        <f>'BASELINE EMISSIONS  '!B52*(236/365)</f>
        <v>47768.986301369863</v>
      </c>
      <c r="D16" s="9">
        <f>'PROJECT EMISSION  '!B109*(236/365)</f>
        <v>5472.6136986301372</v>
      </c>
      <c r="E16" s="8">
        <f>'LEAKEAGE '!B91*(236/365)</f>
        <v>10402.104109589041</v>
      </c>
      <c r="F16" s="10">
        <f>C16-D16-E16</f>
        <v>31894.268493150688</v>
      </c>
    </row>
    <row r="17" spans="2:6" ht="15.7">
      <c r="B17" s="11" t="s">
        <v>241</v>
      </c>
      <c r="C17" s="12">
        <f>SUM(C6:C16)</f>
        <v>738800</v>
      </c>
      <c r="D17" s="12">
        <f>SUM(D6:D16)</f>
        <v>84640.000000000015</v>
      </c>
      <c r="E17" s="12">
        <f>SUM(E6:E16)</f>
        <v>160880</v>
      </c>
      <c r="F17" s="13">
        <f>SUM(F6:F16)</f>
        <v>493280</v>
      </c>
    </row>
    <row r="18" spans="2:6" ht="15.7">
      <c r="B18" s="14" t="s">
        <v>242</v>
      </c>
      <c r="C18" s="15">
        <f>C17/10</f>
        <v>73880</v>
      </c>
      <c r="D18" s="15">
        <f>D17/10</f>
        <v>8464.0000000000018</v>
      </c>
      <c r="E18" s="15">
        <f>E17/10</f>
        <v>16088</v>
      </c>
      <c r="F18" s="16">
        <f>F17/10</f>
        <v>49328</v>
      </c>
    </row>
  </sheetData>
  <mergeCells count="1">
    <mergeCell ref="B3:B5"/>
  </mergeCells>
  <phoneticPr fontId="6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COVER</vt:lpstr>
      <vt:lpstr>BASIC INFORMATION</vt:lpstr>
      <vt:lpstr>BASELINE EMISSIONS  </vt:lpstr>
      <vt:lpstr>PROJECT EMISSION  </vt:lpstr>
      <vt:lpstr>LEAKEAGE </vt:lpstr>
      <vt:lpstr>EMISSION REDUCTION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刘鑫</dc:creator>
  <cp:lastModifiedBy>鑫 刘</cp:lastModifiedBy>
  <dcterms:created xsi:type="dcterms:W3CDTF">2015-06-05T18:19:00Z</dcterms:created>
  <dcterms:modified xsi:type="dcterms:W3CDTF">2025-07-29T12:55:44Z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1B8D2D7CCA174AF8A9F69D4191515AEC_12</vt:lpwstr>
  </property>
  <property fmtid="{D5CDD505-2E9C-101B-9397-08002B2CF9AE}" pid="3" name="KSOProductBuildVer">
    <vt:lpwstr>2052-12.1.0.21915</vt:lpwstr>
  </property>
</Properties>
</file>