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arboncheckpvt-my.sharepoint.com/personal/murari_carboncheck_co_in/Documents/Murari CCIPL/GS/CCIPL2793 Costa/GS review/2nd round/"/>
    </mc:Choice>
  </mc:AlternateContent>
  <xr:revisionPtr revIDLastSave="965" documentId="8_{1EFA8060-75DA-4EF5-B6A7-2704B7B96E9E}" xr6:coauthVersionLast="47" xr6:coauthVersionMax="47" xr10:uidLastSave="{4143494B-152A-4A5E-A264-BCFE81E29BC4}"/>
  <bookViews>
    <workbookView xWindow="-110" yWindow="-110" windowWidth="19420" windowHeight="11500" tabRatio="751" firstSheet="2" activeTab="5" xr2:uid="{00000000-000D-0000-FFFF-FFFF00000000}"/>
  </bookViews>
  <sheets>
    <sheet name="Ex-ante_ER_Project_summary" sheetId="1" r:id="rId1"/>
    <sheet name="Ex-post_&amp;_ex-ante_ER_farms" sheetId="4" r:id="rId2"/>
    <sheet name="SOC_summary_farms" sheetId="2" r:id="rId3"/>
    <sheet name="Supporting_documents" sheetId="5" r:id="rId4"/>
    <sheet name="PerfCert2021_C.performance" sheetId="6" r:id="rId5"/>
    <sheet name="Version Control" sheetId="7" r:id="rId6"/>
  </sheets>
  <definedNames>
    <definedName name="_xlnm.Print_Area" localSheetId="1">'Ex-post_&amp;_ex-ante_ER_farms'!$A$1:$L$31</definedName>
    <definedName name="_xlnm.Print_Area" localSheetId="4">PerfCert2021_C.performance!$A$1:$Q$42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X3" i="4"/>
  <c r="R27" i="4"/>
  <c r="R32" i="4"/>
  <c r="R25" i="4"/>
  <c r="P3" i="4"/>
  <c r="S26" i="6" l="1"/>
  <c r="R26" i="6"/>
  <c r="Q26" i="6"/>
  <c r="Q19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C18" i="6"/>
  <c r="B26" i="6"/>
  <c r="B18" i="6"/>
  <c r="Q41" i="6"/>
  <c r="Q38" i="6"/>
  <c r="P38" i="6"/>
  <c r="O38" i="6"/>
  <c r="M38" i="6"/>
  <c r="L38" i="6"/>
  <c r="J38" i="6"/>
  <c r="I38" i="6"/>
  <c r="G38" i="6"/>
  <c r="F38" i="6"/>
  <c r="D38" i="6"/>
  <c r="S38" i="6" s="1"/>
  <c r="C38" i="6"/>
  <c r="R38" i="6" s="1"/>
  <c r="Q37" i="6"/>
  <c r="P37" i="6"/>
  <c r="O37" i="6"/>
  <c r="M37" i="6"/>
  <c r="L37" i="6"/>
  <c r="J37" i="6"/>
  <c r="I37" i="6"/>
  <c r="G37" i="6"/>
  <c r="F37" i="6"/>
  <c r="D37" i="6"/>
  <c r="S37" i="6" s="1"/>
  <c r="C37" i="6"/>
  <c r="R37" i="6" s="1"/>
  <c r="Q36" i="6"/>
  <c r="P36" i="6"/>
  <c r="O36" i="6"/>
  <c r="R36" i="6" s="1"/>
  <c r="M36" i="6"/>
  <c r="S36" i="6" s="1"/>
  <c r="L36" i="6"/>
  <c r="J36" i="6"/>
  <c r="I36" i="6"/>
  <c r="G36" i="6"/>
  <c r="F36" i="6"/>
  <c r="D36" i="6"/>
  <c r="C36" i="6"/>
  <c r="Q35" i="6"/>
  <c r="P35" i="6"/>
  <c r="O35" i="6"/>
  <c r="M35" i="6"/>
  <c r="L35" i="6"/>
  <c r="J35" i="6"/>
  <c r="I35" i="6"/>
  <c r="G35" i="6"/>
  <c r="F35" i="6"/>
  <c r="D35" i="6"/>
  <c r="C35" i="6"/>
  <c r="Q34" i="6"/>
  <c r="P34" i="6"/>
  <c r="O34" i="6"/>
  <c r="M34" i="6"/>
  <c r="L34" i="6"/>
  <c r="J34" i="6"/>
  <c r="I34" i="6"/>
  <c r="G34" i="6"/>
  <c r="F34" i="6"/>
  <c r="D34" i="6"/>
  <c r="S34" i="6" s="1"/>
  <c r="C34" i="6"/>
  <c r="Q33" i="6"/>
  <c r="P33" i="6"/>
  <c r="O33" i="6"/>
  <c r="M33" i="6"/>
  <c r="L33" i="6"/>
  <c r="J33" i="6"/>
  <c r="I33" i="6"/>
  <c r="G33" i="6"/>
  <c r="F33" i="6"/>
  <c r="D33" i="6"/>
  <c r="C33" i="6"/>
  <c r="Q32" i="6"/>
  <c r="P32" i="6"/>
  <c r="O32" i="6"/>
  <c r="M32" i="6"/>
  <c r="L32" i="6"/>
  <c r="R32" i="6" s="1"/>
  <c r="J32" i="6"/>
  <c r="S32" i="6" s="1"/>
  <c r="I32" i="6"/>
  <c r="G32" i="6"/>
  <c r="F32" i="6"/>
  <c r="D32" i="6"/>
  <c r="C32" i="6"/>
  <c r="Q31" i="6"/>
  <c r="P31" i="6"/>
  <c r="O31" i="6"/>
  <c r="M31" i="6"/>
  <c r="L31" i="6"/>
  <c r="J31" i="6"/>
  <c r="I31" i="6"/>
  <c r="G31" i="6"/>
  <c r="F31" i="6"/>
  <c r="D31" i="6"/>
  <c r="C31" i="6"/>
  <c r="Q30" i="6"/>
  <c r="P30" i="6"/>
  <c r="O30" i="6"/>
  <c r="M30" i="6"/>
  <c r="L30" i="6"/>
  <c r="J30" i="6"/>
  <c r="I30" i="6"/>
  <c r="G30" i="6"/>
  <c r="F30" i="6"/>
  <c r="D30" i="6"/>
  <c r="C30" i="6"/>
  <c r="Q29" i="6"/>
  <c r="P29" i="6"/>
  <c r="O29" i="6"/>
  <c r="M29" i="6"/>
  <c r="L29" i="6"/>
  <c r="J29" i="6"/>
  <c r="I29" i="6"/>
  <c r="G29" i="6"/>
  <c r="F29" i="6"/>
  <c r="D29" i="6"/>
  <c r="C29" i="6"/>
  <c r="Q28" i="6"/>
  <c r="P28" i="6"/>
  <c r="O28" i="6"/>
  <c r="M28" i="6"/>
  <c r="L28" i="6"/>
  <c r="J28" i="6"/>
  <c r="I28" i="6"/>
  <c r="G28" i="6"/>
  <c r="F28" i="6"/>
  <c r="D28" i="6"/>
  <c r="S28" i="6" s="1"/>
  <c r="C28" i="6"/>
  <c r="Q27" i="6"/>
  <c r="P27" i="6"/>
  <c r="O27" i="6"/>
  <c r="M27" i="6"/>
  <c r="L27" i="6"/>
  <c r="J27" i="6"/>
  <c r="I27" i="6"/>
  <c r="G27" i="6"/>
  <c r="F27" i="6"/>
  <c r="D27" i="6"/>
  <c r="S27" i="6" s="1"/>
  <c r="C27" i="6"/>
  <c r="R27" i="6" s="1"/>
  <c r="Q25" i="6"/>
  <c r="P25" i="6"/>
  <c r="S25" i="6" s="1"/>
  <c r="O25" i="6"/>
  <c r="M25" i="6"/>
  <c r="L25" i="6"/>
  <c r="J25" i="6"/>
  <c r="I25" i="6"/>
  <c r="G25" i="6"/>
  <c r="F25" i="6"/>
  <c r="D25" i="6"/>
  <c r="C25" i="6"/>
  <c r="Q24" i="6"/>
  <c r="P24" i="6"/>
  <c r="O24" i="6"/>
  <c r="M24" i="6"/>
  <c r="L24" i="6"/>
  <c r="J24" i="6"/>
  <c r="I24" i="6"/>
  <c r="G24" i="6"/>
  <c r="F24" i="6"/>
  <c r="D24" i="6"/>
  <c r="C24" i="6"/>
  <c r="Q23" i="6"/>
  <c r="P23" i="6"/>
  <c r="O23" i="6"/>
  <c r="M23" i="6"/>
  <c r="L23" i="6"/>
  <c r="J23" i="6"/>
  <c r="I23" i="6"/>
  <c r="G23" i="6"/>
  <c r="F23" i="6"/>
  <c r="D23" i="6"/>
  <c r="C23" i="6"/>
  <c r="Q22" i="6"/>
  <c r="P22" i="6"/>
  <c r="O22" i="6"/>
  <c r="M22" i="6"/>
  <c r="L22" i="6"/>
  <c r="J22" i="6"/>
  <c r="I22" i="6"/>
  <c r="G22" i="6"/>
  <c r="F22" i="6"/>
  <c r="D22" i="6"/>
  <c r="C22" i="6"/>
  <c r="R22" i="6" s="1"/>
  <c r="Q21" i="6"/>
  <c r="P21" i="6"/>
  <c r="O21" i="6"/>
  <c r="M21" i="6"/>
  <c r="L21" i="6"/>
  <c r="J21" i="6"/>
  <c r="I21" i="6"/>
  <c r="G21" i="6"/>
  <c r="F21" i="6"/>
  <c r="D21" i="6"/>
  <c r="C21" i="6"/>
  <c r="B20" i="6"/>
  <c r="B39" i="6" s="1"/>
  <c r="P19" i="6"/>
  <c r="O19" i="6"/>
  <c r="O20" i="6" s="1"/>
  <c r="M19" i="6"/>
  <c r="L19" i="6"/>
  <c r="L20" i="6" s="1"/>
  <c r="J19" i="6"/>
  <c r="S19" i="6" s="1"/>
  <c r="I19" i="6"/>
  <c r="G19" i="6"/>
  <c r="F19" i="6"/>
  <c r="D19" i="6"/>
  <c r="C19" i="6"/>
  <c r="N18" i="6"/>
  <c r="O18" i="6" s="1"/>
  <c r="K18" i="6"/>
  <c r="L18" i="6" s="1"/>
  <c r="H18" i="6"/>
  <c r="J18" i="6" s="1"/>
  <c r="E18" i="6"/>
  <c r="F18" i="6" s="1"/>
  <c r="R17" i="6"/>
  <c r="Q17" i="6"/>
  <c r="P17" i="6"/>
  <c r="S17" i="6" s="1"/>
  <c r="O17" i="6"/>
  <c r="M17" i="6"/>
  <c r="L17" i="6"/>
  <c r="J17" i="6"/>
  <c r="I17" i="6"/>
  <c r="G17" i="6"/>
  <c r="F17" i="6"/>
  <c r="D17" i="6"/>
  <c r="C17" i="6"/>
  <c r="Q16" i="6"/>
  <c r="P16" i="6"/>
  <c r="O16" i="6"/>
  <c r="M16" i="6"/>
  <c r="L16" i="6"/>
  <c r="J16" i="6"/>
  <c r="I16" i="6"/>
  <c r="G16" i="6"/>
  <c r="F16" i="6"/>
  <c r="D16" i="6"/>
  <c r="C16" i="6"/>
  <c r="Q15" i="6"/>
  <c r="P15" i="6"/>
  <c r="O15" i="6"/>
  <c r="M15" i="6"/>
  <c r="L15" i="6"/>
  <c r="J15" i="6"/>
  <c r="I15" i="6"/>
  <c r="G15" i="6"/>
  <c r="F15" i="6"/>
  <c r="D15" i="6"/>
  <c r="C15" i="6"/>
  <c r="Q14" i="6"/>
  <c r="P14" i="6"/>
  <c r="O14" i="6"/>
  <c r="M14" i="6"/>
  <c r="L14" i="6"/>
  <c r="J14" i="6"/>
  <c r="I14" i="6"/>
  <c r="G14" i="6"/>
  <c r="F14" i="6"/>
  <c r="D14" i="6"/>
  <c r="C14" i="6"/>
  <c r="Q13" i="6"/>
  <c r="P13" i="6"/>
  <c r="O13" i="6"/>
  <c r="M13" i="6"/>
  <c r="L13" i="6"/>
  <c r="J13" i="6"/>
  <c r="I13" i="6"/>
  <c r="G13" i="6"/>
  <c r="F13" i="6"/>
  <c r="D13" i="6"/>
  <c r="C13" i="6"/>
  <c r="Q12" i="6"/>
  <c r="P12" i="6"/>
  <c r="O12" i="6"/>
  <c r="M12" i="6"/>
  <c r="L12" i="6"/>
  <c r="J12" i="6"/>
  <c r="I12" i="6"/>
  <c r="G12" i="6"/>
  <c r="F12" i="6"/>
  <c r="D12" i="6"/>
  <c r="S12" i="6" s="1"/>
  <c r="C12" i="6"/>
  <c r="Q11" i="6"/>
  <c r="P11" i="6"/>
  <c r="O11" i="6"/>
  <c r="M11" i="6"/>
  <c r="L11" i="6"/>
  <c r="J11" i="6"/>
  <c r="I11" i="6"/>
  <c r="G11" i="6"/>
  <c r="F11" i="6"/>
  <c r="D11" i="6"/>
  <c r="D18" i="6" s="1"/>
  <c r="C11" i="6"/>
  <c r="R11" i="6" s="1"/>
  <c r="Q10" i="6"/>
  <c r="P10" i="6"/>
  <c r="O10" i="6"/>
  <c r="M10" i="6"/>
  <c r="L10" i="6"/>
  <c r="J10" i="6"/>
  <c r="I10" i="6"/>
  <c r="G10" i="6"/>
  <c r="F10" i="6"/>
  <c r="Q9" i="6"/>
  <c r="M9" i="6"/>
  <c r="L9" i="6"/>
  <c r="J9" i="6"/>
  <c r="I9" i="6"/>
  <c r="G9" i="6"/>
  <c r="S9" i="6" s="1"/>
  <c r="F9" i="6"/>
  <c r="R9" i="6" s="1"/>
  <c r="S8" i="6"/>
  <c r="R8" i="6"/>
  <c r="Q8" i="6"/>
  <c r="J8" i="6"/>
  <c r="I8" i="6"/>
  <c r="G8" i="6"/>
  <c r="F8" i="6"/>
  <c r="Q7" i="6"/>
  <c r="G7" i="6"/>
  <c r="S7" i="6" s="1"/>
  <c r="F7" i="6"/>
  <c r="R7" i="6" s="1"/>
  <c r="Q6" i="6"/>
  <c r="G6" i="6"/>
  <c r="S6" i="6" s="1"/>
  <c r="F6" i="6"/>
  <c r="R6" i="6" s="1"/>
  <c r="Q5" i="6"/>
  <c r="G5" i="6"/>
  <c r="S5" i="6" s="1"/>
  <c r="F5" i="6"/>
  <c r="R5" i="6" s="1"/>
  <c r="D20" i="6" l="1"/>
  <c r="D39" i="6" s="1"/>
  <c r="S24" i="6"/>
  <c r="R34" i="6"/>
  <c r="R24" i="6"/>
  <c r="R16" i="6"/>
  <c r="S15" i="6"/>
  <c r="R15" i="6"/>
  <c r="R14" i="6"/>
  <c r="S22" i="6"/>
  <c r="R25" i="6"/>
  <c r="R31" i="6"/>
  <c r="R33" i="6"/>
  <c r="R23" i="6"/>
  <c r="P18" i="6"/>
  <c r="E20" i="6"/>
  <c r="S31" i="6"/>
  <c r="S33" i="6"/>
  <c r="S16" i="6"/>
  <c r="S14" i="6"/>
  <c r="Q18" i="6"/>
  <c r="H20" i="6"/>
  <c r="S30" i="6"/>
  <c r="R35" i="6"/>
  <c r="S13" i="6"/>
  <c r="R21" i="6"/>
  <c r="R29" i="6"/>
  <c r="H39" i="6"/>
  <c r="S23" i="6"/>
  <c r="E39" i="6"/>
  <c r="S21" i="6"/>
  <c r="S29" i="6"/>
  <c r="R13" i="6"/>
  <c r="K20" i="6"/>
  <c r="K39" i="6" s="1"/>
  <c r="R10" i="6"/>
  <c r="S35" i="6"/>
  <c r="R30" i="6"/>
  <c r="S11" i="6"/>
  <c r="S10" i="6"/>
  <c r="R12" i="6"/>
  <c r="R28" i="6"/>
  <c r="Q20" i="6"/>
  <c r="Q39" i="6" s="1"/>
  <c r="F20" i="6"/>
  <c r="F39" i="6" s="1"/>
  <c r="J20" i="6"/>
  <c r="J39" i="6"/>
  <c r="L39" i="6"/>
  <c r="O39" i="6"/>
  <c r="G18" i="6"/>
  <c r="M18" i="6"/>
  <c r="N20" i="6"/>
  <c r="N39" i="6" s="1"/>
  <c r="I18" i="6"/>
  <c r="I20" i="6" s="1"/>
  <c r="R19" i="6"/>
  <c r="P20" i="6" l="1"/>
  <c r="P39" i="6" s="1"/>
  <c r="G20" i="6"/>
  <c r="S18" i="6"/>
  <c r="G39" i="6"/>
  <c r="R18" i="6"/>
  <c r="C20" i="6"/>
  <c r="C39" i="6" s="1"/>
  <c r="M20" i="6"/>
  <c r="M39" i="6" s="1"/>
  <c r="R20" i="6"/>
  <c r="I39" i="6"/>
  <c r="R39" i="6" l="1"/>
  <c r="S20" i="6"/>
  <c r="S39" i="6" s="1"/>
  <c r="S27" i="4" l="1"/>
  <c r="Y4" i="4" l="1"/>
  <c r="Z5" i="4"/>
  <c r="I7" i="4" l="1"/>
  <c r="M7" i="4" s="1"/>
  <c r="R30" i="4" l="1"/>
  <c r="X22" i="4" l="1"/>
  <c r="I8" i="4" l="1"/>
  <c r="G8" i="4" l="1"/>
  <c r="L8" i="4" l="1"/>
  <c r="Q25" i="4" s="1"/>
  <c r="T27" i="4"/>
  <c r="S28" i="4"/>
  <c r="T28" i="4"/>
  <c r="S29" i="4"/>
  <c r="T29" i="4"/>
  <c r="S30" i="4"/>
  <c r="T30" i="4"/>
  <c r="N3" i="4"/>
  <c r="O3" i="4"/>
  <c r="N4" i="4"/>
  <c r="O4" i="4"/>
  <c r="N5" i="4"/>
  <c r="O5" i="4"/>
  <c r="N6" i="4"/>
  <c r="O6" i="4"/>
  <c r="N7" i="4"/>
  <c r="O7" i="4"/>
  <c r="K8" i="4"/>
  <c r="L7" i="4"/>
  <c r="Q7" i="4"/>
  <c r="R7" i="4"/>
  <c r="S7" i="4"/>
  <c r="T7" i="4"/>
  <c r="U7" i="4"/>
  <c r="E8" i="4"/>
  <c r="C7" i="4"/>
  <c r="E7" i="4"/>
  <c r="G7" i="4"/>
  <c r="K7" i="4"/>
  <c r="Y8" i="4"/>
  <c r="Z8" i="4" s="1"/>
  <c r="AA8" i="4" s="1"/>
  <c r="C3" i="4"/>
  <c r="E3" i="4"/>
  <c r="G3" i="4"/>
  <c r="I3" i="4"/>
  <c r="K3" i="4"/>
  <c r="M3" i="4"/>
  <c r="C6" i="4"/>
  <c r="E6" i="4"/>
  <c r="G6" i="4"/>
  <c r="I6" i="4"/>
  <c r="K6" i="4"/>
  <c r="M6" i="4"/>
  <c r="M4" i="4"/>
  <c r="Y5" i="4"/>
  <c r="M5" i="4"/>
  <c r="Y6" i="4"/>
  <c r="Z6" i="4"/>
  <c r="Y7" i="4"/>
  <c r="Z7" i="4"/>
  <c r="X28" i="4"/>
  <c r="L23" i="4"/>
  <c r="G19" i="2"/>
  <c r="G16" i="2"/>
  <c r="G17" i="2"/>
  <c r="G18" i="2"/>
  <c r="G14" i="2"/>
  <c r="G15" i="2"/>
  <c r="D19" i="2"/>
  <c r="C19" i="2"/>
  <c r="D20" i="2"/>
  <c r="E20" i="2"/>
  <c r="E21" i="2"/>
  <c r="F20" i="2"/>
  <c r="F21" i="2"/>
  <c r="D21" i="2"/>
  <c r="G21" i="2"/>
  <c r="G20" i="2"/>
  <c r="F22" i="2"/>
  <c r="F23" i="2"/>
  <c r="F24" i="2"/>
  <c r="F25" i="2"/>
  <c r="D22" i="2"/>
  <c r="D23" i="2"/>
  <c r="D24" i="2"/>
  <c r="B21" i="2"/>
  <c r="B22" i="2"/>
  <c r="B23" i="2"/>
  <c r="B24" i="2"/>
  <c r="B25" i="2"/>
  <c r="B26" i="2"/>
  <c r="R28" i="4"/>
  <c r="R29" i="4"/>
  <c r="L3" i="4"/>
  <c r="F26" i="2"/>
  <c r="F27" i="2"/>
  <c r="AA5" i="4"/>
  <c r="AA6" i="4"/>
  <c r="AA7" i="4"/>
  <c r="L6" i="4"/>
  <c r="L4" i="4"/>
  <c r="Q27" i="4"/>
  <c r="L5" i="4"/>
  <c r="Q28" i="4"/>
  <c r="Q29" i="4"/>
  <c r="Q30" i="4"/>
  <c r="G27" i="2"/>
  <c r="G26" i="2"/>
  <c r="G25" i="2"/>
  <c r="G24" i="2"/>
  <c r="G23" i="2"/>
  <c r="G22" i="2"/>
  <c r="G13" i="2"/>
  <c r="G12" i="2"/>
  <c r="G11" i="2"/>
  <c r="G10" i="2"/>
  <c r="G9" i="2"/>
  <c r="G8" i="2"/>
  <c r="G7" i="2"/>
  <c r="G6" i="2"/>
  <c r="G5" i="2"/>
  <c r="G4" i="2"/>
  <c r="G3" i="2"/>
  <c r="G2" i="2"/>
  <c r="E28" i="1"/>
  <c r="E27" i="1"/>
  <c r="E26" i="1"/>
  <c r="E25" i="1"/>
  <c r="E24" i="1"/>
  <c r="E23" i="1"/>
  <c r="E22" i="1"/>
  <c r="E21" i="1"/>
  <c r="E20" i="1"/>
  <c r="E19" i="1"/>
  <c r="B19" i="1"/>
  <c r="E18" i="1"/>
  <c r="B18" i="1"/>
  <c r="E17" i="1"/>
  <c r="E16" i="1"/>
  <c r="B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U8" i="4" l="1"/>
  <c r="U9" i="4" s="1"/>
  <c r="C8" i="4"/>
  <c r="M8" i="4" s="1"/>
  <c r="R31" i="4" l="1"/>
  <c r="O8" i="4"/>
  <c r="N8" i="4"/>
  <c r="Y9" i="4"/>
  <c r="Z9" i="4" s="1"/>
  <c r="AA9" i="4" s="1"/>
  <c r="R8" i="4"/>
  <c r="R9" i="4" s="1"/>
  <c r="Q31" i="4"/>
  <c r="Q32" i="4" s="1"/>
  <c r="B20" i="1"/>
  <c r="C20" i="1" s="1"/>
  <c r="C21" i="1" s="1"/>
  <c r="T8" i="4"/>
  <c r="T9" i="4" s="1"/>
  <c r="Q8" i="4"/>
  <c r="Q9" i="4" s="1"/>
  <c r="S8" i="4"/>
  <c r="S9" i="4" s="1"/>
  <c r="D20" i="1" l="1"/>
  <c r="F20" i="1" s="1"/>
  <c r="G20" i="1" s="1"/>
  <c r="T25" i="4"/>
  <c r="S25" i="4"/>
  <c r="S31" i="4"/>
  <c r="S32" i="4" s="1"/>
  <c r="T31" i="4"/>
  <c r="T32" i="4" s="1"/>
  <c r="D21" i="1" l="1"/>
  <c r="D22" i="1" s="1"/>
  <c r="C22" i="1"/>
  <c r="H20" i="1"/>
  <c r="C23" i="1" l="1"/>
  <c r="C24" i="1" s="1"/>
  <c r="C25" i="1" s="1"/>
  <c r="C26" i="1" s="1"/>
  <c r="C27" i="1" s="1"/>
  <c r="C28" i="1" s="1"/>
  <c r="C29" i="1" s="1"/>
  <c r="C30" i="1" s="1"/>
  <c r="C31" i="1" s="1"/>
  <c r="C32" i="1" s="1"/>
  <c r="L9" i="4"/>
  <c r="F9" i="4" s="1"/>
  <c r="F21" i="1"/>
  <c r="B9" i="4" l="1"/>
  <c r="D23" i="1"/>
  <c r="L10" i="4"/>
  <c r="F22" i="1"/>
  <c r="H21" i="1"/>
  <c r="G21" i="1"/>
  <c r="J9" i="4"/>
  <c r="D9" i="4"/>
  <c r="H9" i="4"/>
  <c r="G9" i="4"/>
  <c r="I9" i="4" l="1"/>
  <c r="E9" i="4"/>
  <c r="C9" i="4"/>
  <c r="K9" i="4"/>
  <c r="G22" i="1"/>
  <c r="H22" i="1"/>
  <c r="J10" i="4"/>
  <c r="H10" i="4"/>
  <c r="F10" i="4"/>
  <c r="B10" i="4"/>
  <c r="D10" i="4"/>
  <c r="L11" i="4"/>
  <c r="D24" i="1"/>
  <c r="F23" i="1"/>
  <c r="I10" i="4" l="1"/>
  <c r="G10" i="4"/>
  <c r="E10" i="4"/>
  <c r="M9" i="4"/>
  <c r="Y10" i="4" s="1"/>
  <c r="Z10" i="4" s="1"/>
  <c r="C10" i="4"/>
  <c r="K10" i="4"/>
  <c r="L12" i="4"/>
  <c r="D25" i="1"/>
  <c r="F24" i="1"/>
  <c r="H23" i="1"/>
  <c r="G23" i="1"/>
  <c r="J11" i="4"/>
  <c r="B11" i="4"/>
  <c r="D11" i="4"/>
  <c r="H11" i="4"/>
  <c r="F11" i="4"/>
  <c r="AA10" i="4" l="1"/>
  <c r="I11" i="4"/>
  <c r="G11" i="4"/>
  <c r="O9" i="4"/>
  <c r="N9" i="4"/>
  <c r="E11" i="4"/>
  <c r="M10" i="4"/>
  <c r="O10" i="4" s="1"/>
  <c r="C11" i="4"/>
  <c r="K11" i="4"/>
  <c r="H24" i="1"/>
  <c r="G24" i="1"/>
  <c r="L13" i="4"/>
  <c r="F25" i="1"/>
  <c r="D26" i="1"/>
  <c r="J12" i="4"/>
  <c r="D12" i="4"/>
  <c r="F12" i="4"/>
  <c r="H12" i="4"/>
  <c r="B12" i="4"/>
  <c r="I12" i="4" l="1"/>
  <c r="G12" i="4"/>
  <c r="E12" i="4"/>
  <c r="M11" i="4"/>
  <c r="N11" i="4" s="1"/>
  <c r="Y11" i="4"/>
  <c r="Z11" i="4" s="1"/>
  <c r="N10" i="4"/>
  <c r="C12" i="4"/>
  <c r="K12" i="4"/>
  <c r="F26" i="1"/>
  <c r="D27" i="1"/>
  <c r="L14" i="4"/>
  <c r="H25" i="1"/>
  <c r="G25" i="1"/>
  <c r="J13" i="4"/>
  <c r="F13" i="4"/>
  <c r="B13" i="4"/>
  <c r="D13" i="4"/>
  <c r="H13" i="4"/>
  <c r="AA11" i="4" l="1"/>
  <c r="I13" i="4"/>
  <c r="O11" i="4"/>
  <c r="G13" i="4"/>
  <c r="Y12" i="4"/>
  <c r="Z12" i="4" s="1"/>
  <c r="AA12" i="4" s="1"/>
  <c r="E13" i="4"/>
  <c r="M12" i="4"/>
  <c r="N12" i="4" s="1"/>
  <c r="C13" i="4"/>
  <c r="K13" i="4"/>
  <c r="J14" i="4"/>
  <c r="D14" i="4"/>
  <c r="F14" i="4"/>
  <c r="B14" i="4"/>
  <c r="H14" i="4"/>
  <c r="L15" i="4"/>
  <c r="D28" i="1"/>
  <c r="F27" i="1"/>
  <c r="H26" i="1"/>
  <c r="G26" i="1"/>
  <c r="I14" i="4" l="1"/>
  <c r="G14" i="4"/>
  <c r="E14" i="4"/>
  <c r="Y13" i="4"/>
  <c r="Z13" i="4" s="1"/>
  <c r="AA13" i="4" s="1"/>
  <c r="O12" i="4"/>
  <c r="M13" i="4"/>
  <c r="O13" i="4" s="1"/>
  <c r="C14" i="4"/>
  <c r="K14" i="4"/>
  <c r="H27" i="1"/>
  <c r="G27" i="1"/>
  <c r="J15" i="4"/>
  <c r="F15" i="4"/>
  <c r="B15" i="4"/>
  <c r="D15" i="4"/>
  <c r="H15" i="4"/>
  <c r="D29" i="1"/>
  <c r="L16" i="4"/>
  <c r="F28" i="1"/>
  <c r="I15" i="4" l="1"/>
  <c r="G15" i="4"/>
  <c r="E15" i="4"/>
  <c r="M14" i="4"/>
  <c r="O14" i="4" s="1"/>
  <c r="N13" i="4"/>
  <c r="Y14" i="4"/>
  <c r="Z14" i="4" s="1"/>
  <c r="AA14" i="4" s="1"/>
  <c r="C15" i="4"/>
  <c r="K15" i="4"/>
  <c r="H28" i="1"/>
  <c r="G28" i="1"/>
  <c r="J16" i="4"/>
  <c r="D16" i="4"/>
  <c r="F16" i="4"/>
  <c r="H16" i="4"/>
  <c r="B16" i="4"/>
  <c r="L17" i="4"/>
  <c r="F29" i="1"/>
  <c r="D30" i="1"/>
  <c r="I16" i="4" l="1"/>
  <c r="G16" i="4"/>
  <c r="N14" i="4"/>
  <c r="E16" i="4"/>
  <c r="Y15" i="4"/>
  <c r="Z15" i="4"/>
  <c r="AA15" i="4" s="1"/>
  <c r="M15" i="4"/>
  <c r="O15" i="4" s="1"/>
  <c r="C16" i="4"/>
  <c r="K16" i="4"/>
  <c r="H29" i="1"/>
  <c r="G29" i="1"/>
  <c r="L18" i="4"/>
  <c r="F30" i="1"/>
  <c r="D31" i="1"/>
  <c r="D32" i="1" s="1"/>
  <c r="J17" i="4"/>
  <c r="B17" i="4"/>
  <c r="F17" i="4"/>
  <c r="H17" i="4"/>
  <c r="D17" i="4"/>
  <c r="I17" i="4" l="1"/>
  <c r="G17" i="4"/>
  <c r="E17" i="4"/>
  <c r="Y16" i="4"/>
  <c r="Z16" i="4" s="1"/>
  <c r="AA16" i="4" s="1"/>
  <c r="M16" i="4"/>
  <c r="N16" i="4" s="1"/>
  <c r="C17" i="4"/>
  <c r="N15" i="4"/>
  <c r="K17" i="4"/>
  <c r="L19" i="4"/>
  <c r="F31" i="1"/>
  <c r="L20" i="4"/>
  <c r="Q20" i="4" s="1"/>
  <c r="J18" i="4"/>
  <c r="F18" i="4"/>
  <c r="H18" i="4"/>
  <c r="D18" i="4"/>
  <c r="B18" i="4"/>
  <c r="G30" i="1"/>
  <c r="H30" i="1"/>
  <c r="I18" i="4" l="1"/>
  <c r="G18" i="4"/>
  <c r="E18" i="4"/>
  <c r="Y17" i="4"/>
  <c r="Z17" i="4" s="1"/>
  <c r="AA17" i="4" s="1"/>
  <c r="M17" i="4"/>
  <c r="Y18" i="4" s="1"/>
  <c r="O16" i="4"/>
  <c r="C18" i="4"/>
  <c r="K18" i="4"/>
  <c r="F32" i="1"/>
  <c r="H31" i="1"/>
  <c r="G31" i="1"/>
  <c r="J19" i="4"/>
  <c r="F19" i="4"/>
  <c r="H19" i="4"/>
  <c r="B19" i="4"/>
  <c r="D19" i="4"/>
  <c r="I19" i="4" l="1"/>
  <c r="G19" i="4"/>
  <c r="Z18" i="4"/>
  <c r="AA18" i="4" s="1"/>
  <c r="E19" i="4"/>
  <c r="N17" i="4"/>
  <c r="O17" i="4"/>
  <c r="M18" i="4"/>
  <c r="O18" i="4" s="1"/>
  <c r="C19" i="4"/>
  <c r="K19" i="4"/>
  <c r="J20" i="4"/>
  <c r="D20" i="4"/>
  <c r="F20" i="4"/>
  <c r="H20" i="4"/>
  <c r="B20" i="4"/>
  <c r="H32" i="1"/>
  <c r="G32" i="1"/>
  <c r="I20" i="4" l="1"/>
  <c r="G20" i="4"/>
  <c r="N18" i="4"/>
  <c r="Y19" i="4"/>
  <c r="Z19" i="4" s="1"/>
  <c r="AA19" i="4" s="1"/>
  <c r="E20" i="4"/>
  <c r="M19" i="4"/>
  <c r="N19" i="4" s="1"/>
  <c r="C20" i="4"/>
  <c r="K20" i="4"/>
  <c r="Y20" i="4" l="1"/>
  <c r="Z20" i="4" s="1"/>
  <c r="AA20" i="4" s="1"/>
  <c r="O19" i="4"/>
  <c r="M20" i="4"/>
  <c r="Y21" i="4" s="1"/>
  <c r="Z21" i="4" s="1"/>
  <c r="Z22" i="4" l="1"/>
  <c r="Z24" i="4" s="1"/>
  <c r="N20" i="4"/>
  <c r="O20" i="4"/>
  <c r="AA21" i="4"/>
  <c r="AA22" i="4" s="1"/>
  <c r="AA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tc={424CDF11-C71E-4762-B5A9-498203F970D8}</author>
    <author>tc={B7FF838E-54CA-4202-A5E7-761CE16F31DD}</author>
    <author>tc={52774111-091C-457D-9D1D-12536E6371A9}</author>
    <author>tc={67B03FD4-7688-4C33-9030-EF0CE5CB0D51}</author>
    <author>tc={5836BDCB-C5F3-46CE-8B16-E6A96C34A182}</author>
    <author>tc={5AAB4B00-68F6-41DC-A249-3F37F06D1124}</author>
    <author>tc={1893C1B0-9C54-4D30-B58C-724D621583AE}</author>
    <author>tc={3391EE10-D99B-44E7-9683-B74758AE7CA8}</author>
    <author>tc={D9F76C3A-6F65-4985-B688-86DD7B8F6F3C}</author>
    <author>tc={8640D46D-0E84-442A-8861-49B0EE6E5397}</author>
  </authors>
  <commentList>
    <comment ref="B18" authorId="0" shapeId="0" xr:uid="{424CDF11-C71E-4762-B5A9-498203F970D8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not include natural regeneration</t>
      </text>
    </comment>
    <comment ref="B19" authorId="1" shapeId="0" xr:uid="{B7FF838E-54CA-4202-A5E7-761CE16F31DD}">
      <text>
        <t>[Threaded comment]
Your version of Excel allows you to read this threaded comment; however, any edits to it will get removed if the file is opened in a newer version of Excel. Learn more: https://go.microsoft.com/fwlink/?linkid=870924
Comment:
    195,267+Including natural regeneration</t>
      </text>
    </comment>
    <comment ref="D21" authorId="2" shapeId="0" xr:uid="{52774111-091C-457D-9D1D-12536E6371A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Thinning 15%</t>
      </text>
    </comment>
    <comment ref="D27" authorId="3" shapeId="0" xr:uid="{67B03FD4-7688-4C33-9030-EF0CE5CB0D5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Thinning 10%
</t>
      </text>
    </comment>
    <comment ref="D28" authorId="4" shapeId="0" xr:uid="{5836BDCB-C5F3-46CE-8B16-E6A96C34A18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Thinning 10%</t>
      </text>
    </comment>
    <comment ref="D29" authorId="5" shapeId="0" xr:uid="{5AAB4B00-68F6-41DC-A249-3F37F06D112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Thinning 10%</t>
      </text>
    </comment>
    <comment ref="D30" authorId="6" shapeId="0" xr:uid="{1893C1B0-9C54-4D30-B58C-724D621583A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Thinning 10%</t>
      </text>
    </comment>
    <comment ref="D31" authorId="7" shapeId="0" xr:uid="{3391EE10-D99B-44E7-9683-B74758AE7CA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Thinning 10%</t>
      </text>
    </comment>
    <comment ref="B36" authorId="8" shapeId="0" xr:uid="{D9F76C3A-6F65-4985-B688-86DD7B8F6F3C}">
      <text>
        <t>[Threaded comment]
Your version of Excel allows you to read this threaded comment; however, any edits to it will get removed if the file is opened in a newer version of Excel. Learn more: https://go.microsoft.com/fwlink/?linkid=870924
Comment:
    yearly growth data considering thinnings, mortality etc. (observed yearly growth rate)</t>
      </text>
    </comment>
    <comment ref="B37" authorId="9" shapeId="0" xr:uid="{8640D46D-0E84-442A-8861-49B0EE6E5397}">
      <text>
        <t>[Threaded comment]
Your version of Excel allows you to read this threaded comment; however, any edits to it will get removed if the file is opened in a newer version of Excel. Learn more: https://go.microsoft.com/fwlink/?linkid=870924
Comment:
    yearly growth data considering thinnings, mortality etc. (observed yearly growth rate)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tc={0AA815E9-428F-4009-9A69-9C774C98DCA1}</author>
    <author>tc={006F27A0-3542-45AA-A036-65E60C5FA718}</author>
    <author>tc={98BC04C1-E76A-4A8F-BA20-30928158585A}</author>
    <author>tc={DC7E2275-D763-48AD-A98D-464D09DCDBE8}</author>
    <author>tc={C739D64D-5320-4331-9D0E-345376715B36}</author>
    <author>tc={0C776499-C2B7-43B2-9332-8B70D4F2DD70}</author>
    <author>tc={DCE060D8-9B37-496B-8638-D3E24731282C}</author>
    <author>tc={73808243-7300-45FE-8F2F-51AD4ECD48BE}</author>
  </authors>
  <commentList>
    <comment ref="P3" authorId="0" shapeId="0" xr:uid="{0AA815E9-428F-4009-9A69-9C774C98DCA1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to the quantity of carbon removals obtained at the end of the previous monitoring period 175,859 tCO2e (including risk buffer of 20% without SOC)</t>
      </text>
    </comment>
    <comment ref="L7" authorId="1" shapeId="0" xr:uid="{006F27A0-3542-45AA-A036-65E60C5FA7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incl. Nat reg (without SOC)</t>
      </text>
    </comment>
    <comment ref="B8" authorId="2" shapeId="0" xr:uid="{98BC04C1-E76A-4A8F-BA20-30928158585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Values originally linked via SharePoint for internal traceability. For audit submission, values are frozen (paste-as-values). Source workbooks are included in the audit package and indexed in the ‘Supporting documents’ tab.” </t>
      </text>
    </comment>
    <comment ref="D8" authorId="3" shapeId="0" xr:uid="{DC7E2275-D763-48AD-A98D-464D09DCDBE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Values originally linked via SharePoint for internal traceability. For audit submission, values are frozen (paste-as-values). Source workbooks are included in the audit package and indexed in the ‘Supporting documents’ tab.” </t>
      </text>
    </comment>
    <comment ref="F8" authorId="4" shapeId="0" xr:uid="{C739D64D-5320-4331-9D0E-345376715B3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Values originally linked via SharePoint for internal traceability. For audit submission, values are frozen (paste-as-values). Source workbooks are included in the audit package and indexed in the ‘Supporting documents’ tab.” </t>
      </text>
    </comment>
    <comment ref="H8" authorId="5" shapeId="0" xr:uid="{0C776499-C2B7-43B2-9332-8B70D4F2DD7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Values originally linked via SharePoint for internal traceability. For audit submission, values are frozen (paste-as-values). Source workbooks are included in the audit package and indexed in the ‘Supporting documents’ tab.” 
</t>
      </text>
    </comment>
    <comment ref="J8" authorId="6" shapeId="0" xr:uid="{DCE060D8-9B37-496B-8638-D3E24731282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Values originally linked via SharePoint for internal traceability. For audit submission, values are frozen (paste-as-values). Source workbooks are included in the audit package and indexed in the ‘Supporting documents’ tab.” </t>
      </text>
    </comment>
    <comment ref="L8" authorId="7" shapeId="0" xr:uid="{73808243-7300-45FE-8F2F-51AD4ECD48B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incl. Nat reg (without SOC)</t>
      </text>
    </comment>
  </commentList>
</comments>
</file>

<file path=xl/sharedStrings.xml><?xml version="1.0" encoding="utf-8"?>
<sst xmlns="http://schemas.openxmlformats.org/spreadsheetml/2006/main" count="131" uniqueCount="105">
  <si>
    <t>Year</t>
  </si>
  <si>
    <t>Ex-post certificates (inventory based) (tCo2e)</t>
  </si>
  <si>
    <r>
      <t xml:space="preserve">Ex-post estimations + observed growth rate </t>
    </r>
    <r>
      <rPr>
        <sz val="11"/>
        <color theme="0"/>
        <rFont val="Calibri"/>
        <family val="2"/>
        <scheme val="minor"/>
      </rPr>
      <t>23-25 (accumulative) (tCo2e)</t>
    </r>
  </si>
  <si>
    <r>
      <t xml:space="preserve">Ex-post estimations + observed growth rate </t>
    </r>
    <r>
      <rPr>
        <sz val="11"/>
        <color theme="0"/>
        <rFont val="Calibri"/>
        <family val="2"/>
        <scheme val="minor"/>
      </rPr>
      <t xml:space="preserve">23-25 </t>
    </r>
    <r>
      <rPr>
        <b/>
        <sz val="11"/>
        <color theme="0"/>
        <rFont val="Calibri"/>
        <family val="2"/>
        <scheme val="minor"/>
      </rPr>
      <t>minus thining</t>
    </r>
    <r>
      <rPr>
        <sz val="11"/>
        <color theme="0"/>
        <rFont val="Calibri"/>
        <family val="2"/>
        <scheme val="minor"/>
      </rPr>
      <t xml:space="preserve"> (accumulative) (tCo2e)</t>
    </r>
  </si>
  <si>
    <t>Total
SOC accumulative  (tCo2e)</t>
  </si>
  <si>
    <t>Total
accumulative  (incl. SOC)  (tCo2e)</t>
  </si>
  <si>
    <t>Total/year 80%</t>
  </si>
  <si>
    <t>Total/year 20% GS Buffer</t>
  </si>
  <si>
    <t>Observed yearly growth rate</t>
  </si>
  <si>
    <t>23-24 yearly growth rate</t>
  </si>
  <si>
    <t>24-25 yearly growth rate</t>
  </si>
  <si>
    <t>23-25 yearly growth rate</t>
  </si>
  <si>
    <t>PDD, B.6.4 Summary of ex ante estimates of each SDG Impact:</t>
  </si>
  <si>
    <t>project area
El Porvenir</t>
  </si>
  <si>
    <t>project area
El Porvenir + SOC</t>
  </si>
  <si>
    <t>project area San Rafael</t>
  </si>
  <si>
    <t>project area San Rafael + SOC</t>
  </si>
  <si>
    <t>project area La Virgen 1</t>
  </si>
  <si>
    <t>project area La Virgen 1 +SOC</t>
  </si>
  <si>
    <t>project area La Virgen 2</t>
  </si>
  <si>
    <t>project area La Virgen 2 +SOC</t>
  </si>
  <si>
    <t>project area Las Delicias</t>
  </si>
  <si>
    <t>project area Las Delicias +SOC</t>
  </si>
  <si>
    <t>Total/year</t>
  </si>
  <si>
    <t>Total/year incl SOC</t>
  </si>
  <si>
    <t>YEAR</t>
  </si>
  <si>
    <t>BASELINE ESTIMATE (tCo2)</t>
  </si>
  <si>
    <t>Project estimate accumulated (tCo2)</t>
  </si>
  <si>
    <t>PROJECT ESTIMATEe (tco2/year)</t>
  </si>
  <si>
    <t>NET BENEFIT</t>
  </si>
  <si>
    <t>2020
ex-post CO2-fixation</t>
  </si>
  <si>
    <t>% contribution to total Co2-certificates per farm (ex-post)</t>
  </si>
  <si>
    <t>2023
ex-post CO2-fixation</t>
  </si>
  <si>
    <t>El Porvenir</t>
  </si>
  <si>
    <t>San Rafael</t>
  </si>
  <si>
    <t>La Virgen 1</t>
  </si>
  <si>
    <t>La Virgen 2</t>
  </si>
  <si>
    <t>Las Delicias</t>
  </si>
  <si>
    <t>2024
ex-post CO2-fixation</t>
  </si>
  <si>
    <t>2025
ex-post CO2-fixation</t>
  </si>
  <si>
    <t>Long-term Co2 fixation (tCo2e/year)</t>
  </si>
  <si>
    <t>Total</t>
  </si>
  <si>
    <t>Eligible project area (ha)</t>
  </si>
  <si>
    <t>Total number of crediting years</t>
  </si>
  <si>
    <t>Total VER /year</t>
  </si>
  <si>
    <t>Total VER /year (incl SOC)</t>
  </si>
  <si>
    <t>Total VER /year 80%</t>
  </si>
  <si>
    <t>Total VER /year 20% GS Buffer</t>
  </si>
  <si>
    <t>Annual average over the crediting period</t>
  </si>
  <si>
    <t>MP 2021-2025</t>
  </si>
  <si>
    <r>
      <t>Baseline: Non-tree biomass [ t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/ha]</t>
    </r>
  </si>
  <si>
    <r>
      <t>Leakage [t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/ha]</t>
    </r>
  </si>
  <si>
    <r>
      <t>Other Emissions [t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/ha]</t>
    </r>
  </si>
  <si>
    <t>Vintage</t>
  </si>
  <si>
    <t>Las Delicias SOC (tco2)</t>
  </si>
  <si>
    <t>La Virgen 1 SOC (tco2)</t>
  </si>
  <si>
    <t>La Virgen 2  SOC (tco2)</t>
  </si>
  <si>
    <t>San Rafael SOC (tco2)</t>
  </si>
  <si>
    <t>El Porvenir SOC (tco2)</t>
  </si>
  <si>
    <t>Total
SOC accumulative (tco2)</t>
  </si>
  <si>
    <t>File name</t>
  </si>
  <si>
    <t>Version/date</t>
  </si>
  <si>
    <t>Where used (tab + cell)</t>
  </si>
  <si>
    <t>Submitted as separate file</t>
  </si>
  <si>
    <t>Notes</t>
  </si>
  <si>
    <t>25-11-11_GS2913_ElPorvernir_RE.xlsx</t>
  </si>
  <si>
    <t>Tab "Ex-post_&amp;_ex-ante_ER_farms", cell B8</t>
  </si>
  <si>
    <t>Yes</t>
  </si>
  <si>
    <t>Provided in audit package</t>
  </si>
  <si>
    <t>25-11-11_GS2913_SanRafael_RE.xlsx</t>
  </si>
  <si>
    <t>Tab "Ex-post_&amp;_ex-ante_ER_farms", cell D8</t>
  </si>
  <si>
    <t>25-11-11_GS2913_LaVirgen1_RE.xlsx</t>
  </si>
  <si>
    <t>Tab "Ex-post_&amp;_ex-ante_ER_farms", cell F8</t>
  </si>
  <si>
    <t>25-11-11_GS2913_LaVirgen2_RE.xlsx</t>
  </si>
  <si>
    <t>Tab "Ex-post_&amp;_ex-ante_ER_farms", cell H8</t>
  </si>
  <si>
    <t>25-11-11_GS2913_LasDelicias_RE.xlsx</t>
  </si>
  <si>
    <t>Tab "Ex-post_&amp;_ex-ante_ER_farms", cell J8</t>
  </si>
  <si>
    <t>CO2-Certificates</t>
  </si>
  <si>
    <t>project area El Porvenir (new areas)</t>
  </si>
  <si>
    <t>buffer</t>
  </si>
  <si>
    <t>predicted net CO2-fixation</t>
  </si>
  <si>
    <t>present net CO2-fixation</t>
  </si>
  <si>
    <t>balance / shortfalls</t>
  </si>
  <si>
    <t>predicted net CO2-fixation 2025</t>
  </si>
  <si>
    <t>model ID/filename</t>
  </si>
  <si>
    <t>version number</t>
  </si>
  <si>
    <t>revision date</t>
  </si>
  <si>
    <t xml:space="preserve">Author/responsible </t>
  </si>
  <si>
    <t xml:space="preserve">change log </t>
  </si>
  <si>
    <t>26-02-10_GS2913_EX-ANTE&amp;EX-POST_model_v2.1</t>
  </si>
  <si>
    <t>2.1</t>
  </si>
  <si>
    <t>10.02.2026</t>
  </si>
  <si>
    <t>Barbara MSM</t>
  </si>
  <si>
    <t>26-01-20_GS2913_EX-ANTE&amp;EX-POST_model_v2.0</t>
  </si>
  <si>
    <t>2.0</t>
  </si>
  <si>
    <t>20.01.2026</t>
  </si>
  <si>
    <t>Remove cell R26 from table MP 2021-2025 to P3 location. (R26 = Difference to the quantity of carbon removals obtained at the end of the previous monitoring period)</t>
  </si>
  <si>
    <t>26-01-19_GS2913_EX-ANTE&amp;EX-POST_model_v2.0</t>
  </si>
  <si>
    <t>19.01.2026</t>
  </si>
  <si>
    <t>Added tab: "PerfCert2021_C.performance"</t>
  </si>
  <si>
    <t>25-11-11_GS2913_EX-ANTE&amp;EX-POST_model_v2.0</t>
  </si>
  <si>
    <t>11.11.2025</t>
  </si>
  <si>
    <t>Added tab: "Supporting_documents"</t>
  </si>
  <si>
    <t>yearly growth data considering thinnings, mortality etc. (observed yearly growth rate)</t>
  </si>
  <si>
    <t>added "Version Control" tab to the excel sheet. Add notes in tab "Ex-ante_ER_Project_summary" (cells C35:D37)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</si>
</sst>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_-[$$-409]* #,##0_ ;_-[$$-409]* \-#,##0\ ;_-[$$-409]* &quot;-&quot;??_ ;_-@_ 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A6A6A6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FFFF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2" tint="-0.249977111117893"/>
      <name val="Calibri"/>
      <family val="2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color theme="7" tint="-0.499984740745262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10"/>
      <color rgb="FFFFFF00"/>
      <name val="Arial"/>
      <family val="2"/>
    </font>
    <font>
      <sz val="11"/>
      <color rgb="FF00B0F0"/>
      <name val="Calibri"/>
      <family val="2"/>
      <scheme val="minor"/>
    </font>
    <font>
      <sz val="11"/>
      <color rgb="FF00BABE"/>
      <name val="Verdana"/>
      <family val="2"/>
    </font>
    <font>
      <sz val="11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C4BD97"/>
        <bgColor rgb="FFC4BD9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208">
    <xf numFmtId="0" fontId="0" fillId="0" borderId="0" xfId="0"/>
    <xf numFmtId="0" fontId="3" fillId="0" borderId="0" xfId="0" applyFont="1"/>
    <xf numFmtId="3" fontId="0" fillId="0" borderId="0" xfId="0" applyNumberFormat="1"/>
    <xf numFmtId="0" fontId="8" fillId="5" borderId="0" xfId="2" applyFont="1" applyFill="1" applyAlignment="1">
      <alignment wrapText="1"/>
    </xf>
    <xf numFmtId="1" fontId="7" fillId="4" borderId="0" xfId="2" applyNumberFormat="1" applyFont="1" applyFill="1" applyAlignment="1">
      <alignment horizontal="center" vertical="center"/>
    </xf>
    <xf numFmtId="0" fontId="14" fillId="5" borderId="0" xfId="2" applyFont="1" applyFill="1" applyAlignment="1">
      <alignment wrapText="1"/>
    </xf>
    <xf numFmtId="4" fontId="0" fillId="9" borderId="0" xfId="0" applyNumberFormat="1" applyFill="1"/>
    <xf numFmtId="1" fontId="5" fillId="9" borderId="0" xfId="3" applyNumberFormat="1" applyFont="1" applyFill="1" applyAlignment="1">
      <alignment horizontal="center"/>
    </xf>
    <xf numFmtId="0" fontId="0" fillId="10" borderId="0" xfId="0" applyFill="1"/>
    <xf numFmtId="2" fontId="10" fillId="11" borderId="0" xfId="2" applyNumberFormat="1" applyFont="1" applyFill="1"/>
    <xf numFmtId="0" fontId="15" fillId="5" borderId="0" xfId="2" applyFont="1" applyFill="1" applyAlignment="1">
      <alignment horizontal="center" wrapText="1"/>
    </xf>
    <xf numFmtId="0" fontId="15" fillId="5" borderId="0" xfId="2" applyFont="1" applyFill="1" applyAlignment="1">
      <alignment horizontal="center" vertical="center" wrapText="1"/>
    </xf>
    <xf numFmtId="0" fontId="8" fillId="5" borderId="0" xfId="2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6" fillId="0" borderId="5" xfId="0" applyFont="1" applyBorder="1" applyAlignment="1">
      <alignment horizontal="center" vertical="center" wrapText="1"/>
    </xf>
    <xf numFmtId="0" fontId="2" fillId="0" borderId="0" xfId="0" applyFont="1"/>
    <xf numFmtId="9" fontId="0" fillId="0" borderId="0" xfId="1" applyFont="1" applyBorder="1"/>
    <xf numFmtId="3" fontId="16" fillId="12" borderId="4" xfId="0" applyNumberFormat="1" applyFont="1" applyFill="1" applyBorder="1"/>
    <xf numFmtId="3" fontId="0" fillId="0" borderId="5" xfId="0" applyNumberFormat="1" applyBorder="1"/>
    <xf numFmtId="164" fontId="3" fillId="0" borderId="0" xfId="0" applyNumberFormat="1" applyFont="1"/>
    <xf numFmtId="165" fontId="20" fillId="0" borderId="0" xfId="0" applyNumberFormat="1" applyFont="1"/>
    <xf numFmtId="1" fontId="0" fillId="0" borderId="0" xfId="0" applyNumberFormat="1"/>
    <xf numFmtId="0" fontId="2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3" fontId="21" fillId="0" borderId="0" xfId="0" applyNumberFormat="1" applyFont="1"/>
    <xf numFmtId="1" fontId="3" fillId="0" borderId="0" xfId="0" applyNumberFormat="1" applyFont="1"/>
    <xf numFmtId="0" fontId="3" fillId="12" borderId="7" xfId="0" applyFont="1" applyFill="1" applyBorder="1" applyAlignment="1">
      <alignment horizontal="center" wrapText="1"/>
    </xf>
    <xf numFmtId="3" fontId="22" fillId="12" borderId="7" xfId="0" applyNumberFormat="1" applyFont="1" applyFill="1" applyBorder="1"/>
    <xf numFmtId="0" fontId="3" fillId="12" borderId="1" xfId="0" applyFont="1" applyFill="1" applyBorder="1" applyAlignment="1">
      <alignment horizontal="center" wrapText="1"/>
    </xf>
    <xf numFmtId="3" fontId="16" fillId="12" borderId="3" xfId="0" applyNumberFormat="1" applyFont="1" applyFill="1" applyBorder="1"/>
    <xf numFmtId="0" fontId="0" fillId="0" borderId="11" xfId="0" applyBorder="1" applyAlignment="1">
      <alignment horizontal="center"/>
    </xf>
    <xf numFmtId="3" fontId="3" fillId="0" borderId="11" xfId="0" applyNumberFormat="1" applyFont="1" applyBorder="1" applyAlignment="1">
      <alignment horizontal="right"/>
    </xf>
    <xf numFmtId="3" fontId="18" fillId="3" borderId="0" xfId="3" applyNumberFormat="1" applyFont="1" applyFill="1"/>
    <xf numFmtId="3" fontId="4" fillId="2" borderId="0" xfId="0" applyNumberFormat="1" applyFont="1" applyFill="1"/>
    <xf numFmtId="9" fontId="3" fillId="0" borderId="0" xfId="1" applyFont="1" applyBorder="1"/>
    <xf numFmtId="0" fontId="0" fillId="0" borderId="5" xfId="0" applyBorder="1"/>
    <xf numFmtId="0" fontId="0" fillId="0" borderId="9" xfId="0" applyBorder="1"/>
    <xf numFmtId="9" fontId="0" fillId="0" borderId="5" xfId="1" applyFont="1" applyBorder="1"/>
    <xf numFmtId="9" fontId="0" fillId="0" borderId="9" xfId="1" applyFont="1" applyBorder="1"/>
    <xf numFmtId="9" fontId="3" fillId="13" borderId="2" xfId="0" applyNumberFormat="1" applyFont="1" applyFill="1" applyBorder="1"/>
    <xf numFmtId="9" fontId="3" fillId="13" borderId="13" xfId="0" applyNumberFormat="1" applyFont="1" applyFill="1" applyBorder="1"/>
    <xf numFmtId="9" fontId="3" fillId="13" borderId="10" xfId="0" applyNumberFormat="1" applyFont="1" applyFill="1" applyBorder="1"/>
    <xf numFmtId="3" fontId="24" fillId="3" borderId="0" xfId="3" applyNumberFormat="1" applyFont="1" applyFill="1"/>
    <xf numFmtId="3" fontId="17" fillId="12" borderId="3" xfId="0" applyNumberFormat="1" applyFont="1" applyFill="1" applyBorder="1"/>
    <xf numFmtId="1" fontId="10" fillId="8" borderId="0" xfId="2" applyNumberFormat="1" applyFont="1" applyFill="1"/>
    <xf numFmtId="0" fontId="25" fillId="12" borderId="1" xfId="0" applyFont="1" applyFill="1" applyBorder="1" applyAlignment="1">
      <alignment horizontal="center" wrapText="1"/>
    </xf>
    <xf numFmtId="3" fontId="25" fillId="12" borderId="3" xfId="0" applyNumberFormat="1" applyFont="1" applyFill="1" applyBorder="1"/>
    <xf numFmtId="3" fontId="26" fillId="12" borderId="1" xfId="0" applyNumberFormat="1" applyFont="1" applyFill="1" applyBorder="1"/>
    <xf numFmtId="0" fontId="27" fillId="0" borderId="0" xfId="0" applyFont="1" applyAlignment="1">
      <alignment horizontal="center"/>
    </xf>
    <xf numFmtId="3" fontId="27" fillId="0" borderId="0" xfId="0" applyNumberFormat="1" applyFont="1"/>
    <xf numFmtId="3" fontId="0" fillId="9" borderId="0" xfId="0" applyNumberFormat="1" applyFill="1" applyAlignment="1">
      <alignment wrapText="1"/>
    </xf>
    <xf numFmtId="3" fontId="0" fillId="15" borderId="0" xfId="0" applyNumberFormat="1" applyFill="1"/>
    <xf numFmtId="3" fontId="6" fillId="9" borderId="0" xfId="0" applyNumberFormat="1" applyFont="1" applyFill="1"/>
    <xf numFmtId="3" fontId="0" fillId="14" borderId="0" xfId="0" applyNumberFormat="1" applyFill="1" applyAlignment="1">
      <alignment wrapText="1"/>
    </xf>
    <xf numFmtId="0" fontId="0" fillId="16" borderId="0" xfId="0" applyFill="1"/>
    <xf numFmtId="3" fontId="3" fillId="16" borderId="0" xfId="0" applyNumberFormat="1" applyFont="1" applyFill="1"/>
    <xf numFmtId="0" fontId="0" fillId="16" borderId="3" xfId="0" applyFill="1" applyBorder="1"/>
    <xf numFmtId="3" fontId="3" fillId="16" borderId="3" xfId="0" applyNumberFormat="1" applyFont="1" applyFill="1" applyBorder="1"/>
    <xf numFmtId="0" fontId="8" fillId="17" borderId="0" xfId="0" applyFont="1" applyFill="1"/>
    <xf numFmtId="3" fontId="14" fillId="17" borderId="0" xfId="0" applyNumberFormat="1" applyFont="1" applyFill="1"/>
    <xf numFmtId="3" fontId="6" fillId="10" borderId="0" xfId="2" applyNumberFormat="1" applyFont="1" applyFill="1"/>
    <xf numFmtId="3" fontId="10" fillId="11" borderId="0" xfId="2" applyNumberFormat="1" applyFont="1" applyFill="1"/>
    <xf numFmtId="3" fontId="0" fillId="10" borderId="0" xfId="0" applyNumberFormat="1" applyFill="1"/>
    <xf numFmtId="3" fontId="10" fillId="8" borderId="0" xfId="2" applyNumberFormat="1" applyFont="1" applyFill="1"/>
    <xf numFmtId="3" fontId="6" fillId="3" borderId="0" xfId="2" applyNumberFormat="1" applyFont="1" applyFill="1"/>
    <xf numFmtId="3" fontId="10" fillId="6" borderId="0" xfId="2" applyNumberFormat="1" applyFont="1" applyFill="1"/>
    <xf numFmtId="3" fontId="1" fillId="3" borderId="0" xfId="2" applyNumberFormat="1" applyFill="1"/>
    <xf numFmtId="3" fontId="11" fillId="6" borderId="0" xfId="2" applyNumberFormat="1" applyFont="1" applyFill="1"/>
    <xf numFmtId="3" fontId="9" fillId="6" borderId="0" xfId="4" applyNumberFormat="1" applyFont="1" applyFill="1"/>
    <xf numFmtId="3" fontId="0" fillId="9" borderId="0" xfId="0" applyNumberFormat="1" applyFill="1"/>
    <xf numFmtId="3" fontId="7" fillId="4" borderId="0" xfId="2" applyNumberFormat="1" applyFont="1" applyFill="1" applyAlignment="1">
      <alignment horizontal="right" vertical="center"/>
    </xf>
    <xf numFmtId="0" fontId="28" fillId="5" borderId="0" xfId="2" applyFont="1" applyFill="1" applyAlignment="1">
      <alignment horizontal="center" wrapText="1"/>
    </xf>
    <xf numFmtId="0" fontId="14" fillId="5" borderId="0" xfId="2" applyFont="1" applyFill="1" applyAlignment="1">
      <alignment horizontal="center" wrapText="1"/>
    </xf>
    <xf numFmtId="0" fontId="0" fillId="9" borderId="0" xfId="0" applyFill="1"/>
    <xf numFmtId="3" fontId="5" fillId="9" borderId="0" xfId="0" applyNumberFormat="1" applyFont="1" applyFill="1"/>
    <xf numFmtId="3" fontId="29" fillId="6" borderId="0" xfId="2" applyNumberFormat="1" applyFont="1" applyFill="1"/>
    <xf numFmtId="3" fontId="27" fillId="9" borderId="0" xfId="0" applyNumberFormat="1" applyFont="1" applyFill="1" applyAlignment="1">
      <alignment wrapText="1"/>
    </xf>
    <xf numFmtId="0" fontId="27" fillId="9" borderId="0" xfId="0" applyFont="1" applyFill="1"/>
    <xf numFmtId="4" fontId="27" fillId="9" borderId="0" xfId="0" applyNumberFormat="1" applyFont="1" applyFill="1"/>
    <xf numFmtId="3" fontId="27" fillId="14" borderId="0" xfId="0" applyNumberFormat="1" applyFont="1" applyFill="1" applyAlignment="1">
      <alignment wrapText="1"/>
    </xf>
    <xf numFmtId="3" fontId="27" fillId="9" borderId="0" xfId="0" applyNumberFormat="1" applyFont="1" applyFill="1"/>
    <xf numFmtId="0" fontId="27" fillId="10" borderId="0" xfId="0" applyFont="1" applyFill="1"/>
    <xf numFmtId="0" fontId="3" fillId="10" borderId="0" xfId="0" applyFont="1" applyFill="1"/>
    <xf numFmtId="3" fontId="3" fillId="10" borderId="0" xfId="0" applyNumberFormat="1" applyFont="1" applyFill="1"/>
    <xf numFmtId="0" fontId="3" fillId="10" borderId="1" xfId="0" applyFont="1" applyFill="1" applyBorder="1"/>
    <xf numFmtId="3" fontId="3" fillId="10" borderId="3" xfId="0" applyNumberFormat="1" applyFont="1" applyFill="1" applyBorder="1"/>
    <xf numFmtId="3" fontId="0" fillId="9" borderId="3" xfId="0" applyNumberFormat="1" applyFill="1" applyBorder="1" applyAlignment="1">
      <alignment wrapText="1"/>
    </xf>
    <xf numFmtId="3" fontId="0" fillId="9" borderId="3" xfId="0" applyNumberFormat="1" applyFill="1" applyBorder="1"/>
    <xf numFmtId="3" fontId="13" fillId="7" borderId="3" xfId="4" applyNumberFormat="1" applyFont="1" applyFill="1" applyBorder="1" applyAlignment="1">
      <alignment horizontal="right" vertical="center"/>
    </xf>
    <xf numFmtId="3" fontId="0" fillId="14" borderId="6" xfId="0" applyNumberFormat="1" applyFill="1" applyBorder="1" applyAlignment="1">
      <alignment wrapText="1"/>
    </xf>
    <xf numFmtId="0" fontId="17" fillId="10" borderId="0" xfId="0" applyFont="1" applyFill="1" applyAlignment="1">
      <alignment horizontal="center"/>
    </xf>
    <xf numFmtId="3" fontId="30" fillId="9" borderId="3" xfId="0" applyNumberFormat="1" applyFont="1" applyFill="1" applyBorder="1"/>
    <xf numFmtId="3" fontId="32" fillId="9" borderId="3" xfId="0" applyNumberFormat="1" applyFont="1" applyFill="1" applyBorder="1"/>
    <xf numFmtId="3" fontId="31" fillId="9" borderId="0" xfId="3" applyNumberFormat="1" applyFont="1" applyFill="1"/>
    <xf numFmtId="3" fontId="30" fillId="9" borderId="0" xfId="3" applyNumberFormat="1" applyFont="1" applyFill="1"/>
    <xf numFmtId="0" fontId="31" fillId="0" borderId="0" xfId="0" applyFont="1" applyAlignment="1">
      <alignment horizontal="center" wrapText="1"/>
    </xf>
    <xf numFmtId="3" fontId="19" fillId="0" borderId="12" xfId="0" applyNumberFormat="1" applyFont="1" applyBorder="1" applyAlignment="1">
      <alignment horizontal="right"/>
    </xf>
    <xf numFmtId="0" fontId="8" fillId="18" borderId="0" xfId="0" applyFont="1" applyFill="1"/>
    <xf numFmtId="1" fontId="4" fillId="10" borderId="1" xfId="3" applyNumberFormat="1" applyFont="1" applyFill="1" applyBorder="1" applyAlignment="1">
      <alignment horizontal="center"/>
    </xf>
    <xf numFmtId="1" fontId="4" fillId="10" borderId="2" xfId="3" applyNumberFormat="1" applyFont="1" applyFill="1" applyBorder="1" applyAlignment="1">
      <alignment horizontal="center"/>
    </xf>
    <xf numFmtId="3" fontId="0" fillId="16" borderId="0" xfId="0" applyNumberFormat="1" applyFill="1"/>
    <xf numFmtId="3" fontId="4" fillId="20" borderId="0" xfId="0" applyNumberFormat="1" applyFont="1" applyFill="1" applyAlignment="1">
      <alignment horizontal="right"/>
    </xf>
    <xf numFmtId="4" fontId="5" fillId="20" borderId="0" xfId="0" applyNumberFormat="1" applyFont="1" applyFill="1" applyAlignment="1">
      <alignment horizontal="right"/>
    </xf>
    <xf numFmtId="0" fontId="0" fillId="20" borderId="0" xfId="0" applyFill="1" applyAlignment="1">
      <alignment horizontal="center"/>
    </xf>
    <xf numFmtId="3" fontId="0" fillId="20" borderId="0" xfId="0" applyNumberFormat="1" applyFill="1"/>
    <xf numFmtId="4" fontId="5" fillId="20" borderId="0" xfId="0" applyNumberFormat="1" applyFont="1" applyFill="1" applyAlignment="1">
      <alignment horizontal="center"/>
    </xf>
    <xf numFmtId="4" fontId="5" fillId="20" borderId="0" xfId="0" applyNumberFormat="1" applyFont="1" applyFill="1"/>
    <xf numFmtId="0" fontId="0" fillId="20" borderId="0" xfId="0" applyFill="1"/>
    <xf numFmtId="4" fontId="3" fillId="20" borderId="5" xfId="0" applyNumberFormat="1" applyFont="1" applyFill="1" applyBorder="1"/>
    <xf numFmtId="0" fontId="36" fillId="21" borderId="14" xfId="0" applyFont="1" applyFill="1" applyBorder="1" applyAlignment="1">
      <alignment vertical="center" wrapText="1"/>
    </xf>
    <xf numFmtId="2" fontId="38" fillId="22" borderId="15" xfId="0" applyNumberFormat="1" applyFont="1" applyFill="1" applyBorder="1" applyAlignment="1">
      <alignment horizontal="center" vertical="center"/>
    </xf>
    <xf numFmtId="0" fontId="38" fillId="22" borderId="15" xfId="0" applyFont="1" applyFill="1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39" fillId="10" borderId="16" xfId="0" applyFont="1" applyFill="1" applyBorder="1" applyAlignment="1">
      <alignment wrapText="1"/>
    </xf>
    <xf numFmtId="0" fontId="39" fillId="10" borderId="16" xfId="0" applyFont="1" applyFill="1" applyBorder="1" applyAlignment="1">
      <alignment horizontal="center"/>
    </xf>
    <xf numFmtId="0" fontId="39" fillId="10" borderId="16" xfId="0" applyFont="1" applyFill="1" applyBorder="1" applyAlignment="1">
      <alignment horizontal="left" wrapText="1"/>
    </xf>
    <xf numFmtId="0" fontId="3" fillId="10" borderId="0" xfId="0" applyFont="1" applyFill="1" applyAlignment="1">
      <alignment horizontal="left"/>
    </xf>
    <xf numFmtId="0" fontId="40" fillId="0" borderId="0" xfId="0" applyFont="1"/>
    <xf numFmtId="0" fontId="3" fillId="10" borderId="0" xfId="0" applyFont="1" applyFill="1" applyAlignment="1">
      <alignment horizontal="center"/>
    </xf>
    <xf numFmtId="0" fontId="41" fillId="23" borderId="16" xfId="0" applyFont="1" applyFill="1" applyBorder="1" applyAlignment="1">
      <alignment wrapText="1"/>
    </xf>
    <xf numFmtId="0" fontId="41" fillId="23" borderId="0" xfId="0" applyFont="1" applyFill="1"/>
    <xf numFmtId="3" fontId="41" fillId="23" borderId="0" xfId="0" applyNumberFormat="1" applyFont="1" applyFill="1"/>
    <xf numFmtId="3" fontId="42" fillId="23" borderId="0" xfId="0" applyNumberFormat="1" applyFont="1" applyFill="1"/>
    <xf numFmtId="3" fontId="5" fillId="3" borderId="0" xfId="2" applyNumberFormat="1" applyFont="1" applyFill="1"/>
    <xf numFmtId="0" fontId="33" fillId="0" borderId="0" xfId="0" applyFont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" fontId="0" fillId="16" borderId="5" xfId="0" applyNumberFormat="1" applyFill="1" applyBorder="1"/>
    <xf numFmtId="3" fontId="41" fillId="24" borderId="9" xfId="0" applyNumberFormat="1" applyFont="1" applyFill="1" applyBorder="1"/>
    <xf numFmtId="3" fontId="0" fillId="16" borderId="5" xfId="3" applyNumberFormat="1" applyFont="1" applyFill="1" applyBorder="1"/>
    <xf numFmtId="3" fontId="41" fillId="24" borderId="9" xfId="3" applyNumberFormat="1" applyFont="1" applyFill="1" applyBorder="1"/>
    <xf numFmtId="3" fontId="0" fillId="16" borderId="2" xfId="3" applyNumberFormat="1" applyFont="1" applyFill="1" applyBorder="1"/>
    <xf numFmtId="3" fontId="41" fillId="24" borderId="10" xfId="3" applyNumberFormat="1" applyFont="1" applyFill="1" applyBorder="1"/>
    <xf numFmtId="3" fontId="19" fillId="16" borderId="5" xfId="0" applyNumberFormat="1" applyFont="1" applyFill="1" applyBorder="1"/>
    <xf numFmtId="3" fontId="43" fillId="24" borderId="9" xfId="0" applyNumberFormat="1" applyFont="1" applyFill="1" applyBorder="1"/>
    <xf numFmtId="3" fontId="27" fillId="16" borderId="5" xfId="0" applyNumberFormat="1" applyFont="1" applyFill="1" applyBorder="1"/>
    <xf numFmtId="3" fontId="27" fillId="24" borderId="9" xfId="0" applyNumberFormat="1" applyFont="1" applyFill="1" applyBorder="1"/>
    <xf numFmtId="3" fontId="0" fillId="24" borderId="9" xfId="0" applyNumberFormat="1" applyFill="1" applyBorder="1"/>
    <xf numFmtId="0" fontId="34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3" fontId="44" fillId="16" borderId="5" xfId="0" applyNumberFormat="1" applyFont="1" applyFill="1" applyBorder="1"/>
    <xf numFmtId="3" fontId="45" fillId="24" borderId="9" xfId="0" applyNumberFormat="1" applyFont="1" applyFill="1" applyBorder="1"/>
    <xf numFmtId="3" fontId="44" fillId="0" borderId="5" xfId="0" applyNumberFormat="1" applyFont="1" applyBorder="1"/>
    <xf numFmtId="3" fontId="45" fillId="0" borderId="9" xfId="0" applyNumberFormat="1" applyFont="1" applyBorder="1"/>
    <xf numFmtId="3" fontId="46" fillId="16" borderId="5" xfId="0" applyNumberFormat="1" applyFont="1" applyFill="1" applyBorder="1"/>
    <xf numFmtId="3" fontId="47" fillId="24" borderId="9" xfId="0" applyNumberFormat="1" applyFont="1" applyFill="1" applyBorder="1"/>
    <xf numFmtId="0" fontId="3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3" fontId="44" fillId="19" borderId="0" xfId="0" applyNumberFormat="1" applyFont="1" applyFill="1"/>
    <xf numFmtId="3" fontId="44" fillId="19" borderId="2" xfId="0" applyNumberFormat="1" applyFont="1" applyFill="1" applyBorder="1"/>
    <xf numFmtId="3" fontId="44" fillId="23" borderId="10" xfId="0" applyNumberFormat="1" applyFont="1" applyFill="1" applyBorder="1"/>
    <xf numFmtId="0" fontId="16" fillId="16" borderId="1" xfId="0" applyFont="1" applyFill="1" applyBorder="1" applyAlignment="1">
      <alignment horizontal="center" vertical="center" wrapText="1"/>
    </xf>
    <xf numFmtId="0" fontId="16" fillId="24" borderId="6" xfId="0" applyFont="1" applyFill="1" applyBorder="1" applyAlignment="1">
      <alignment horizontal="center" vertical="center" wrapText="1"/>
    </xf>
    <xf numFmtId="14" fontId="0" fillId="0" borderId="0" xfId="0" applyNumberFormat="1"/>
    <xf numFmtId="3" fontId="49" fillId="12" borderId="1" xfId="0" applyNumberFormat="1" applyFont="1" applyFill="1" applyBorder="1"/>
    <xf numFmtId="0" fontId="16" fillId="0" borderId="0" xfId="0" applyFont="1"/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9" fontId="16" fillId="0" borderId="0" xfId="0" applyNumberFormat="1" applyFont="1" applyAlignment="1">
      <alignment horizontal="right" wrapText="1"/>
    </xf>
    <xf numFmtId="9" fontId="2" fillId="0" borderId="0" xfId="1" applyFont="1" applyAlignment="1">
      <alignment horizontal="center" vertical="center" wrapText="1"/>
    </xf>
    <xf numFmtId="3" fontId="50" fillId="3" borderId="0" xfId="0" applyNumberFormat="1" applyFont="1" applyFill="1"/>
    <xf numFmtId="3" fontId="4" fillId="2" borderId="5" xfId="0" applyNumberFormat="1" applyFont="1" applyFill="1" applyBorder="1"/>
    <xf numFmtId="3" fontId="4" fillId="20" borderId="0" xfId="0" applyNumberFormat="1" applyFont="1" applyFill="1"/>
    <xf numFmtId="0" fontId="50" fillId="0" borderId="0" xfId="3" applyFont="1"/>
    <xf numFmtId="3" fontId="50" fillId="0" borderId="0" xfId="3" applyNumberFormat="1" applyFont="1"/>
    <xf numFmtId="3" fontId="50" fillId="3" borderId="0" xfId="3" applyNumberFormat="1" applyFont="1" applyFill="1"/>
    <xf numFmtId="3" fontId="50" fillId="0" borderId="0" xfId="0" applyNumberFormat="1" applyFont="1"/>
    <xf numFmtId="0" fontId="3" fillId="12" borderId="7" xfId="0" applyFont="1" applyFill="1" applyBorder="1" applyAlignment="1">
      <alignment horizontal="center"/>
    </xf>
    <xf numFmtId="3" fontId="0" fillId="12" borderId="4" xfId="0" applyNumberFormat="1" applyFill="1" applyBorder="1"/>
    <xf numFmtId="3" fontId="51" fillId="12" borderId="7" xfId="0" applyNumberFormat="1" applyFont="1" applyFill="1" applyBorder="1"/>
    <xf numFmtId="3" fontId="51" fillId="12" borderId="4" xfId="0" applyNumberFormat="1" applyFont="1" applyFill="1" applyBorder="1"/>
    <xf numFmtId="3" fontId="51" fillId="12" borderId="8" xfId="0" applyNumberFormat="1" applyFont="1" applyFill="1" applyBorder="1"/>
    <xf numFmtId="3" fontId="2" fillId="12" borderId="4" xfId="0" applyNumberFormat="1" applyFont="1" applyFill="1" applyBorder="1"/>
    <xf numFmtId="0" fontId="52" fillId="12" borderId="18" xfId="0" applyFont="1" applyFill="1" applyBorder="1" applyAlignment="1">
      <alignment horizontal="center"/>
    </xf>
    <xf numFmtId="3" fontId="5" fillId="12" borderId="18" xfId="0" applyNumberFormat="1" applyFont="1" applyFill="1" applyBorder="1"/>
    <xf numFmtId="3" fontId="48" fillId="12" borderId="18" xfId="0" applyNumberFormat="1" applyFont="1" applyFill="1" applyBorder="1"/>
    <xf numFmtId="3" fontId="16" fillId="12" borderId="19" xfId="0" applyNumberFormat="1" applyFont="1" applyFill="1" applyBorder="1"/>
    <xf numFmtId="0" fontId="0" fillId="0" borderId="18" xfId="0" applyBorder="1" applyAlignment="1">
      <alignment horizontal="center"/>
    </xf>
    <xf numFmtId="3" fontId="0" fillId="0" borderId="18" xfId="0" applyNumberFormat="1" applyBorder="1" applyAlignment="1">
      <alignment horizontal="right"/>
    </xf>
    <xf numFmtId="3" fontId="3" fillId="2" borderId="19" xfId="0" applyNumberFormat="1" applyFont="1" applyFill="1" applyBorder="1" applyAlignment="1">
      <alignment horizontal="right"/>
    </xf>
    <xf numFmtId="3" fontId="3" fillId="20" borderId="18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4" fontId="0" fillId="0" borderId="0" xfId="0" applyNumberFormat="1" applyAlignment="1">
      <alignment horizontal="right"/>
    </xf>
    <xf numFmtId="4" fontId="0" fillId="0" borderId="5" xfId="0" applyNumberFormat="1" applyBorder="1"/>
    <xf numFmtId="3" fontId="4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4" fillId="12" borderId="1" xfId="0" applyFont="1" applyFill="1" applyBorder="1" applyAlignment="1">
      <alignment horizontal="center"/>
    </xf>
    <xf numFmtId="3" fontId="46" fillId="12" borderId="3" xfId="0" applyNumberFormat="1" applyFont="1" applyFill="1" applyBorder="1"/>
    <xf numFmtId="3" fontId="53" fillId="12" borderId="1" xfId="0" applyNumberFormat="1" applyFont="1" applyFill="1" applyBorder="1"/>
    <xf numFmtId="3" fontId="22" fillId="12" borderId="3" xfId="0" applyNumberFormat="1" applyFont="1" applyFill="1" applyBorder="1"/>
    <xf numFmtId="3" fontId="22" fillId="12" borderId="6" xfId="0" applyNumberFormat="1" applyFont="1" applyFill="1" applyBorder="1"/>
    <xf numFmtId="0" fontId="8" fillId="17" borderId="0" xfId="0" applyFont="1" applyFill="1" applyAlignment="1">
      <alignment horizontal="center"/>
    </xf>
    <xf numFmtId="3" fontId="54" fillId="16" borderId="13" xfId="0" applyNumberFormat="1" applyFont="1" applyFill="1" applyBorder="1" applyAlignment="1">
      <alignment horizontal="left" vertical="top" wrapText="1"/>
    </xf>
    <xf numFmtId="3" fontId="54" fillId="16" borderId="3" xfId="0" applyNumberFormat="1" applyFont="1" applyFill="1" applyBorder="1" applyAlignment="1">
      <alignment horizontal="left" vertical="top" wrapText="1"/>
    </xf>
    <xf numFmtId="0" fontId="17" fillId="10" borderId="0" xfId="0" applyFont="1" applyFill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14" fillId="18" borderId="0" xfId="0" applyFont="1" applyFill="1" applyAlignment="1">
      <alignment horizontal="center"/>
    </xf>
  </cellXfs>
  <cellStyles count="5">
    <cellStyle name="Normal" xfId="0" builtinId="0"/>
    <cellStyle name="Normal 2" xfId="4" xr:uid="{0AE93734-5072-4925-A1ED-B131452B866E}"/>
    <cellStyle name="Normal 2 2" xfId="2" xr:uid="{0F968CA9-BB33-4EE6-A979-B2BEA3575A08}"/>
    <cellStyle name="Normal 3 2" xfId="3" xr:uid="{67DC0413-E1BC-452B-A27D-BD542D0DC327}"/>
    <cellStyle name="Percent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hael Metz" id="{C73CD8C4-B67E-41F7-9240-D2B7B8F9041A}" userId="S::m.metz@bauminvest.de::f7142bb1-6b61-456f-ac7a-d50c15e6efcd" providerId="AD"/>
  <person displayName="Bárbara Magdalena San Martín" id="{36D2D73F-6D8F-4ECB-A9A4-EBD0FE037BA0}" userId="S::b.magdalena@bauminvest.de::65d12445-c2e5-48a5-b0a0-9e525365719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5-09-04T09:11:51.20" personId="{36D2D73F-6D8F-4ECB-A9A4-EBD0FE037BA0}" id="{424CDF11-C71E-4762-B5A9-498203F970D8}">
    <text>Does not include natural regeneration</text>
  </threadedComment>
  <threadedComment ref="B19" dT="2025-09-03T07:50:37.52" personId="{36D2D73F-6D8F-4ECB-A9A4-EBD0FE037BA0}" id="{B7FF838E-54CA-4202-A5E7-761CE16F31DD}">
    <text>195,267+Including natural regeneration</text>
  </threadedComment>
  <threadedComment ref="D21" dT="2025-09-09T09:25:18.80" personId="{36D2D73F-6D8F-4ECB-A9A4-EBD0FE037BA0}" id="{52774111-091C-457D-9D1D-12536E6371A9}">
    <text>Thinning 15%</text>
  </threadedComment>
  <threadedComment ref="D27" dT="2025-09-09T09:25:25.20" personId="{36D2D73F-6D8F-4ECB-A9A4-EBD0FE037BA0}" id="{67B03FD4-7688-4C33-9030-EF0CE5CB0D51}">
    <text xml:space="preserve">Thinning 10%
</text>
  </threadedComment>
  <threadedComment ref="D28" dT="2025-09-09T09:25:33.90" personId="{36D2D73F-6D8F-4ECB-A9A4-EBD0FE037BA0}" id="{5836BDCB-C5F3-46CE-8B16-E6A96C34A182}">
    <text>Thinning 10%</text>
  </threadedComment>
  <threadedComment ref="D29" dT="2025-09-09T09:25:37.63" personId="{36D2D73F-6D8F-4ECB-A9A4-EBD0FE037BA0}" id="{5AAB4B00-68F6-41DC-A249-3F37F06D1124}">
    <text>Thinning 10%</text>
  </threadedComment>
  <threadedComment ref="D30" dT="2025-09-09T09:25:40.98" personId="{36D2D73F-6D8F-4ECB-A9A4-EBD0FE037BA0}" id="{1893C1B0-9C54-4D30-B58C-724D621583AE}">
    <text>Thinning 10%</text>
  </threadedComment>
  <threadedComment ref="D31" dT="2025-09-09T09:25:44.65" personId="{36D2D73F-6D8F-4ECB-A9A4-EBD0FE037BA0}" id="{3391EE10-D99B-44E7-9683-B74758AE7CA8}">
    <text>Thinning 10%</text>
  </threadedComment>
  <threadedComment ref="B36" dT="2025-09-09T09:24:28.79" personId="{36D2D73F-6D8F-4ECB-A9A4-EBD0FE037BA0}" id="{D9F76C3A-6F65-4985-B688-86DD7B8F6F3C}">
    <text>yearly growth data considering thinnings, mortality etc. (observed yearly growth rate)</text>
  </threadedComment>
  <threadedComment ref="B37" dT="2025-09-09T09:24:34.68" personId="{36D2D73F-6D8F-4ECB-A9A4-EBD0FE037BA0}" id="{8640D46D-0E84-442A-8861-49B0EE6E5397}">
    <text>yearly growth data considering thinnings, mortality etc. (observed yearly growth rate)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3" dT="2025-11-13T14:53:07.58" personId="{C73CD8C4-B67E-41F7-9240-D2B7B8F9041A}" id="{0AA815E9-428F-4009-9A69-9C774C98DCA1}">
    <text>Difference to the quantity of carbon removals obtained at the end of the previous monitoring period 175,859 tCO2e (including risk buffer of 20% without SOC)</text>
  </threadedComment>
  <threadedComment ref="L7" dT="2025-09-08T19:57:45.43" personId="{36D2D73F-6D8F-4ECB-A9A4-EBD0FE037BA0}" id="{006F27A0-3542-45AA-A036-65E60C5FA718}">
    <text>incl. Nat reg (without SOC)</text>
  </threadedComment>
  <threadedComment ref="B8" dT="2026-01-14T11:58:10.30" personId="{36D2D73F-6D8F-4ECB-A9A4-EBD0FE037BA0}" id="{98BC04C1-E76A-4A8F-BA20-30928158585A}">
    <text xml:space="preserve">Values originally linked via SharePoint for internal traceability. For audit submission, values are frozen (paste-as-values). Source workbooks are included in the audit package and indexed in the ‘Supporting documents’ tab.” </text>
  </threadedComment>
  <threadedComment ref="D8" dT="2026-01-14T12:30:24.33" personId="{36D2D73F-6D8F-4ECB-A9A4-EBD0FE037BA0}" id="{DC7E2275-D763-48AD-A98D-464D09DCDBE8}">
    <text xml:space="preserve">Values originally linked via SharePoint for internal traceability. For audit submission, values are frozen (paste-as-values). Source workbooks are included in the audit package and indexed in the ‘Supporting documents’ tab.” </text>
  </threadedComment>
  <threadedComment ref="F8" dT="2026-01-14T12:30:29.23" personId="{36D2D73F-6D8F-4ECB-A9A4-EBD0FE037BA0}" id="{C739D64D-5320-4331-9D0E-345376715B36}">
    <text xml:space="preserve">Values originally linked via SharePoint for internal traceability. For audit submission, values are frozen (paste-as-values). Source workbooks are included in the audit package and indexed in the ‘Supporting documents’ tab.” </text>
  </threadedComment>
  <threadedComment ref="H8" dT="2026-01-14T12:31:05.98" personId="{36D2D73F-6D8F-4ECB-A9A4-EBD0FE037BA0}" id="{0C776499-C2B7-43B2-9332-8B70D4F2DD70}">
    <text xml:space="preserve">Values originally linked via SharePoint for internal traceability. For audit submission, values are frozen (paste-as-values). Source workbooks are included in the audit package and indexed in the ‘Supporting documents’ tab.” 
</text>
  </threadedComment>
  <threadedComment ref="J8" dT="2026-01-14T12:12:27.65" personId="{36D2D73F-6D8F-4ECB-A9A4-EBD0FE037BA0}" id="{DCE060D8-9B37-496B-8638-D3E24731282C}">
    <text xml:space="preserve">Values originally linked via SharePoint for internal traceability. For audit submission, values are frozen (paste-as-values). Source workbooks are included in the audit package and indexed in the ‘Supporting documents’ tab.” </text>
  </threadedComment>
  <threadedComment ref="L8" dT="2025-09-08T19:57:51.21" personId="{36D2D73F-6D8F-4ECB-A9A4-EBD0FE037BA0}" id="{73808243-7300-45FE-8F2F-51AD4ECD48BE}">
    <text>incl. Nat reg (without SOC)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40"/>
  <sheetViews>
    <sheetView zoomScale="82" zoomScaleNormal="140" workbookViewId="0">
      <selection activeCell="B36" sqref="B36"/>
    </sheetView>
  </sheetViews>
  <sheetFormatPr defaultColWidth="8.54296875" defaultRowHeight="14.5" x14ac:dyDescent="0.35"/>
  <cols>
    <col min="1" max="1" width="24.36328125" customWidth="1"/>
    <col min="2" max="2" width="17.36328125" customWidth="1"/>
    <col min="3" max="3" width="25.08984375" customWidth="1"/>
    <col min="4" max="4" width="24" customWidth="1"/>
    <col min="5" max="5" width="14.1796875" customWidth="1"/>
    <col min="6" max="6" width="12.36328125" customWidth="1"/>
    <col min="7" max="7" width="11.54296875" customWidth="1"/>
    <col min="8" max="8" width="11.1796875" customWidth="1"/>
  </cols>
  <sheetData>
    <row r="1" spans="1:8" ht="58" x14ac:dyDescent="0.35">
      <c r="A1" s="12" t="s">
        <v>0</v>
      </c>
      <c r="B1" s="3" t="s">
        <v>1</v>
      </c>
      <c r="C1" s="5" t="s">
        <v>2</v>
      </c>
      <c r="D1" s="5" t="s">
        <v>3</v>
      </c>
      <c r="E1" s="74" t="s">
        <v>4</v>
      </c>
      <c r="F1" s="75" t="s">
        <v>5</v>
      </c>
      <c r="G1" s="154" t="s">
        <v>6</v>
      </c>
      <c r="H1" s="155" t="s">
        <v>7</v>
      </c>
    </row>
    <row r="2" spans="1:8" x14ac:dyDescent="0.35">
      <c r="A2" s="84">
        <v>2007</v>
      </c>
      <c r="B2" s="84"/>
      <c r="C2" s="79"/>
      <c r="D2" s="80"/>
      <c r="E2" s="81"/>
      <c r="F2" s="82"/>
      <c r="G2" s="132"/>
      <c r="H2" s="133"/>
    </row>
    <row r="3" spans="1:8" x14ac:dyDescent="0.35">
      <c r="A3" s="84">
        <v>2008</v>
      </c>
      <c r="B3" s="84"/>
      <c r="C3" s="79"/>
      <c r="D3" s="80"/>
      <c r="E3" s="83">
        <f>SOC_summary_farms!G2</f>
        <v>34.344310000000007</v>
      </c>
      <c r="F3" s="82"/>
      <c r="G3" s="132"/>
      <c r="H3" s="133"/>
    </row>
    <row r="4" spans="1:8" x14ac:dyDescent="0.35">
      <c r="A4" s="84">
        <v>2009</v>
      </c>
      <c r="B4" s="84"/>
      <c r="C4" s="79"/>
      <c r="D4" s="80"/>
      <c r="E4" s="83">
        <f>SOC_summary_farms!G3</f>
        <v>68.688620000000014</v>
      </c>
      <c r="F4" s="82"/>
      <c r="G4" s="132"/>
      <c r="H4" s="133"/>
    </row>
    <row r="5" spans="1:8" x14ac:dyDescent="0.35">
      <c r="A5" s="84">
        <v>2010</v>
      </c>
      <c r="B5" s="84"/>
      <c r="C5" s="79"/>
      <c r="D5" s="80"/>
      <c r="E5" s="83">
        <f>SOC_summary_farms!G4</f>
        <v>103.03293000000002</v>
      </c>
      <c r="F5" s="82"/>
      <c r="G5" s="132"/>
      <c r="H5" s="133"/>
    </row>
    <row r="6" spans="1:8" x14ac:dyDescent="0.35">
      <c r="A6" s="84">
        <v>2011</v>
      </c>
      <c r="B6" s="84"/>
      <c r="C6" s="79"/>
      <c r="D6" s="80"/>
      <c r="E6" s="83">
        <f>SOC_summary_farms!G5</f>
        <v>282.86049000000003</v>
      </c>
      <c r="F6" s="82"/>
      <c r="G6" s="132"/>
      <c r="H6" s="133"/>
    </row>
    <row r="7" spans="1:8" x14ac:dyDescent="0.35">
      <c r="A7" s="84">
        <v>2012</v>
      </c>
      <c r="B7" s="84"/>
      <c r="C7" s="79"/>
      <c r="D7" s="80"/>
      <c r="E7" s="83">
        <f>SOC_summary_farms!G6</f>
        <v>462.68805000000003</v>
      </c>
      <c r="F7" s="82"/>
      <c r="G7" s="132"/>
      <c r="H7" s="133"/>
    </row>
    <row r="8" spans="1:8" x14ac:dyDescent="0.35">
      <c r="A8" s="84">
        <v>2013</v>
      </c>
      <c r="B8" s="84"/>
      <c r="C8" s="79"/>
      <c r="D8" s="80"/>
      <c r="E8" s="83">
        <f>SOC_summary_farms!G7</f>
        <v>660.05813499999999</v>
      </c>
      <c r="F8" s="82"/>
      <c r="G8" s="132"/>
      <c r="H8" s="133"/>
    </row>
    <row r="9" spans="1:8" x14ac:dyDescent="0.35">
      <c r="A9" s="84">
        <v>2014</v>
      </c>
      <c r="B9" s="84"/>
      <c r="C9" s="79"/>
      <c r="D9" s="80"/>
      <c r="E9" s="83">
        <f>SOC_summary_farms!G8</f>
        <v>942.60552000000018</v>
      </c>
      <c r="F9" s="82"/>
      <c r="G9" s="132"/>
      <c r="H9" s="133"/>
    </row>
    <row r="10" spans="1:8" x14ac:dyDescent="0.35">
      <c r="A10" s="84">
        <v>2015</v>
      </c>
      <c r="B10" s="84"/>
      <c r="C10" s="79"/>
      <c r="D10" s="80"/>
      <c r="E10" s="83">
        <f>SOC_summary_farms!G9</f>
        <v>1225.1629050000001</v>
      </c>
      <c r="F10" s="82"/>
      <c r="G10" s="132"/>
      <c r="H10" s="133"/>
    </row>
    <row r="11" spans="1:8" x14ac:dyDescent="0.35">
      <c r="A11" s="84">
        <v>2016</v>
      </c>
      <c r="B11" s="84"/>
      <c r="C11" s="79"/>
      <c r="D11" s="80"/>
      <c r="E11" s="83">
        <f>SOC_summary_farms!G10</f>
        <v>1507.71029</v>
      </c>
      <c r="F11" s="82"/>
      <c r="G11" s="132"/>
      <c r="H11" s="133"/>
    </row>
    <row r="12" spans="1:8" x14ac:dyDescent="0.35">
      <c r="A12" s="84">
        <v>2017</v>
      </c>
      <c r="B12" s="84"/>
      <c r="C12" s="79"/>
      <c r="D12" s="80"/>
      <c r="E12" s="83">
        <f>SOC_summary_farms!G11</f>
        <v>1790.2676750000003</v>
      </c>
      <c r="F12" s="82"/>
      <c r="G12" s="132"/>
      <c r="H12" s="133"/>
    </row>
    <row r="13" spans="1:8" x14ac:dyDescent="0.35">
      <c r="A13" s="84">
        <v>2018</v>
      </c>
      <c r="B13" s="84"/>
      <c r="C13" s="79"/>
      <c r="D13" s="80"/>
      <c r="E13" s="83">
        <f>SOC_summary_farms!G12</f>
        <v>2072.8150600000004</v>
      </c>
      <c r="F13" s="82"/>
      <c r="G13" s="132"/>
      <c r="H13" s="133"/>
    </row>
    <row r="14" spans="1:8" x14ac:dyDescent="0.35">
      <c r="A14" s="84">
        <v>2019</v>
      </c>
      <c r="B14" s="84"/>
      <c r="C14" s="79"/>
      <c r="D14" s="80"/>
      <c r="E14" s="83">
        <f>SOC_summary_farms!G13</f>
        <v>2355.3624450000007</v>
      </c>
      <c r="F14" s="82"/>
      <c r="G14" s="132"/>
      <c r="H14" s="133"/>
    </row>
    <row r="15" spans="1:8" x14ac:dyDescent="0.35">
      <c r="A15" s="84">
        <v>2020</v>
      </c>
      <c r="B15" s="84"/>
      <c r="C15" s="79"/>
      <c r="D15" s="80"/>
      <c r="E15" s="83">
        <f>SOC_summary_farms!G14</f>
        <v>2637.9198300000007</v>
      </c>
      <c r="F15" s="82"/>
      <c r="G15" s="132"/>
      <c r="H15" s="133"/>
    </row>
    <row r="16" spans="1:8" x14ac:dyDescent="0.35">
      <c r="A16" s="8">
        <v>2021</v>
      </c>
      <c r="B16" s="65">
        <f>'Ex-post_&amp;_ex-ante_ER_farms'!L3</f>
        <v>175859</v>
      </c>
      <c r="C16" s="53"/>
      <c r="D16" s="76"/>
      <c r="E16" s="77">
        <f>SOC_summary_farms!G15</f>
        <v>2920.4672150000006</v>
      </c>
      <c r="F16" s="56"/>
      <c r="G16" s="132"/>
      <c r="H16" s="133"/>
    </row>
    <row r="17" spans="1:8" x14ac:dyDescent="0.35">
      <c r="A17" s="8">
        <v>2022</v>
      </c>
      <c r="B17" s="8"/>
      <c r="C17" s="53"/>
      <c r="D17" s="76"/>
      <c r="E17" s="77">
        <f>SOC_summary_farms!G16</f>
        <v>3203.0246000000006</v>
      </c>
      <c r="F17" s="56"/>
      <c r="G17" s="132"/>
      <c r="H17" s="133"/>
    </row>
    <row r="18" spans="1:8" x14ac:dyDescent="0.35">
      <c r="A18" s="85">
        <v>2023</v>
      </c>
      <c r="B18" s="86">
        <f>'Ex-post_&amp;_ex-ante_ER_farms'!L6</f>
        <v>170558</v>
      </c>
      <c r="C18" s="53"/>
      <c r="D18" s="76"/>
      <c r="E18" s="77">
        <f>SOC_summary_farms!G17</f>
        <v>3485.5719850000005</v>
      </c>
      <c r="F18" s="56"/>
      <c r="G18" s="132"/>
      <c r="H18" s="133"/>
    </row>
    <row r="19" spans="1:8" x14ac:dyDescent="0.35">
      <c r="A19" s="85">
        <v>2024</v>
      </c>
      <c r="B19" s="86">
        <f>'Ex-post_&amp;_ex-ante_ER_farms'!L7</f>
        <v>198916</v>
      </c>
      <c r="C19" s="53"/>
      <c r="D19" s="76"/>
      <c r="E19" s="77">
        <f>SOC_summary_farms!G18</f>
        <v>3768.1193700000003</v>
      </c>
      <c r="F19" s="56"/>
      <c r="G19" s="132"/>
      <c r="H19" s="133"/>
    </row>
    <row r="20" spans="1:8" ht="18.5" x14ac:dyDescent="0.45">
      <c r="A20" s="87">
        <v>2025</v>
      </c>
      <c r="B20" s="88">
        <f>'Ex-post_&amp;_ex-ante_ER_farms'!L8</f>
        <v>241251.11578050567</v>
      </c>
      <c r="C20" s="89">
        <f>B20</f>
        <v>241251.11578050567</v>
      </c>
      <c r="D20" s="90">
        <f>C20</f>
        <v>241251.11578050567</v>
      </c>
      <c r="E20" s="91">
        <f>SOC_summary_farms!G19</f>
        <v>4050.6767550000004</v>
      </c>
      <c r="F20" s="92">
        <f>D20+E20</f>
        <v>245301.79253550567</v>
      </c>
      <c r="G20" s="136">
        <f>F20*0.8</f>
        <v>196241.43402840453</v>
      </c>
      <c r="H20" s="137">
        <f>F20*0.2</f>
        <v>49060.358507101133</v>
      </c>
    </row>
    <row r="21" spans="1:8" x14ac:dyDescent="0.35">
      <c r="A21" s="8">
        <v>2026</v>
      </c>
      <c r="B21" s="8"/>
      <c r="C21" s="53">
        <f>C20+$B$38</f>
        <v>269598.52487141476</v>
      </c>
      <c r="D21" s="54">
        <f>C21*0.85</f>
        <v>229158.74614070254</v>
      </c>
      <c r="E21" s="77">
        <f>SOC_summary_farms!G20</f>
        <v>4332.4042999999992</v>
      </c>
      <c r="F21" s="56">
        <f t="shared" ref="F21:F32" si="0">D21+E21</f>
        <v>233491.15044070253</v>
      </c>
      <c r="G21" s="132">
        <f>F21*0.8</f>
        <v>186792.92035256204</v>
      </c>
      <c r="H21" s="133">
        <f>F21*0.2</f>
        <v>46698.23008814051</v>
      </c>
    </row>
    <row r="22" spans="1:8" x14ac:dyDescent="0.35">
      <c r="A22" s="8">
        <v>2027</v>
      </c>
      <c r="B22" s="8"/>
      <c r="C22" s="53">
        <f t="shared" ref="C22:C32" si="1">C21+$B$38</f>
        <v>297945.93396232388</v>
      </c>
      <c r="D22" s="72">
        <f>D21+$B$38</f>
        <v>257506.15523161163</v>
      </c>
      <c r="E22" s="77">
        <f>SOC_summary_farms!G21</f>
        <v>4614.9098199999989</v>
      </c>
      <c r="F22" s="56">
        <f t="shared" si="0"/>
        <v>262121.06505161163</v>
      </c>
      <c r="G22" s="132">
        <f t="shared" ref="G22:G31" si="2">F22*0.8</f>
        <v>209696.85204128933</v>
      </c>
      <c r="H22" s="133">
        <f t="shared" ref="H22:H31" si="3">F22*0.2</f>
        <v>52424.213010322332</v>
      </c>
    </row>
    <row r="23" spans="1:8" x14ac:dyDescent="0.35">
      <c r="A23" s="8">
        <v>2028</v>
      </c>
      <c r="B23" s="8"/>
      <c r="C23" s="53">
        <f>C22+$B$38</f>
        <v>326293.34305323299</v>
      </c>
      <c r="D23" s="72">
        <f>D22+$B$38</f>
        <v>285853.56432252075</v>
      </c>
      <c r="E23" s="77">
        <f>SOC_summary_farms!G22</f>
        <v>4176.1848299999992</v>
      </c>
      <c r="F23" s="56">
        <f t="shared" si="0"/>
        <v>290029.74915252073</v>
      </c>
      <c r="G23" s="132">
        <f t="shared" si="2"/>
        <v>232023.7993220166</v>
      </c>
      <c r="H23" s="133">
        <f t="shared" si="3"/>
        <v>58005.949830504149</v>
      </c>
    </row>
    <row r="24" spans="1:8" x14ac:dyDescent="0.35">
      <c r="A24" s="8">
        <v>2029</v>
      </c>
      <c r="B24" s="8"/>
      <c r="C24" s="53">
        <f t="shared" si="1"/>
        <v>354640.75214414211</v>
      </c>
      <c r="D24" s="72">
        <f>D23+$B$38</f>
        <v>314200.97341342986</v>
      </c>
      <c r="E24" s="77">
        <f>SOC_summary_farms!G23</f>
        <v>4424.3460399999994</v>
      </c>
      <c r="F24" s="56">
        <f t="shared" si="0"/>
        <v>318625.31945342984</v>
      </c>
      <c r="G24" s="132">
        <f t="shared" si="2"/>
        <v>254900.25556274387</v>
      </c>
      <c r="H24" s="133">
        <f t="shared" si="3"/>
        <v>63725.063890685968</v>
      </c>
    </row>
    <row r="25" spans="1:8" x14ac:dyDescent="0.35">
      <c r="A25" s="8">
        <v>2030</v>
      </c>
      <c r="B25" s="8"/>
      <c r="C25" s="53">
        <f t="shared" si="1"/>
        <v>382988.16123505123</v>
      </c>
      <c r="D25" s="72">
        <f>D24+$B$38</f>
        <v>342548.38250433898</v>
      </c>
      <c r="E25" s="77">
        <f>SOC_summary_farms!G24</f>
        <v>4672.5072499999987</v>
      </c>
      <c r="F25" s="56">
        <f t="shared" si="0"/>
        <v>347220.889754339</v>
      </c>
      <c r="G25" s="132">
        <f t="shared" si="2"/>
        <v>277776.7118034712</v>
      </c>
      <c r="H25" s="133">
        <f t="shared" si="3"/>
        <v>69444.177950867801</v>
      </c>
    </row>
    <row r="26" spans="1:8" x14ac:dyDescent="0.35">
      <c r="A26" s="8">
        <v>2031</v>
      </c>
      <c r="B26" s="8"/>
      <c r="C26" s="53">
        <f t="shared" si="1"/>
        <v>411335.57032596035</v>
      </c>
      <c r="D26" s="72">
        <f>D25+$B$38</f>
        <v>370895.7915952481</v>
      </c>
      <c r="E26" s="77">
        <f>SOC_summary_farms!G25</f>
        <v>1866.6093750000005</v>
      </c>
      <c r="F26" s="56">
        <f t="shared" si="0"/>
        <v>372762.4009702481</v>
      </c>
      <c r="G26" s="132">
        <f t="shared" si="2"/>
        <v>298209.9207761985</v>
      </c>
      <c r="H26" s="133">
        <f t="shared" si="3"/>
        <v>74552.480194049625</v>
      </c>
    </row>
    <row r="27" spans="1:8" x14ac:dyDescent="0.35">
      <c r="A27" s="8">
        <v>2032</v>
      </c>
      <c r="B27" s="8"/>
      <c r="C27" s="53">
        <f t="shared" si="1"/>
        <v>439682.97941686946</v>
      </c>
      <c r="D27" s="54">
        <f>(D26+$B$38)*0.9</f>
        <v>359318.88061754149</v>
      </c>
      <c r="E27" s="77">
        <f>SOC_summary_farms!G26</f>
        <v>1969.3392000000006</v>
      </c>
      <c r="F27" s="56">
        <f t="shared" si="0"/>
        <v>361288.21981754148</v>
      </c>
      <c r="G27" s="132">
        <f t="shared" si="2"/>
        <v>289030.57585403317</v>
      </c>
      <c r="H27" s="133">
        <f t="shared" si="3"/>
        <v>72257.643963508293</v>
      </c>
    </row>
    <row r="28" spans="1:8" x14ac:dyDescent="0.35">
      <c r="A28" s="8">
        <v>2033</v>
      </c>
      <c r="B28" s="8"/>
      <c r="C28" s="53">
        <f t="shared" si="1"/>
        <v>468030.38850777858</v>
      </c>
      <c r="D28" s="54">
        <f>(D27+$B$38)*0.9</f>
        <v>348899.66073760553</v>
      </c>
      <c r="E28" s="77">
        <f>SOC_summary_farms!G27</f>
        <v>756.73000000000013</v>
      </c>
      <c r="F28" s="56">
        <f t="shared" si="0"/>
        <v>349656.39073760551</v>
      </c>
      <c r="G28" s="132">
        <f t="shared" si="2"/>
        <v>279725.11259008443</v>
      </c>
      <c r="H28" s="133">
        <f t="shared" si="3"/>
        <v>69931.278147521109</v>
      </c>
    </row>
    <row r="29" spans="1:8" x14ac:dyDescent="0.35">
      <c r="A29" s="8">
        <v>2034</v>
      </c>
      <c r="B29" s="8"/>
      <c r="C29" s="53">
        <f t="shared" si="1"/>
        <v>496377.7975986877</v>
      </c>
      <c r="D29" s="54">
        <f>(D28+$B$38)*0.9</f>
        <v>339522.36284566321</v>
      </c>
      <c r="E29" s="6"/>
      <c r="F29" s="56">
        <f t="shared" si="0"/>
        <v>339522.36284566321</v>
      </c>
      <c r="G29" s="132">
        <f t="shared" si="2"/>
        <v>271617.89027653058</v>
      </c>
      <c r="H29" s="133">
        <f t="shared" si="3"/>
        <v>67904.472569132646</v>
      </c>
    </row>
    <row r="30" spans="1:8" x14ac:dyDescent="0.35">
      <c r="A30" s="8">
        <v>2035</v>
      </c>
      <c r="B30" s="8"/>
      <c r="C30" s="53">
        <f t="shared" si="1"/>
        <v>524725.20668959676</v>
      </c>
      <c r="D30" s="54">
        <f>(D29+$B$38)*0.9</f>
        <v>331082.79474291508</v>
      </c>
      <c r="E30" s="6"/>
      <c r="F30" s="56">
        <f t="shared" si="0"/>
        <v>331082.79474291508</v>
      </c>
      <c r="G30" s="132">
        <f t="shared" si="2"/>
        <v>264866.23579433205</v>
      </c>
      <c r="H30" s="133">
        <f t="shared" si="3"/>
        <v>66216.558948583013</v>
      </c>
    </row>
    <row r="31" spans="1:8" x14ac:dyDescent="0.35">
      <c r="A31" s="8">
        <v>2036</v>
      </c>
      <c r="B31" s="8"/>
      <c r="C31" s="53">
        <f t="shared" si="1"/>
        <v>553072.61578050582</v>
      </c>
      <c r="D31" s="54">
        <f>(D30+$B$38)*0.9</f>
        <v>323487.18345044181</v>
      </c>
      <c r="E31" s="6"/>
      <c r="F31" s="56">
        <f t="shared" si="0"/>
        <v>323487.18345044181</v>
      </c>
      <c r="G31" s="132">
        <f t="shared" si="2"/>
        <v>258789.74676035345</v>
      </c>
      <c r="H31" s="133">
        <f t="shared" si="3"/>
        <v>64697.436690088362</v>
      </c>
    </row>
    <row r="32" spans="1:8" x14ac:dyDescent="0.35">
      <c r="A32" s="8">
        <v>2037</v>
      </c>
      <c r="B32" s="8"/>
      <c r="C32" s="53">
        <f t="shared" si="1"/>
        <v>581420.02487141488</v>
      </c>
      <c r="D32" s="72">
        <f>D31+$B$38</f>
        <v>351834.59254135092</v>
      </c>
      <c r="E32" s="6"/>
      <c r="F32" s="56">
        <f t="shared" si="0"/>
        <v>351834.59254135092</v>
      </c>
      <c r="G32" s="134">
        <f>F32*0.8</f>
        <v>281467.67403308075</v>
      </c>
      <c r="H32" s="135">
        <f>F32*0.2</f>
        <v>70366.918508270188</v>
      </c>
    </row>
    <row r="35" spans="1:4" x14ac:dyDescent="0.35">
      <c r="A35" s="200" t="s">
        <v>8</v>
      </c>
      <c r="B35" s="200"/>
      <c r="C35" s="200" t="s">
        <v>64</v>
      </c>
      <c r="D35" s="200"/>
    </row>
    <row r="36" spans="1:4" ht="31.75" customHeight="1" x14ac:dyDescent="0.35">
      <c r="A36" s="57" t="s">
        <v>9</v>
      </c>
      <c r="B36" s="58">
        <v>27909</v>
      </c>
      <c r="C36" s="201" t="s">
        <v>103</v>
      </c>
      <c r="D36" s="201"/>
    </row>
    <row r="37" spans="1:4" ht="28.75" customHeight="1" x14ac:dyDescent="0.35">
      <c r="A37" s="59" t="s">
        <v>10</v>
      </c>
      <c r="B37" s="60">
        <v>28785.818181818184</v>
      </c>
      <c r="C37" s="202" t="s">
        <v>103</v>
      </c>
      <c r="D37" s="202"/>
    </row>
    <row r="38" spans="1:4" x14ac:dyDescent="0.35">
      <c r="A38" s="61" t="s">
        <v>11</v>
      </c>
      <c r="B38" s="62">
        <f>AVERAGE(B36,B37)</f>
        <v>28347.409090909092</v>
      </c>
    </row>
    <row r="40" spans="1:4" x14ac:dyDescent="0.35">
      <c r="B40" s="27"/>
    </row>
  </sheetData>
  <mergeCells count="4">
    <mergeCell ref="A35:B35"/>
    <mergeCell ref="C36:D36"/>
    <mergeCell ref="C37:D37"/>
    <mergeCell ref="C35:D3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B64A-AA33-4EB2-A52E-9D61E8B5F48D}">
  <sheetPr>
    <tabColor theme="9" tint="0.79998168889431442"/>
    <pageSetUpPr fitToPage="1"/>
  </sheetPr>
  <dimension ref="A1:AA67"/>
  <sheetViews>
    <sheetView topLeftCell="A2" zoomScale="110" zoomScaleNormal="110" workbookViewId="0">
      <selection activeCell="Q2" sqref="Q2"/>
    </sheetView>
  </sheetViews>
  <sheetFormatPr defaultColWidth="11.36328125" defaultRowHeight="14.5" x14ac:dyDescent="0.35"/>
  <cols>
    <col min="1" max="1" width="28.54296875" style="13" customWidth="1"/>
    <col min="2" max="3" width="12.1796875" style="13" customWidth="1"/>
    <col min="4" max="5" width="11.1796875" style="13" customWidth="1"/>
    <col min="6" max="7" width="12.1796875" style="13" customWidth="1"/>
    <col min="8" max="9" width="13.36328125" customWidth="1"/>
    <col min="10" max="11" width="14.1796875" customWidth="1"/>
    <col min="12" max="12" width="13" customWidth="1"/>
    <col min="13" max="15" width="14.54296875" customWidth="1"/>
    <col min="16" max="16" width="13.81640625" customWidth="1"/>
    <col min="17" max="17" width="12.54296875" customWidth="1"/>
    <col min="18" max="18" width="22.36328125" customWidth="1"/>
    <col min="19" max="19" width="11.54296875" customWidth="1"/>
    <col min="20" max="20" width="11.81640625" customWidth="1"/>
    <col min="21" max="21" width="12.54296875" customWidth="1"/>
    <col min="22" max="22" width="7.36328125" customWidth="1"/>
    <col min="23" max="23" width="28.36328125" customWidth="1"/>
    <col min="24" max="24" width="12.54296875" customWidth="1"/>
    <col min="25" max="25" width="17" customWidth="1"/>
    <col min="26" max="27" width="19.54296875" customWidth="1"/>
    <col min="255" max="256" width="12.81640625" customWidth="1"/>
    <col min="258" max="258" width="11.36328125" customWidth="1"/>
    <col min="511" max="512" width="12.81640625" customWidth="1"/>
    <col min="514" max="514" width="11.36328125" customWidth="1"/>
    <col min="767" max="768" width="12.81640625" customWidth="1"/>
    <col min="770" max="770" width="11.36328125" customWidth="1"/>
    <col min="1023" max="1024" width="12.81640625" customWidth="1"/>
    <col min="1026" max="1026" width="11.36328125" customWidth="1"/>
    <col min="1279" max="1280" width="12.81640625" customWidth="1"/>
    <col min="1282" max="1282" width="11.36328125" customWidth="1"/>
    <col min="1535" max="1536" width="12.81640625" customWidth="1"/>
    <col min="1538" max="1538" width="11.36328125" customWidth="1"/>
    <col min="1791" max="1792" width="12.81640625" customWidth="1"/>
    <col min="1794" max="1794" width="11.36328125" customWidth="1"/>
    <col min="2047" max="2048" width="12.81640625" customWidth="1"/>
    <col min="2050" max="2050" width="11.36328125" customWidth="1"/>
    <col min="2303" max="2304" width="12.81640625" customWidth="1"/>
    <col min="2306" max="2306" width="11.36328125" customWidth="1"/>
    <col min="2559" max="2560" width="12.81640625" customWidth="1"/>
    <col min="2562" max="2562" width="11.36328125" customWidth="1"/>
    <col min="2815" max="2816" width="12.81640625" customWidth="1"/>
    <col min="2818" max="2818" width="11.36328125" customWidth="1"/>
    <col min="3071" max="3072" width="12.81640625" customWidth="1"/>
    <col min="3074" max="3074" width="11.36328125" customWidth="1"/>
    <col min="3327" max="3328" width="12.81640625" customWidth="1"/>
    <col min="3330" max="3330" width="11.36328125" customWidth="1"/>
    <col min="3583" max="3584" width="12.81640625" customWidth="1"/>
    <col min="3586" max="3586" width="11.36328125" customWidth="1"/>
    <col min="3839" max="3840" width="12.81640625" customWidth="1"/>
    <col min="3842" max="3842" width="11.36328125" customWidth="1"/>
    <col min="4095" max="4096" width="12.81640625" customWidth="1"/>
    <col min="4098" max="4098" width="11.36328125" customWidth="1"/>
    <col min="4351" max="4352" width="12.81640625" customWidth="1"/>
    <col min="4354" max="4354" width="11.36328125" customWidth="1"/>
    <col min="4607" max="4608" width="12.81640625" customWidth="1"/>
    <col min="4610" max="4610" width="11.36328125" customWidth="1"/>
    <col min="4863" max="4864" width="12.81640625" customWidth="1"/>
    <col min="4866" max="4866" width="11.36328125" customWidth="1"/>
    <col min="5119" max="5120" width="12.81640625" customWidth="1"/>
    <col min="5122" max="5122" width="11.36328125" customWidth="1"/>
    <col min="5375" max="5376" width="12.81640625" customWidth="1"/>
    <col min="5378" max="5378" width="11.36328125" customWidth="1"/>
    <col min="5631" max="5632" width="12.81640625" customWidth="1"/>
    <col min="5634" max="5634" width="11.36328125" customWidth="1"/>
    <col min="5887" max="5888" width="12.81640625" customWidth="1"/>
    <col min="5890" max="5890" width="11.36328125" customWidth="1"/>
    <col min="6143" max="6144" width="12.81640625" customWidth="1"/>
    <col min="6146" max="6146" width="11.36328125" customWidth="1"/>
    <col min="6399" max="6400" width="12.81640625" customWidth="1"/>
    <col min="6402" max="6402" width="11.36328125" customWidth="1"/>
    <col min="6655" max="6656" width="12.81640625" customWidth="1"/>
    <col min="6658" max="6658" width="11.36328125" customWidth="1"/>
    <col min="6911" max="6912" width="12.81640625" customWidth="1"/>
    <col min="6914" max="6914" width="11.36328125" customWidth="1"/>
    <col min="7167" max="7168" width="12.81640625" customWidth="1"/>
    <col min="7170" max="7170" width="11.36328125" customWidth="1"/>
    <col min="7423" max="7424" width="12.81640625" customWidth="1"/>
    <col min="7426" max="7426" width="11.36328125" customWidth="1"/>
    <col min="7679" max="7680" width="12.81640625" customWidth="1"/>
    <col min="7682" max="7682" width="11.36328125" customWidth="1"/>
    <col min="7935" max="7936" width="12.81640625" customWidth="1"/>
    <col min="7938" max="7938" width="11.36328125" customWidth="1"/>
    <col min="8191" max="8192" width="12.81640625" customWidth="1"/>
    <col min="8194" max="8194" width="11.36328125" customWidth="1"/>
    <col min="8447" max="8448" width="12.81640625" customWidth="1"/>
    <col min="8450" max="8450" width="11.36328125" customWidth="1"/>
    <col min="8703" max="8704" width="12.81640625" customWidth="1"/>
    <col min="8706" max="8706" width="11.36328125" customWidth="1"/>
    <col min="8959" max="8960" width="12.81640625" customWidth="1"/>
    <col min="8962" max="8962" width="11.36328125" customWidth="1"/>
    <col min="9215" max="9216" width="12.81640625" customWidth="1"/>
    <col min="9218" max="9218" width="11.36328125" customWidth="1"/>
    <col min="9471" max="9472" width="12.81640625" customWidth="1"/>
    <col min="9474" max="9474" width="11.36328125" customWidth="1"/>
    <col min="9727" max="9728" width="12.81640625" customWidth="1"/>
    <col min="9730" max="9730" width="11.36328125" customWidth="1"/>
    <col min="9983" max="9984" width="12.81640625" customWidth="1"/>
    <col min="9986" max="9986" width="11.36328125" customWidth="1"/>
    <col min="10239" max="10240" width="12.81640625" customWidth="1"/>
    <col min="10242" max="10242" width="11.36328125" customWidth="1"/>
    <col min="10495" max="10496" width="12.81640625" customWidth="1"/>
    <col min="10498" max="10498" width="11.36328125" customWidth="1"/>
    <col min="10751" max="10752" width="12.81640625" customWidth="1"/>
    <col min="10754" max="10754" width="11.36328125" customWidth="1"/>
    <col min="11007" max="11008" width="12.81640625" customWidth="1"/>
    <col min="11010" max="11010" width="11.36328125" customWidth="1"/>
    <col min="11263" max="11264" width="12.81640625" customWidth="1"/>
    <col min="11266" max="11266" width="11.36328125" customWidth="1"/>
    <col min="11519" max="11520" width="12.81640625" customWidth="1"/>
    <col min="11522" max="11522" width="11.36328125" customWidth="1"/>
    <col min="11775" max="11776" width="12.81640625" customWidth="1"/>
    <col min="11778" max="11778" width="11.36328125" customWidth="1"/>
    <col min="12031" max="12032" width="12.81640625" customWidth="1"/>
    <col min="12034" max="12034" width="11.36328125" customWidth="1"/>
    <col min="12287" max="12288" width="12.81640625" customWidth="1"/>
    <col min="12290" max="12290" width="11.36328125" customWidth="1"/>
    <col min="12543" max="12544" width="12.81640625" customWidth="1"/>
    <col min="12546" max="12546" width="11.36328125" customWidth="1"/>
    <col min="12799" max="12800" width="12.81640625" customWidth="1"/>
    <col min="12802" max="12802" width="11.36328125" customWidth="1"/>
    <col min="13055" max="13056" width="12.81640625" customWidth="1"/>
    <col min="13058" max="13058" width="11.36328125" customWidth="1"/>
    <col min="13311" max="13312" width="12.81640625" customWidth="1"/>
    <col min="13314" max="13314" width="11.36328125" customWidth="1"/>
    <col min="13567" max="13568" width="12.81640625" customWidth="1"/>
    <col min="13570" max="13570" width="11.36328125" customWidth="1"/>
    <col min="13823" max="13824" width="12.81640625" customWidth="1"/>
    <col min="13826" max="13826" width="11.36328125" customWidth="1"/>
    <col min="14079" max="14080" width="12.81640625" customWidth="1"/>
    <col min="14082" max="14082" width="11.36328125" customWidth="1"/>
    <col min="14335" max="14336" width="12.81640625" customWidth="1"/>
    <col min="14338" max="14338" width="11.36328125" customWidth="1"/>
    <col min="14591" max="14592" width="12.81640625" customWidth="1"/>
    <col min="14594" max="14594" width="11.36328125" customWidth="1"/>
    <col min="14847" max="14848" width="12.81640625" customWidth="1"/>
    <col min="14850" max="14850" width="11.36328125" customWidth="1"/>
    <col min="15103" max="15104" width="12.81640625" customWidth="1"/>
    <col min="15106" max="15106" width="11.36328125" customWidth="1"/>
    <col min="15359" max="15360" width="12.81640625" customWidth="1"/>
    <col min="15362" max="15362" width="11.36328125" customWidth="1"/>
    <col min="15615" max="15616" width="12.81640625" customWidth="1"/>
    <col min="15618" max="15618" width="11.36328125" customWidth="1"/>
    <col min="15871" max="15872" width="12.81640625" customWidth="1"/>
    <col min="15874" max="15874" width="11.36328125" customWidth="1"/>
    <col min="16127" max="16128" width="12.81640625" customWidth="1"/>
    <col min="16130" max="16130" width="11.36328125" customWidth="1"/>
  </cols>
  <sheetData>
    <row r="1" spans="1:27" ht="18.5" x14ac:dyDescent="0.45">
      <c r="D1" s="203"/>
      <c r="E1" s="203"/>
      <c r="F1" s="203"/>
      <c r="G1" s="203"/>
      <c r="H1" s="203"/>
      <c r="I1" s="203"/>
      <c r="J1" s="203"/>
      <c r="K1" s="93"/>
      <c r="W1" s="207" t="s">
        <v>12</v>
      </c>
      <c r="X1" s="207"/>
      <c r="Y1" s="207"/>
      <c r="Z1" s="207"/>
      <c r="AA1" s="207"/>
    </row>
    <row r="2" spans="1:27" s="17" customFormat="1" ht="46.4" customHeight="1" thickBot="1" x14ac:dyDescent="0.4">
      <c r="A2" s="14"/>
      <c r="B2" s="15" t="s">
        <v>13</v>
      </c>
      <c r="C2" s="98" t="s">
        <v>14</v>
      </c>
      <c r="D2" s="15" t="s">
        <v>15</v>
      </c>
      <c r="E2" s="98" t="s">
        <v>16</v>
      </c>
      <c r="F2" s="15" t="s">
        <v>17</v>
      </c>
      <c r="G2" s="98" t="s">
        <v>18</v>
      </c>
      <c r="H2" s="15" t="s">
        <v>19</v>
      </c>
      <c r="I2" s="98" t="s">
        <v>20</v>
      </c>
      <c r="J2" s="15" t="s">
        <v>21</v>
      </c>
      <c r="K2" s="98" t="s">
        <v>22</v>
      </c>
      <c r="L2" s="16" t="s">
        <v>23</v>
      </c>
      <c r="M2" s="127" t="s">
        <v>24</v>
      </c>
      <c r="N2" s="128" t="s">
        <v>6</v>
      </c>
      <c r="O2" s="129" t="s">
        <v>7</v>
      </c>
      <c r="P2"/>
      <c r="Q2" s="2"/>
      <c r="R2"/>
      <c r="S2"/>
      <c r="W2" s="117" t="s">
        <v>25</v>
      </c>
      <c r="X2" s="118" t="s">
        <v>26</v>
      </c>
      <c r="Y2" s="122" t="s">
        <v>27</v>
      </c>
      <c r="Z2" s="116" t="s">
        <v>28</v>
      </c>
      <c r="AA2" s="120" t="s">
        <v>29</v>
      </c>
    </row>
    <row r="3" spans="1:27" ht="33" customHeight="1" x14ac:dyDescent="0.35">
      <c r="A3" s="48" t="s">
        <v>30</v>
      </c>
      <c r="B3" s="49">
        <v>9348</v>
      </c>
      <c r="C3" s="49">
        <f>B3+SOC_summary_farms!F14</f>
        <v>9612.84</v>
      </c>
      <c r="D3" s="49">
        <v>10891</v>
      </c>
      <c r="E3" s="49">
        <f>D3+SOC_summary_farms!E14</f>
        <v>11337.47603</v>
      </c>
      <c r="F3" s="49">
        <v>76428</v>
      </c>
      <c r="G3" s="49">
        <f>F3+SOC_summary_farms!C13</f>
        <v>77228.060085000005</v>
      </c>
      <c r="H3" s="49">
        <v>49803</v>
      </c>
      <c r="I3" s="49">
        <f>49803+SOC_summary_farms!D14</f>
        <v>50368.876850000001</v>
      </c>
      <c r="J3" s="49">
        <v>29389</v>
      </c>
      <c r="K3" s="49">
        <f>J3+SOC_summary_farms!B15</f>
        <v>29925.661124999999</v>
      </c>
      <c r="L3" s="50">
        <f>B3+D3+F3+H3+J3</f>
        <v>175859</v>
      </c>
      <c r="M3" s="30">
        <f>C3+E3+G3+I3+K3</f>
        <v>178472.91408999998</v>
      </c>
      <c r="N3" s="130">
        <f t="shared" ref="N3:N5" si="0">M3*0.8</f>
        <v>142778.33127199998</v>
      </c>
      <c r="O3" s="140">
        <f t="shared" ref="O3:O5" si="1">M3*0.2</f>
        <v>35694.582817999995</v>
      </c>
      <c r="P3" s="72">
        <f>M3-L3</f>
        <v>2613.9140899999766</v>
      </c>
      <c r="W3" s="8"/>
      <c r="X3" s="65">
        <f>X28*L23</f>
        <v>23107.535733333338</v>
      </c>
      <c r="Y3" s="123"/>
      <c r="Z3" s="8"/>
    </row>
    <row r="4" spans="1:27" x14ac:dyDescent="0.35">
      <c r="A4" s="51">
        <v>2021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>
        <f>(($L$6-$L$3)/3)+L3</f>
        <v>174092</v>
      </c>
      <c r="M4" s="52">
        <f>(($M$6-$M$3)/3)+M3</f>
        <v>176988.46480833332</v>
      </c>
      <c r="N4" s="138">
        <f t="shared" si="0"/>
        <v>141590.77184666667</v>
      </c>
      <c r="O4" s="139">
        <f t="shared" si="1"/>
        <v>35397.692961666668</v>
      </c>
      <c r="P4" s="2"/>
      <c r="W4" s="115">
        <v>2020</v>
      </c>
      <c r="X4" s="8"/>
      <c r="Y4" s="124">
        <f>M3</f>
        <v>178472.91408999998</v>
      </c>
      <c r="Z4" s="8"/>
    </row>
    <row r="5" spans="1:27" x14ac:dyDescent="0.35">
      <c r="A5" s="51">
        <v>2022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>
        <f>(($L$6-$L$3)/3)+L4</f>
        <v>172325</v>
      </c>
      <c r="M5" s="52">
        <f>(($M$6-$M$3)/3)+M4</f>
        <v>175504.01552666666</v>
      </c>
      <c r="N5" s="138">
        <f t="shared" si="0"/>
        <v>140403.21242133333</v>
      </c>
      <c r="O5" s="139">
        <f t="shared" si="1"/>
        <v>35100.803105333332</v>
      </c>
      <c r="Q5" s="204" t="s">
        <v>31</v>
      </c>
      <c r="R5" s="205"/>
      <c r="S5" s="205"/>
      <c r="T5" s="205"/>
      <c r="U5" s="206"/>
      <c r="W5" s="115">
        <v>2021</v>
      </c>
      <c r="X5" s="8"/>
      <c r="Y5" s="124">
        <f t="shared" ref="Y5:Y19" si="2">M4</f>
        <v>176988.46480833332</v>
      </c>
      <c r="Z5" s="65">
        <f>Y5-Y4</f>
        <v>-1484.4492816666607</v>
      </c>
      <c r="AA5" s="2">
        <f>Z5</f>
        <v>-1484.4492816666607</v>
      </c>
    </row>
    <row r="6" spans="1:27" ht="29" x14ac:dyDescent="0.35">
      <c r="A6" s="29" t="s">
        <v>32</v>
      </c>
      <c r="B6" s="32">
        <v>16898</v>
      </c>
      <c r="C6" s="94">
        <f>B6++SOC_summary_farms!F17</f>
        <v>17276.34</v>
      </c>
      <c r="D6" s="32">
        <v>9404</v>
      </c>
      <c r="E6" s="94">
        <f>D6+SOC_summary_farms!E17</f>
        <v>9953.5089599999992</v>
      </c>
      <c r="F6" s="19">
        <v>71915</v>
      </c>
      <c r="G6" s="94">
        <f>F6+SOC_summary_farms!C16</f>
        <v>72981.746780000001</v>
      </c>
      <c r="H6" s="19">
        <v>41214</v>
      </c>
      <c r="I6" s="94">
        <f>41214+SOC_summary_farms!D17</f>
        <v>41949.639905000004</v>
      </c>
      <c r="J6" s="19">
        <v>31127</v>
      </c>
      <c r="K6" s="94">
        <f>J6+SOC_summary_farms!B18</f>
        <v>31858.330600000001</v>
      </c>
      <c r="L6" s="30">
        <f t="shared" ref="L6:M7" si="3">B6+D6+F6+H6+J6</f>
        <v>170558</v>
      </c>
      <c r="M6" s="30">
        <f t="shared" si="3"/>
        <v>174019.56624499999</v>
      </c>
      <c r="N6" s="130">
        <f>M6*0.8</f>
        <v>139215.65299599999</v>
      </c>
      <c r="O6" s="131">
        <f>M6*0.2</f>
        <v>34803.913248999997</v>
      </c>
      <c r="Q6" s="38" t="s">
        <v>33</v>
      </c>
      <c r="R6" t="s">
        <v>34</v>
      </c>
      <c r="S6" t="s">
        <v>35</v>
      </c>
      <c r="T6" t="s">
        <v>36</v>
      </c>
      <c r="U6" s="39" t="s">
        <v>37</v>
      </c>
      <c r="W6" s="115">
        <v>2022</v>
      </c>
      <c r="X6" s="8"/>
      <c r="Y6" s="124">
        <f t="shared" ref="Y6:Y11" si="4">M5</f>
        <v>175504.01552666666</v>
      </c>
      <c r="Z6" s="65">
        <f t="shared" ref="Z6:Z20" si="5">Y6-Y5</f>
        <v>-1484.4492816666607</v>
      </c>
      <c r="AA6" s="2">
        <f t="shared" ref="AA6:AA20" si="6">Z6</f>
        <v>-1484.4492816666607</v>
      </c>
    </row>
    <row r="7" spans="1:27" ht="29" x14ac:dyDescent="0.35">
      <c r="A7" s="29" t="s">
        <v>38</v>
      </c>
      <c r="B7" s="32">
        <v>22542</v>
      </c>
      <c r="C7" s="94">
        <f>B7++SOC_summary_farms!F18</f>
        <v>22958.17</v>
      </c>
      <c r="D7" s="32">
        <v>12283</v>
      </c>
      <c r="E7" s="94">
        <f>D7+SOC_summary_farms!E18</f>
        <v>12866.85327</v>
      </c>
      <c r="F7" s="19">
        <v>78806</v>
      </c>
      <c r="G7" s="94">
        <f>F7+SOC_summary_farms!C17</f>
        <v>79961.642345</v>
      </c>
      <c r="H7" s="19">
        <v>46533</v>
      </c>
      <c r="I7" s="94">
        <f>46533+SOC_summary_farms!D18</f>
        <v>47325.227590000002</v>
      </c>
      <c r="J7" s="32">
        <v>38752</v>
      </c>
      <c r="K7" s="94">
        <f>J7+SOC_summary_farms!B19</f>
        <v>39548.220425</v>
      </c>
      <c r="L7" s="30">
        <f t="shared" si="3"/>
        <v>198916</v>
      </c>
      <c r="M7" s="30">
        <f>C7+E7+G7+I7+K7</f>
        <v>202660.11363000001</v>
      </c>
      <c r="N7" s="130">
        <f>M7*0.8</f>
        <v>162128.09090400001</v>
      </c>
      <c r="O7" s="131">
        <f>M7*0.2</f>
        <v>40532.022726000003</v>
      </c>
      <c r="Q7" s="40">
        <f>B7/$L7</f>
        <v>0.11332421725753584</v>
      </c>
      <c r="R7" s="18">
        <f>D7/L7</f>
        <v>6.1749683283396008E-2</v>
      </c>
      <c r="S7" s="37">
        <f>F7/$L7</f>
        <v>0.3961772808622735</v>
      </c>
      <c r="T7" s="37">
        <f>H7/$L7</f>
        <v>0.23393291640692554</v>
      </c>
      <c r="U7" s="41">
        <f>J7/$L7</f>
        <v>0.19481590218986908</v>
      </c>
      <c r="W7" s="115">
        <v>2023</v>
      </c>
      <c r="X7" s="8"/>
      <c r="Y7" s="124">
        <f t="shared" si="4"/>
        <v>174019.56624499999</v>
      </c>
      <c r="Z7" s="65">
        <f t="shared" si="5"/>
        <v>-1484.4492816666607</v>
      </c>
      <c r="AA7" s="2">
        <f t="shared" si="6"/>
        <v>-1484.4492816666607</v>
      </c>
    </row>
    <row r="8" spans="1:27" ht="30" x14ac:dyDescent="0.45">
      <c r="A8" s="31" t="s">
        <v>39</v>
      </c>
      <c r="B8" s="46">
        <v>31814.077830094404</v>
      </c>
      <c r="C8" s="95">
        <f>B8++SOC_summary_farms!F19</f>
        <v>32268.087830094402</v>
      </c>
      <c r="D8" s="46">
        <v>18216.180926282748</v>
      </c>
      <c r="E8" s="95">
        <f>D8+SOC_summary_farms!E19</f>
        <v>18834.378506282748</v>
      </c>
      <c r="F8" s="46">
        <v>92897.796884610245</v>
      </c>
      <c r="G8" s="95">
        <f>F8+SOC_summary_farms!C19</f>
        <v>94231.230359610243</v>
      </c>
      <c r="H8" s="46">
        <v>53259.439581517458</v>
      </c>
      <c r="I8" s="95">
        <f>H8+SOC_summary_farms!D19</f>
        <v>54108.254856517458</v>
      </c>
      <c r="J8" s="46">
        <v>45063.620558000803</v>
      </c>
      <c r="K8" s="95">
        <f>J8+SOC_summary_farms!B19</f>
        <v>45859.840983000802</v>
      </c>
      <c r="L8" s="157">
        <f>B8+D8+F8+H8+J8</f>
        <v>241251.11578050567</v>
      </c>
      <c r="M8" s="157">
        <f>C8+E8+G8+I8+K8</f>
        <v>245301.79253550567</v>
      </c>
      <c r="N8" s="136">
        <f>M8*0.8</f>
        <v>196241.43402840453</v>
      </c>
      <c r="O8" s="137">
        <f>M8*0.2</f>
        <v>49060.358507101133</v>
      </c>
      <c r="Q8" s="40">
        <f>B8/$L8</f>
        <v>0.13187121529849996</v>
      </c>
      <c r="R8" s="18">
        <f>D8/L8</f>
        <v>7.5507136484525672E-2</v>
      </c>
      <c r="S8" s="37">
        <f>F8/$L8</f>
        <v>0.38506680718994157</v>
      </c>
      <c r="T8" s="37">
        <f>H8/$L8</f>
        <v>0.22076349536958739</v>
      </c>
      <c r="U8" s="41">
        <f>J8/$L8</f>
        <v>0.18679134565744535</v>
      </c>
      <c r="W8" s="115">
        <v>2024</v>
      </c>
      <c r="X8" s="8"/>
      <c r="Y8" s="124">
        <f t="shared" si="4"/>
        <v>202660.11363000001</v>
      </c>
      <c r="Z8" s="65">
        <f t="shared" si="5"/>
        <v>28640.547385000013</v>
      </c>
      <c r="AA8" s="2">
        <f t="shared" si="6"/>
        <v>28640.547385000013</v>
      </c>
    </row>
    <row r="9" spans="1:27" ht="20.149999999999999" customHeight="1" x14ac:dyDescent="0.35">
      <c r="A9" s="13">
        <v>2026</v>
      </c>
      <c r="B9" s="35">
        <f>$Q$9*L9</f>
        <v>28094.338941984181</v>
      </c>
      <c r="C9" s="96">
        <f>B9++SOC_summary_farms!F20</f>
        <v>28586.188941984179</v>
      </c>
      <c r="D9" s="35">
        <f>$R$9*$L9</f>
        <v>15726.800358638662</v>
      </c>
      <c r="E9" s="96">
        <f>D9+SOC_summary_farms!E20</f>
        <v>16379.342248638663</v>
      </c>
      <c r="F9" s="35">
        <f>$S$9*$L9</f>
        <v>89514.45782394112</v>
      </c>
      <c r="G9" s="96">
        <f>F9+SOC_summary_farms!C20</f>
        <v>90935.957023941126</v>
      </c>
      <c r="H9" s="35">
        <f>$T$9*$L9</f>
        <v>52098.829798691135</v>
      </c>
      <c r="I9" s="96">
        <f>H9+SOC_summary_farms!D20</f>
        <v>53004.232758691134</v>
      </c>
      <c r="J9" s="35">
        <f>$U$9*$L9</f>
        <v>43724.319217447439</v>
      </c>
      <c r="K9" s="96">
        <f>J9+SOC_summary_farms!B20</f>
        <v>44585.429467447437</v>
      </c>
      <c r="L9" s="36">
        <f>'Ex-ante_ER_Project_summary'!D21</f>
        <v>229158.74614070254</v>
      </c>
      <c r="M9" s="96">
        <f t="shared" ref="M9:M20" si="7">C9+E9+G9+I9+K9</f>
        <v>233491.15044070256</v>
      </c>
      <c r="N9" s="132">
        <f>M9*0.8</f>
        <v>186792.92035256207</v>
      </c>
      <c r="O9" s="133">
        <f>M9*0.2</f>
        <v>46698.230088140517</v>
      </c>
      <c r="Q9" s="42">
        <f>AVERAGE(Q7:Q8)</f>
        <v>0.12259771627801791</v>
      </c>
      <c r="R9" s="43">
        <f>AVERAGE(R7:R8)</f>
        <v>6.8628409883960836E-2</v>
      </c>
      <c r="S9" s="43">
        <f>AVERAGE(S7:S8)</f>
        <v>0.39062204402610756</v>
      </c>
      <c r="T9" s="43">
        <f>AVERAGE(T7:T8)</f>
        <v>0.22734820588825647</v>
      </c>
      <c r="U9" s="44">
        <f>AVERAGE(U7:U8)</f>
        <v>0.19080362392365721</v>
      </c>
      <c r="W9" s="115">
        <v>2025</v>
      </c>
      <c r="X9" s="8"/>
      <c r="Y9" s="125">
        <f t="shared" si="4"/>
        <v>245301.79253550567</v>
      </c>
      <c r="Z9" s="65">
        <f t="shared" si="5"/>
        <v>42641.678905505658</v>
      </c>
      <c r="AA9" s="2">
        <f t="shared" si="6"/>
        <v>42641.678905505658</v>
      </c>
    </row>
    <row r="10" spans="1:27" x14ac:dyDescent="0.35">
      <c r="A10" s="13">
        <v>2027</v>
      </c>
      <c r="B10" s="35">
        <f t="shared" ref="B10:B20" si="8">$Q$9*L10</f>
        <v>31569.666558928358</v>
      </c>
      <c r="C10" s="96">
        <f>B10++SOC_summary_farms!F21</f>
        <v>32099.356558928357</v>
      </c>
      <c r="D10" s="35">
        <f t="shared" ref="D10:D20" si="9">$R$9*$L10</f>
        <v>17672.237968877889</v>
      </c>
      <c r="E10" s="96">
        <f>D10+SOC_summary_farms!E21</f>
        <v>18359.12416887789</v>
      </c>
      <c r="F10" s="35">
        <f t="shared" ref="F10:F20" si="10">$S$9*$L10</f>
        <v>100587.58070587629</v>
      </c>
      <c r="G10" s="96">
        <f>F10+SOC_summary_farms!C21</f>
        <v>102097.92360587629</v>
      </c>
      <c r="H10" s="35">
        <f t="shared" ref="H10:H20" si="11">$T$9*$L10</f>
        <v>58543.562397089772</v>
      </c>
      <c r="I10" s="96">
        <f>H10+SOC_summary_farms!D21</f>
        <v>59505.55304208977</v>
      </c>
      <c r="J10" s="35">
        <f t="shared" ref="J10:J20" si="12">$U$9*$L10</f>
        <v>49133.107600839321</v>
      </c>
      <c r="K10" s="96">
        <f>J10+SOC_summary_farms!B21</f>
        <v>50059.107675839317</v>
      </c>
      <c r="L10" s="36">
        <f>'Ex-ante_ER_Project_summary'!D22</f>
        <v>257506.15523161163</v>
      </c>
      <c r="M10" s="96">
        <f t="shared" si="7"/>
        <v>262121.06505161163</v>
      </c>
      <c r="N10" s="132">
        <f t="shared" ref="N10:N20" si="13">M10*0.8</f>
        <v>209696.85204128933</v>
      </c>
      <c r="O10" s="133">
        <f t="shared" ref="O10:O20" si="14">M10*0.2</f>
        <v>52424.213010322332</v>
      </c>
      <c r="W10" s="115">
        <v>2026</v>
      </c>
      <c r="X10" s="8"/>
      <c r="Y10" s="124">
        <f t="shared" si="4"/>
        <v>233491.15044070256</v>
      </c>
      <c r="Z10" s="65">
        <f>Y10-Y9</f>
        <v>-11810.642094803101</v>
      </c>
      <c r="AA10" s="2">
        <f t="shared" si="6"/>
        <v>-11810.642094803101</v>
      </c>
    </row>
    <row r="11" spans="1:27" x14ac:dyDescent="0.35">
      <c r="A11" s="13">
        <v>2028</v>
      </c>
      <c r="B11" s="35">
        <f t="shared" si="8"/>
        <v>35044.99417587254</v>
      </c>
      <c r="C11" s="96">
        <f>B11++SOC_summary_farms!F22</f>
        <v>35612.524175872539</v>
      </c>
      <c r="D11" s="35">
        <f t="shared" si="9"/>
        <v>19617.675579117116</v>
      </c>
      <c r="E11" s="96">
        <f>D11+SOC_summary_farms!E22</f>
        <v>19617.675579117116</v>
      </c>
      <c r="F11" s="35">
        <f t="shared" si="10"/>
        <v>111660.70358781147</v>
      </c>
      <c r="G11" s="96">
        <f>F11+SOC_summary_farms!C22</f>
        <v>113259.89018781147</v>
      </c>
      <c r="H11" s="35">
        <f t="shared" si="11"/>
        <v>64988.29499548841</v>
      </c>
      <c r="I11" s="96">
        <f>H11+SOC_summary_farms!D22</f>
        <v>66006.873325488414</v>
      </c>
      <c r="J11" s="35">
        <f t="shared" si="12"/>
        <v>54541.895984231203</v>
      </c>
      <c r="K11" s="96">
        <f>J11+SOC_summary_farms!B22</f>
        <v>55532.785884231205</v>
      </c>
      <c r="L11" s="36">
        <f>'Ex-ante_ER_Project_summary'!D23</f>
        <v>285853.56432252075</v>
      </c>
      <c r="M11" s="96">
        <f t="shared" si="7"/>
        <v>290029.74915252073</v>
      </c>
      <c r="N11" s="132">
        <f t="shared" si="13"/>
        <v>232023.7993220166</v>
      </c>
      <c r="O11" s="133">
        <f t="shared" si="14"/>
        <v>58005.949830504149</v>
      </c>
      <c r="W11" s="115">
        <v>2027</v>
      </c>
      <c r="X11" s="8"/>
      <c r="Y11" s="124">
        <f t="shared" si="4"/>
        <v>262121.06505161163</v>
      </c>
      <c r="Z11" s="65">
        <f>Y11-Y10</f>
        <v>28629.914610909065</v>
      </c>
      <c r="AA11" s="2">
        <f t="shared" si="6"/>
        <v>28629.914610909065</v>
      </c>
    </row>
    <row r="12" spans="1:27" x14ac:dyDescent="0.35">
      <c r="A12" s="13">
        <v>2029</v>
      </c>
      <c r="B12" s="35">
        <f t="shared" si="8"/>
        <v>38520.321792816721</v>
      </c>
      <c r="C12" s="96">
        <f>B12++SOC_summary_farms!F23</f>
        <v>39125.691792816724</v>
      </c>
      <c r="D12" s="35">
        <f t="shared" si="9"/>
        <v>21563.113189356347</v>
      </c>
      <c r="E12" s="96">
        <f>D12+SOC_summary_farms!E23</f>
        <v>21563.113189356347</v>
      </c>
      <c r="F12" s="35">
        <f t="shared" si="10"/>
        <v>122733.82646974665</v>
      </c>
      <c r="G12" s="96">
        <f>F12+SOC_summary_farms!C23</f>
        <v>124421.85676974665</v>
      </c>
      <c r="H12" s="35">
        <f t="shared" si="11"/>
        <v>71433.027593887047</v>
      </c>
      <c r="I12" s="96">
        <f>H12+SOC_summary_farms!D23</f>
        <v>72508.193608887043</v>
      </c>
      <c r="J12" s="35">
        <f t="shared" si="12"/>
        <v>59950.684367623093</v>
      </c>
      <c r="K12" s="96">
        <f>J12+SOC_summary_farms!B23</f>
        <v>61006.464092623093</v>
      </c>
      <c r="L12" s="36">
        <f>'Ex-ante_ER_Project_summary'!D24</f>
        <v>314200.97341342986</v>
      </c>
      <c r="M12" s="96">
        <f t="shared" si="7"/>
        <v>318625.31945342984</v>
      </c>
      <c r="N12" s="132">
        <f t="shared" si="13"/>
        <v>254900.25556274387</v>
      </c>
      <c r="O12" s="133">
        <f t="shared" si="14"/>
        <v>63725.063890685968</v>
      </c>
      <c r="R12" s="2"/>
      <c r="W12" s="115">
        <v>2028</v>
      </c>
      <c r="X12" s="8"/>
      <c r="Y12" s="124">
        <f t="shared" si="2"/>
        <v>290029.74915252073</v>
      </c>
      <c r="Z12" s="65">
        <f t="shared" si="5"/>
        <v>27908.6841009091</v>
      </c>
      <c r="AA12" s="2">
        <f>Z12</f>
        <v>27908.6841009091</v>
      </c>
    </row>
    <row r="13" spans="1:27" x14ac:dyDescent="0.35">
      <c r="A13" s="13">
        <v>2030</v>
      </c>
      <c r="B13" s="35">
        <f t="shared" si="8"/>
        <v>41995.649409760903</v>
      </c>
      <c r="C13" s="96">
        <f>B13++SOC_summary_farms!F24</f>
        <v>42638.859409760902</v>
      </c>
      <c r="D13" s="35">
        <f t="shared" si="9"/>
        <v>23508.550799595574</v>
      </c>
      <c r="E13" s="96">
        <f>D13+SOC_summary_farms!E24</f>
        <v>23508.550799595574</v>
      </c>
      <c r="F13" s="35">
        <f t="shared" si="10"/>
        <v>133806.94935168183</v>
      </c>
      <c r="G13" s="96">
        <f>F13+SOC_summary_farms!C24</f>
        <v>135583.82335168184</v>
      </c>
      <c r="H13" s="35">
        <f t="shared" si="11"/>
        <v>77877.760192285685</v>
      </c>
      <c r="I13" s="96">
        <f>H13+SOC_summary_farms!D24</f>
        <v>79009.513892285686</v>
      </c>
      <c r="J13" s="35">
        <f t="shared" si="12"/>
        <v>65359.472751014975</v>
      </c>
      <c r="K13" s="96">
        <f>J13+SOC_summary_farms!B24</f>
        <v>66480.142301014974</v>
      </c>
      <c r="L13" s="36">
        <f>'Ex-ante_ER_Project_summary'!D25</f>
        <v>342548.38250433898</v>
      </c>
      <c r="M13" s="96">
        <f t="shared" si="7"/>
        <v>347220.889754339</v>
      </c>
      <c r="N13" s="132">
        <f t="shared" si="13"/>
        <v>277776.7118034712</v>
      </c>
      <c r="O13" s="133">
        <f t="shared" si="14"/>
        <v>69444.177950867801</v>
      </c>
      <c r="R13" s="2"/>
      <c r="W13" s="115">
        <v>2029</v>
      </c>
      <c r="X13" s="8"/>
      <c r="Y13" s="124">
        <f t="shared" si="2"/>
        <v>318625.31945342984</v>
      </c>
      <c r="Z13" s="65">
        <f t="shared" si="5"/>
        <v>28595.570300909108</v>
      </c>
      <c r="AA13" s="2">
        <f t="shared" si="6"/>
        <v>28595.570300909108</v>
      </c>
    </row>
    <row r="14" spans="1:27" x14ac:dyDescent="0.35">
      <c r="A14" s="13">
        <v>2031</v>
      </c>
      <c r="B14" s="35">
        <f t="shared" si="8"/>
        <v>45470.977026705084</v>
      </c>
      <c r="C14" s="96">
        <f>B14++SOC_summary_farms!F25</f>
        <v>46152.027026705087</v>
      </c>
      <c r="D14" s="35">
        <f>$R$9*$L14</f>
        <v>25453.988409834805</v>
      </c>
      <c r="E14" s="96">
        <f>D14+SOC_summary_farms!E25</f>
        <v>25453.988409834805</v>
      </c>
      <c r="F14" s="35">
        <f t="shared" si="10"/>
        <v>144880.07223361701</v>
      </c>
      <c r="G14" s="96">
        <f>F14+SOC_summary_farms!C25</f>
        <v>144880.07223361701</v>
      </c>
      <c r="H14" s="35">
        <f t="shared" si="11"/>
        <v>84322.492790684322</v>
      </c>
      <c r="I14" s="96">
        <f>H14+SOC_summary_farms!D25</f>
        <v>84322.492790684322</v>
      </c>
      <c r="J14" s="35">
        <f t="shared" si="12"/>
        <v>70768.261134406857</v>
      </c>
      <c r="K14" s="96">
        <f>J14+SOC_summary_farms!B25</f>
        <v>71953.820509406854</v>
      </c>
      <c r="L14" s="36">
        <f>'Ex-ante_ER_Project_summary'!D26</f>
        <v>370895.7915952481</v>
      </c>
      <c r="M14" s="96">
        <f t="shared" si="7"/>
        <v>372762.4009702481</v>
      </c>
      <c r="N14" s="132">
        <f t="shared" si="13"/>
        <v>298209.9207761985</v>
      </c>
      <c r="O14" s="133">
        <f t="shared" si="14"/>
        <v>74552.480194049625</v>
      </c>
      <c r="R14" s="2"/>
      <c r="W14" s="115">
        <v>2030</v>
      </c>
      <c r="X14" s="8"/>
      <c r="Y14" s="124">
        <f>M13</f>
        <v>347220.889754339</v>
      </c>
      <c r="Z14" s="65">
        <f t="shared" si="5"/>
        <v>28595.570300909167</v>
      </c>
      <c r="AA14" s="2">
        <f t="shared" si="6"/>
        <v>28595.570300909167</v>
      </c>
    </row>
    <row r="15" spans="1:27" x14ac:dyDescent="0.35">
      <c r="A15" s="13">
        <v>2032</v>
      </c>
      <c r="B15" s="35">
        <f t="shared" si="8"/>
        <v>44051.674179284339</v>
      </c>
      <c r="C15" s="96">
        <f>B15++SOC_summary_farms!F26</f>
        <v>44770.564179284338</v>
      </c>
      <c r="D15" s="35">
        <f t="shared" si="9"/>
        <v>24659.483418066629</v>
      </c>
      <c r="E15" s="96">
        <f>D15+SOC_summary_farms!E26</f>
        <v>24659.483418066629</v>
      </c>
      <c r="F15" s="35">
        <f t="shared" si="10"/>
        <v>140357.87560399697</v>
      </c>
      <c r="G15" s="96">
        <f>F15+SOC_summary_farms!C26</f>
        <v>140357.87560399697</v>
      </c>
      <c r="H15" s="35">
        <f t="shared" si="11"/>
        <v>81690.502850174671</v>
      </c>
      <c r="I15" s="96">
        <f>H15+SOC_summary_farms!D26</f>
        <v>81690.502850174671</v>
      </c>
      <c r="J15" s="35">
        <f t="shared" si="12"/>
        <v>68559.344566018874</v>
      </c>
      <c r="K15" s="96">
        <f>J15+SOC_summary_farms!B26</f>
        <v>69809.793766018876</v>
      </c>
      <c r="L15" s="36">
        <f>'Ex-ante_ER_Project_summary'!D27</f>
        <v>359318.88061754149</v>
      </c>
      <c r="M15" s="96">
        <f t="shared" si="7"/>
        <v>361288.21981754148</v>
      </c>
      <c r="N15" s="132">
        <f t="shared" si="13"/>
        <v>289030.57585403317</v>
      </c>
      <c r="O15" s="133">
        <f t="shared" si="14"/>
        <v>72257.643963508293</v>
      </c>
      <c r="W15" s="115">
        <v>2031</v>
      </c>
      <c r="X15" s="8"/>
      <c r="Y15" s="124">
        <f>M14</f>
        <v>372762.4009702481</v>
      </c>
      <c r="Z15" s="65">
        <f>Y15-Y14</f>
        <v>25541.511215909093</v>
      </c>
      <c r="AA15" s="2">
        <f t="shared" si="6"/>
        <v>25541.511215909093</v>
      </c>
    </row>
    <row r="16" spans="1:27" ht="14.5" customHeight="1" x14ac:dyDescent="0.35">
      <c r="A16" s="13">
        <v>2033</v>
      </c>
      <c r="B16" s="35">
        <f t="shared" si="8"/>
        <v>42774.30161660567</v>
      </c>
      <c r="C16" s="96">
        <f>B16++SOC_summary_farms!F27</f>
        <v>43531.031616605673</v>
      </c>
      <c r="D16" s="35">
        <f t="shared" si="9"/>
        <v>23944.428925475269</v>
      </c>
      <c r="E16" s="96">
        <f>D16+SOC_summary_farms!E27</f>
        <v>23944.428925475269</v>
      </c>
      <c r="F16" s="35">
        <f t="shared" si="10"/>
        <v>136287.89863733895</v>
      </c>
      <c r="G16" s="96">
        <f>F16+SOC_summary_farms!C27</f>
        <v>136287.89863733895</v>
      </c>
      <c r="H16" s="35">
        <f t="shared" si="11"/>
        <v>79321.711903715972</v>
      </c>
      <c r="I16" s="96">
        <f>H16+SOC_summary_farms!D27</f>
        <v>79321.711903715972</v>
      </c>
      <c r="J16" s="35">
        <f t="shared" si="12"/>
        <v>66571.319654469669</v>
      </c>
      <c r="K16" s="96">
        <f>J16+SOC_summary_farms!B27</f>
        <v>66571.319654469669</v>
      </c>
      <c r="L16" s="36">
        <f>'Ex-ante_ER_Project_summary'!D28</f>
        <v>348899.66073760553</v>
      </c>
      <c r="M16" s="96">
        <f t="shared" si="7"/>
        <v>349656.39073760551</v>
      </c>
      <c r="N16" s="132">
        <f t="shared" si="13"/>
        <v>279725.11259008443</v>
      </c>
      <c r="O16" s="133">
        <f t="shared" si="14"/>
        <v>69931.278147521109</v>
      </c>
      <c r="W16" s="115">
        <v>2032</v>
      </c>
      <c r="X16" s="8"/>
      <c r="Y16" s="124">
        <f t="shared" si="2"/>
        <v>361288.21981754148</v>
      </c>
      <c r="Z16" s="65">
        <f>Y16-Y15</f>
        <v>-11474.181152706617</v>
      </c>
      <c r="AA16" s="2">
        <f t="shared" si="6"/>
        <v>-11474.181152706617</v>
      </c>
    </row>
    <row r="17" spans="1:27" ht="14.5" customHeight="1" x14ac:dyDescent="0.35">
      <c r="A17" s="13">
        <v>2034</v>
      </c>
      <c r="B17" s="35">
        <f t="shared" si="8"/>
        <v>41624.666310194865</v>
      </c>
      <c r="C17" s="96">
        <f>B17++SOC_summary_farms!F28</f>
        <v>41624.666310194865</v>
      </c>
      <c r="D17" s="35">
        <f t="shared" si="9"/>
        <v>23300.87988214305</v>
      </c>
      <c r="E17" s="96">
        <f>D17+SOC_summary_farms!E28</f>
        <v>23300.87988214305</v>
      </c>
      <c r="F17" s="35">
        <f t="shared" si="10"/>
        <v>132624.91936734671</v>
      </c>
      <c r="G17" s="96">
        <f>F17+SOC_summary_farms!C28</f>
        <v>132624.91936734671</v>
      </c>
      <c r="H17" s="35">
        <f t="shared" si="11"/>
        <v>77189.800051903163</v>
      </c>
      <c r="I17" s="96">
        <f>H17+SOC_summary_farms!D28</f>
        <v>77189.800051903163</v>
      </c>
      <c r="J17" s="35">
        <f t="shared" si="12"/>
        <v>64782.097234075409</v>
      </c>
      <c r="K17" s="96">
        <f>J17+SOC_summary_farms!B28</f>
        <v>64782.097234075409</v>
      </c>
      <c r="L17" s="36">
        <f>'Ex-ante_ER_Project_summary'!D29</f>
        <v>339522.36284566321</v>
      </c>
      <c r="M17" s="96">
        <f t="shared" si="7"/>
        <v>339522.36284566321</v>
      </c>
      <c r="N17" s="132">
        <f t="shared" si="13"/>
        <v>271617.89027653058</v>
      </c>
      <c r="O17" s="133">
        <f t="shared" si="14"/>
        <v>67904.472569132646</v>
      </c>
      <c r="W17" s="115">
        <v>2033</v>
      </c>
      <c r="X17" s="8"/>
      <c r="Y17" s="124">
        <f t="shared" si="2"/>
        <v>349656.39073760551</v>
      </c>
      <c r="Z17" s="65">
        <f t="shared" si="5"/>
        <v>-11631.829079935967</v>
      </c>
      <c r="AA17" s="2">
        <f t="shared" si="6"/>
        <v>-11631.829079935967</v>
      </c>
    </row>
    <row r="18" spans="1:27" ht="15" customHeight="1" x14ac:dyDescent="0.35">
      <c r="A18" s="13">
        <v>2035</v>
      </c>
      <c r="B18" s="35">
        <f t="shared" si="8"/>
        <v>40589.994534425139</v>
      </c>
      <c r="C18" s="96">
        <f>B18++SOC_summary_farms!F29</f>
        <v>40589.994534425139</v>
      </c>
      <c r="D18" s="35">
        <f t="shared" si="9"/>
        <v>22721.685743144051</v>
      </c>
      <c r="E18" s="96">
        <f>D18+SOC_summary_farms!E29</f>
        <v>22721.685743144051</v>
      </c>
      <c r="F18" s="35">
        <f t="shared" si="10"/>
        <v>129328.2380243537</v>
      </c>
      <c r="G18" s="96">
        <f>F18+SOC_summary_farms!C29</f>
        <v>129328.2380243537</v>
      </c>
      <c r="H18" s="35">
        <f t="shared" si="11"/>
        <v>75271.079385271616</v>
      </c>
      <c r="I18" s="96">
        <f>H18+SOC_summary_farms!D29</f>
        <v>75271.079385271616</v>
      </c>
      <c r="J18" s="35">
        <f t="shared" si="12"/>
        <v>63171.797055720563</v>
      </c>
      <c r="K18" s="96">
        <f>J18+SOC_summary_farms!B29</f>
        <v>63171.797055720563</v>
      </c>
      <c r="L18" s="36">
        <f>'Ex-ante_ER_Project_summary'!D30</f>
        <v>331082.79474291508</v>
      </c>
      <c r="M18" s="96">
        <f t="shared" si="7"/>
        <v>331082.79474291508</v>
      </c>
      <c r="N18" s="132">
        <f t="shared" si="13"/>
        <v>264866.23579433205</v>
      </c>
      <c r="O18" s="133">
        <f t="shared" si="14"/>
        <v>66216.558948583013</v>
      </c>
      <c r="W18" s="115">
        <v>2034</v>
      </c>
      <c r="X18" s="8"/>
      <c r="Y18" s="124">
        <f t="shared" si="2"/>
        <v>339522.36284566321</v>
      </c>
      <c r="Z18" s="65">
        <f t="shared" si="5"/>
        <v>-10134.0278919423</v>
      </c>
      <c r="AA18" s="2">
        <f t="shared" si="6"/>
        <v>-10134.0278919423</v>
      </c>
    </row>
    <row r="19" spans="1:27" x14ac:dyDescent="0.35">
      <c r="A19" s="13">
        <v>2036</v>
      </c>
      <c r="B19" s="35">
        <f t="shared" si="8"/>
        <v>39658.789936232395</v>
      </c>
      <c r="C19" s="96">
        <f>B19++SOC_summary_farms!F30</f>
        <v>39658.789936232395</v>
      </c>
      <c r="D19" s="35">
        <f t="shared" si="9"/>
        <v>22200.411018044953</v>
      </c>
      <c r="E19" s="96">
        <f>D19+SOC_summary_farms!E30</f>
        <v>22200.411018044953</v>
      </c>
      <c r="F19" s="35">
        <f t="shared" si="10"/>
        <v>126361.22481566001</v>
      </c>
      <c r="G19" s="96">
        <f>F19+SOC_summary_farms!C30</f>
        <v>126361.22481566001</v>
      </c>
      <c r="H19" s="35">
        <f t="shared" si="11"/>
        <v>73544.23078530324</v>
      </c>
      <c r="I19" s="96">
        <f>H19+SOC_summary_farms!D30</f>
        <v>73544.23078530324</v>
      </c>
      <c r="J19" s="35">
        <f t="shared" si="12"/>
        <v>61722.526895201205</v>
      </c>
      <c r="K19" s="96">
        <f>J19+SOC_summary_farms!B30</f>
        <v>61722.526895201205</v>
      </c>
      <c r="L19" s="36">
        <f>'Ex-ante_ER_Project_summary'!D31</f>
        <v>323487.18345044181</v>
      </c>
      <c r="M19" s="96">
        <f t="shared" si="7"/>
        <v>323487.18345044175</v>
      </c>
      <c r="N19" s="132">
        <f t="shared" si="13"/>
        <v>258789.74676035342</v>
      </c>
      <c r="O19" s="133">
        <f t="shared" si="14"/>
        <v>64697.436690088354</v>
      </c>
      <c r="Q19" t="s">
        <v>40</v>
      </c>
      <c r="W19" s="115">
        <v>2035</v>
      </c>
      <c r="X19" s="8"/>
      <c r="Y19" s="124">
        <f t="shared" si="2"/>
        <v>331082.79474291508</v>
      </c>
      <c r="Z19" s="65">
        <f t="shared" si="5"/>
        <v>-8439.5681027481332</v>
      </c>
      <c r="AA19" s="2">
        <f t="shared" si="6"/>
        <v>-8439.5681027481332</v>
      </c>
    </row>
    <row r="20" spans="1:27" x14ac:dyDescent="0.35">
      <c r="A20" s="13">
        <v>2037</v>
      </c>
      <c r="B20" s="45">
        <f t="shared" si="8"/>
        <v>43134.117553176577</v>
      </c>
      <c r="C20" s="97">
        <f>B20++SOC_summary_farms!F31</f>
        <v>43134.117553176577</v>
      </c>
      <c r="D20" s="45">
        <f t="shared" si="9"/>
        <v>24145.84862828418</v>
      </c>
      <c r="E20" s="97">
        <f>D20+SOC_summary_farms!E31</f>
        <v>24145.84862828418</v>
      </c>
      <c r="F20" s="35">
        <f t="shared" si="10"/>
        <v>137434.34769759519</v>
      </c>
      <c r="G20" s="97">
        <f>F20+SOC_summary_farms!C31</f>
        <v>137434.34769759519</v>
      </c>
      <c r="H20" s="35">
        <f t="shared" si="11"/>
        <v>79988.963383701877</v>
      </c>
      <c r="I20" s="97">
        <f>H20+SOC_summary_farms!D31</f>
        <v>79988.963383701877</v>
      </c>
      <c r="J20" s="35">
        <f t="shared" si="12"/>
        <v>67131.315278593087</v>
      </c>
      <c r="K20" s="97">
        <f>J20+SOC_summary_farms!B31</f>
        <v>67131.315278593087</v>
      </c>
      <c r="L20" s="36">
        <f>'Ex-ante_ER_Project_summary'!D32</f>
        <v>351834.59254135092</v>
      </c>
      <c r="M20" s="97">
        <f t="shared" si="7"/>
        <v>351834.59254135092</v>
      </c>
      <c r="N20" s="134">
        <f t="shared" si="13"/>
        <v>281467.67403308075</v>
      </c>
      <c r="O20" s="135">
        <f t="shared" si="14"/>
        <v>70366.918508270188</v>
      </c>
      <c r="Q20" s="2">
        <f>L20/30</f>
        <v>11727.819751378363</v>
      </c>
      <c r="W20" s="115">
        <v>2036</v>
      </c>
      <c r="X20" s="8"/>
      <c r="Y20" s="124">
        <f>M19</f>
        <v>323487.18345044175</v>
      </c>
      <c r="Z20" s="65">
        <f t="shared" si="5"/>
        <v>-7595.6112924733316</v>
      </c>
      <c r="AA20" s="2">
        <f t="shared" si="6"/>
        <v>-7595.6112924733316</v>
      </c>
    </row>
    <row r="21" spans="1:27" ht="19" thickBot="1" x14ac:dyDescent="0.5">
      <c r="A21" s="33"/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99"/>
      <c r="W21" s="115">
        <v>2037</v>
      </c>
      <c r="X21" s="8"/>
      <c r="Y21" s="125">
        <f>M20</f>
        <v>351834.59254135092</v>
      </c>
      <c r="Z21" s="65">
        <f>Y21-Y20</f>
        <v>28347.409090909176</v>
      </c>
      <c r="AA21" s="2">
        <f>Z21</f>
        <v>28347.409090909176</v>
      </c>
    </row>
    <row r="22" spans="1:27" ht="15" thickTop="1" x14ac:dyDescent="0.35">
      <c r="J22" s="2"/>
      <c r="K22" s="2"/>
      <c r="L22" s="20"/>
      <c r="W22" s="121" t="s">
        <v>41</v>
      </c>
      <c r="X22" s="65">
        <f>X3</f>
        <v>23107.535733333338</v>
      </c>
      <c r="Y22" s="123"/>
      <c r="Z22" s="65">
        <f>Y4+SUM(Z5:Z21)+X22</f>
        <v>374942.12827468425</v>
      </c>
      <c r="AA22" s="86">
        <f>Y4+SUM(AA5:AA21)</f>
        <v>351834.59254135092</v>
      </c>
    </row>
    <row r="23" spans="1:27" x14ac:dyDescent="0.35">
      <c r="A23" s="104" t="s">
        <v>42</v>
      </c>
      <c r="B23" s="105">
        <v>146.36000000000001</v>
      </c>
      <c r="C23" s="106"/>
      <c r="D23" s="105">
        <v>132.86000000000001</v>
      </c>
      <c r="E23" s="107"/>
      <c r="F23" s="105">
        <v>318.36</v>
      </c>
      <c r="G23" s="108"/>
      <c r="H23" s="105">
        <v>199.49</v>
      </c>
      <c r="I23" s="109"/>
      <c r="J23" s="105">
        <v>181.51</v>
      </c>
      <c r="K23" s="110"/>
      <c r="L23" s="111">
        <f>SUM(B23:K23)</f>
        <v>978.58</v>
      </c>
      <c r="W23" s="119" t="s">
        <v>43</v>
      </c>
      <c r="X23" s="8">
        <v>30</v>
      </c>
      <c r="Y23" s="123"/>
      <c r="Z23" s="8"/>
      <c r="AA23" s="2"/>
    </row>
    <row r="24" spans="1:27" ht="43.5" x14ac:dyDescent="0.35">
      <c r="A24"/>
      <c r="B24"/>
      <c r="C24"/>
      <c r="D24"/>
      <c r="E24"/>
      <c r="F24"/>
      <c r="G24"/>
      <c r="P24" s="2"/>
      <c r="Q24" s="141" t="s">
        <v>44</v>
      </c>
      <c r="R24" s="149" t="s">
        <v>45</v>
      </c>
      <c r="S24" s="142" t="s">
        <v>46</v>
      </c>
      <c r="T24" s="142" t="s">
        <v>47</v>
      </c>
      <c r="W24" s="119" t="s">
        <v>48</v>
      </c>
      <c r="X24" s="8"/>
      <c r="Y24" s="123"/>
      <c r="Z24" s="2">
        <f>Z22/$X$23</f>
        <v>12498.070942489476</v>
      </c>
      <c r="AA24" s="2">
        <f>AA22/$X$23</f>
        <v>11727.819751378363</v>
      </c>
    </row>
    <row r="25" spans="1:27" ht="14.5" customHeight="1" x14ac:dyDescent="0.35">
      <c r="A25"/>
      <c r="B25"/>
      <c r="C25"/>
      <c r="D25"/>
      <c r="E25"/>
      <c r="F25"/>
      <c r="G25"/>
      <c r="P25" s="100" t="s">
        <v>49</v>
      </c>
      <c r="Q25" s="103">
        <f>L8-L3</f>
        <v>65392.115780505672</v>
      </c>
      <c r="R25" s="103">
        <f>M8-M3</f>
        <v>66828.878445505688</v>
      </c>
      <c r="S25" s="143">
        <f>R25*0.8</f>
        <v>53463.102756404551</v>
      </c>
      <c r="T25" s="144">
        <f>R25*0.2</f>
        <v>13365.775689101138</v>
      </c>
    </row>
    <row r="26" spans="1:27" ht="15.5" x14ac:dyDescent="0.35">
      <c r="A26"/>
      <c r="B26"/>
      <c r="C26"/>
      <c r="D26"/>
      <c r="E26"/>
      <c r="F26"/>
      <c r="G26"/>
      <c r="S26" s="145"/>
      <c r="T26" s="146"/>
    </row>
    <row r="27" spans="1:27" ht="15.5" x14ac:dyDescent="0.35">
      <c r="A27"/>
      <c r="B27"/>
      <c r="C27"/>
      <c r="D27"/>
      <c r="E27"/>
      <c r="F27"/>
      <c r="G27"/>
      <c r="P27" s="101">
        <v>2021</v>
      </c>
      <c r="Q27" s="103">
        <f t="shared" ref="Q27:R31" si="15">L4-L3</f>
        <v>-1767</v>
      </c>
      <c r="R27" s="103">
        <f>M4-M3</f>
        <v>-1484.4492816666607</v>
      </c>
      <c r="S27" s="147">
        <f>R27*0.8</f>
        <v>-1187.5594253333286</v>
      </c>
      <c r="T27" s="148">
        <f t="shared" ref="T27:T31" si="16">R27*0.2</f>
        <v>-296.88985633333215</v>
      </c>
      <c r="U27" s="1"/>
      <c r="V27" s="1"/>
    </row>
    <row r="28" spans="1:27" ht="14.5" customHeight="1" x14ac:dyDescent="0.35">
      <c r="A28"/>
      <c r="B28"/>
      <c r="C28"/>
      <c r="D28"/>
      <c r="E28"/>
      <c r="F28"/>
      <c r="G28"/>
      <c r="P28" s="102">
        <v>2022</v>
      </c>
      <c r="Q28" s="103">
        <f t="shared" si="15"/>
        <v>-1767</v>
      </c>
      <c r="R28" s="103">
        <f>M5-M4</f>
        <v>-1484.4492816666607</v>
      </c>
      <c r="S28" s="147">
        <f t="shared" ref="S28:S31" si="17">R28*0.8</f>
        <v>-1187.5594253333286</v>
      </c>
      <c r="T28" s="148">
        <f t="shared" si="16"/>
        <v>-296.88985633333215</v>
      </c>
      <c r="U28" s="1"/>
      <c r="W28" s="112" t="s">
        <v>50</v>
      </c>
      <c r="X28" s="113">
        <f>16.1*0.4*(44/12)</f>
        <v>23.613333333333337</v>
      </c>
    </row>
    <row r="29" spans="1:27" ht="19.5" customHeight="1" x14ac:dyDescent="0.35">
      <c r="A29"/>
      <c r="B29"/>
      <c r="C29"/>
      <c r="D29"/>
      <c r="E29"/>
      <c r="F29"/>
      <c r="G29"/>
      <c r="P29" s="101">
        <v>2023</v>
      </c>
      <c r="Q29" s="103">
        <f t="shared" si="15"/>
        <v>-1767</v>
      </c>
      <c r="R29" s="103">
        <f t="shared" si="15"/>
        <v>-1484.4492816666607</v>
      </c>
      <c r="S29" s="147">
        <f t="shared" si="17"/>
        <v>-1187.5594253333286</v>
      </c>
      <c r="T29" s="148">
        <f t="shared" si="16"/>
        <v>-296.88985633333215</v>
      </c>
      <c r="U29" s="2"/>
      <c r="W29" s="112" t="s">
        <v>51</v>
      </c>
      <c r="X29" s="114">
        <v>0</v>
      </c>
    </row>
    <row r="30" spans="1:27" ht="15.5" x14ac:dyDescent="0.35">
      <c r="A30"/>
      <c r="B30"/>
      <c r="C30"/>
      <c r="D30"/>
      <c r="E30"/>
      <c r="F30"/>
      <c r="G30"/>
      <c r="P30" s="102">
        <v>2024</v>
      </c>
      <c r="Q30" s="103">
        <f t="shared" si="15"/>
        <v>28358</v>
      </c>
      <c r="R30" s="103">
        <f>M7-M6</f>
        <v>28640.547385000013</v>
      </c>
      <c r="S30" s="147">
        <f t="shared" si="17"/>
        <v>22912.437908000011</v>
      </c>
      <c r="T30" s="148">
        <f t="shared" si="16"/>
        <v>5728.1094770000027</v>
      </c>
      <c r="V30" s="21"/>
      <c r="W30" s="112" t="s">
        <v>52</v>
      </c>
      <c r="X30" s="114">
        <v>0</v>
      </c>
    </row>
    <row r="31" spans="1:27" ht="14.5" customHeight="1" x14ac:dyDescent="0.35">
      <c r="A31"/>
      <c r="B31"/>
      <c r="C31"/>
      <c r="D31"/>
      <c r="E31"/>
      <c r="F31"/>
      <c r="G31"/>
      <c r="P31" s="101">
        <v>2025</v>
      </c>
      <c r="Q31" s="103">
        <f t="shared" si="15"/>
        <v>42335.115780505672</v>
      </c>
      <c r="R31" s="103">
        <f>M8-M7</f>
        <v>42641.678905505658</v>
      </c>
      <c r="S31" s="147">
        <f t="shared" si="17"/>
        <v>34113.343124404528</v>
      </c>
      <c r="T31" s="148">
        <f t="shared" si="16"/>
        <v>8528.3357811011319</v>
      </c>
      <c r="V31" s="23"/>
    </row>
    <row r="32" spans="1:27" ht="17.149999999999999" customHeight="1" x14ac:dyDescent="0.45">
      <c r="A32"/>
      <c r="B32"/>
      <c r="C32"/>
      <c r="D32"/>
      <c r="E32"/>
      <c r="F32"/>
      <c r="G32"/>
      <c r="P32" s="150" t="s">
        <v>41</v>
      </c>
      <c r="Q32" s="151">
        <f>SUM(Q27:Q31)</f>
        <v>65392.115780505672</v>
      </c>
      <c r="R32" s="151">
        <f>SUM(R27:R31)</f>
        <v>66828.878445505688</v>
      </c>
      <c r="S32" s="152">
        <f>SUM(S27:S31)</f>
        <v>53463.102756404551</v>
      </c>
      <c r="T32" s="153">
        <f>SUM(T27:T31)</f>
        <v>13365.775689101138</v>
      </c>
    </row>
    <row r="33" spans="1:23" ht="14.5" customHeight="1" x14ac:dyDescent="0.35">
      <c r="A33"/>
      <c r="B33"/>
      <c r="C33"/>
      <c r="D33"/>
      <c r="E33"/>
      <c r="F33"/>
      <c r="G33"/>
    </row>
    <row r="34" spans="1:23" ht="14.5" customHeight="1" x14ac:dyDescent="0.35">
      <c r="A34"/>
      <c r="B34"/>
      <c r="C34"/>
      <c r="D34"/>
      <c r="E34"/>
      <c r="F34"/>
      <c r="G34"/>
      <c r="U34" s="2"/>
      <c r="V34" s="21"/>
      <c r="W34" s="22"/>
    </row>
    <row r="35" spans="1:23" ht="14.5" customHeight="1" x14ac:dyDescent="0.35">
      <c r="A35"/>
      <c r="B35"/>
      <c r="C35"/>
      <c r="D35"/>
      <c r="E35"/>
      <c r="F35"/>
      <c r="G35"/>
      <c r="V35" s="21"/>
    </row>
    <row r="36" spans="1:23" ht="15" customHeight="1" x14ac:dyDescent="0.35">
      <c r="A36"/>
      <c r="B36"/>
      <c r="C36"/>
      <c r="D36"/>
      <c r="E36"/>
      <c r="F36"/>
      <c r="G36"/>
    </row>
    <row r="37" spans="1:23" ht="15" customHeight="1" x14ac:dyDescent="0.35">
      <c r="A37"/>
      <c r="B37"/>
      <c r="C37"/>
      <c r="D37"/>
      <c r="E37"/>
      <c r="F37"/>
      <c r="G37"/>
    </row>
    <row r="38" spans="1:23" ht="15" customHeight="1" x14ac:dyDescent="0.35">
      <c r="A38"/>
      <c r="B38"/>
      <c r="C38"/>
      <c r="D38"/>
      <c r="E38"/>
      <c r="F38"/>
      <c r="G38"/>
      <c r="T38" s="1"/>
      <c r="U38" s="23"/>
      <c r="W38" s="24"/>
    </row>
    <row r="39" spans="1:23" ht="14.5" customHeight="1" x14ac:dyDescent="0.35">
      <c r="A39"/>
      <c r="B39"/>
      <c r="C39"/>
      <c r="D39"/>
      <c r="E39"/>
      <c r="F39"/>
      <c r="G39"/>
      <c r="T39" s="25"/>
      <c r="U39" s="26"/>
      <c r="V39" s="26"/>
      <c r="W39" s="27"/>
    </row>
    <row r="40" spans="1:23" ht="14.5" customHeight="1" x14ac:dyDescent="0.35">
      <c r="A40"/>
      <c r="B40"/>
      <c r="C40"/>
      <c r="D40"/>
      <c r="E40"/>
      <c r="F40"/>
      <c r="G40"/>
      <c r="T40" s="25"/>
      <c r="U40" s="2"/>
      <c r="V40" s="2"/>
    </row>
    <row r="41" spans="1:23" ht="14.5" customHeight="1" x14ac:dyDescent="0.35">
      <c r="A41"/>
      <c r="B41"/>
      <c r="C41"/>
      <c r="D41"/>
      <c r="E41"/>
      <c r="F41"/>
      <c r="G41"/>
      <c r="V41" s="21"/>
      <c r="W41" s="22"/>
    </row>
    <row r="42" spans="1:23" ht="14.5" customHeight="1" x14ac:dyDescent="0.35">
      <c r="A42"/>
      <c r="B42"/>
      <c r="C42"/>
      <c r="D42"/>
      <c r="E42"/>
      <c r="F42"/>
      <c r="G42"/>
      <c r="V42" s="23"/>
    </row>
    <row r="43" spans="1:23" ht="14.5" customHeight="1" x14ac:dyDescent="0.35">
      <c r="A43"/>
      <c r="B43"/>
      <c r="C43"/>
      <c r="D43"/>
      <c r="E43"/>
      <c r="F43"/>
      <c r="G43"/>
    </row>
    <row r="44" spans="1:23" ht="14.5" customHeight="1" x14ac:dyDescent="0.35">
      <c r="A44"/>
      <c r="B44"/>
      <c r="C44"/>
      <c r="D44"/>
      <c r="E44"/>
      <c r="F44"/>
      <c r="G44"/>
    </row>
    <row r="45" spans="1:23" ht="14.5" customHeight="1" x14ac:dyDescent="0.35">
      <c r="A45"/>
      <c r="B45"/>
      <c r="C45"/>
      <c r="D45"/>
      <c r="E45"/>
      <c r="F45"/>
      <c r="G45"/>
      <c r="U45" s="2"/>
      <c r="V45" s="21"/>
      <c r="W45" s="22"/>
    </row>
    <row r="46" spans="1:23" ht="14.5" customHeight="1" x14ac:dyDescent="0.35">
      <c r="A46"/>
      <c r="B46"/>
      <c r="C46"/>
      <c r="D46"/>
      <c r="E46"/>
      <c r="F46"/>
      <c r="G46"/>
      <c r="U46" s="2"/>
    </row>
    <row r="47" spans="1:23" ht="14.5" customHeight="1" x14ac:dyDescent="0.35">
      <c r="A47"/>
      <c r="B47"/>
      <c r="C47"/>
      <c r="D47"/>
      <c r="E47"/>
      <c r="F47"/>
      <c r="G47"/>
      <c r="V47" s="21"/>
    </row>
    <row r="48" spans="1:23" ht="14.5" customHeight="1" x14ac:dyDescent="0.35">
      <c r="A48"/>
      <c r="B48"/>
      <c r="C48"/>
      <c r="D48"/>
      <c r="E48"/>
      <c r="F48"/>
      <c r="G48"/>
    </row>
    <row r="49" spans="1:23" ht="14.5" customHeight="1" x14ac:dyDescent="0.35">
      <c r="A49"/>
      <c r="B49"/>
      <c r="C49"/>
      <c r="D49"/>
      <c r="E49"/>
      <c r="F49"/>
      <c r="G49"/>
      <c r="T49" s="1"/>
      <c r="U49" s="1"/>
      <c r="W49" s="24"/>
    </row>
    <row r="50" spans="1:23" ht="14.5" customHeight="1" x14ac:dyDescent="0.35">
      <c r="A50"/>
      <c r="B50"/>
      <c r="C50"/>
      <c r="D50"/>
      <c r="E50"/>
      <c r="F50"/>
      <c r="G50"/>
      <c r="T50" s="25"/>
      <c r="U50" s="26"/>
    </row>
    <row r="51" spans="1:23" ht="14.5" customHeight="1" x14ac:dyDescent="0.35">
      <c r="A51"/>
      <c r="B51"/>
      <c r="C51"/>
      <c r="D51"/>
      <c r="E51"/>
      <c r="F51"/>
      <c r="G51"/>
      <c r="T51" s="25"/>
      <c r="U51" s="2"/>
    </row>
    <row r="52" spans="1:23" ht="14.5" customHeight="1" x14ac:dyDescent="0.35">
      <c r="A52"/>
      <c r="B52"/>
      <c r="C52"/>
      <c r="D52"/>
      <c r="E52"/>
      <c r="F52"/>
      <c r="G52"/>
    </row>
    <row r="53" spans="1:23" ht="14.5" customHeight="1" x14ac:dyDescent="0.35">
      <c r="A53"/>
      <c r="B53"/>
      <c r="C53"/>
      <c r="D53"/>
      <c r="E53"/>
      <c r="F53"/>
      <c r="G53"/>
    </row>
    <row r="54" spans="1:23" ht="14.5" customHeight="1" x14ac:dyDescent="0.35">
      <c r="A54"/>
      <c r="B54"/>
      <c r="C54"/>
      <c r="D54"/>
      <c r="E54"/>
      <c r="F54"/>
      <c r="G54"/>
    </row>
    <row r="56" spans="1:23" x14ac:dyDescent="0.35">
      <c r="U56" s="2"/>
      <c r="V56" s="21"/>
      <c r="W56" s="22"/>
    </row>
    <row r="57" spans="1:23" x14ac:dyDescent="0.35">
      <c r="U57" s="2"/>
    </row>
    <row r="58" spans="1:23" x14ac:dyDescent="0.35">
      <c r="V58" s="21"/>
    </row>
    <row r="60" spans="1:23" x14ac:dyDescent="0.35">
      <c r="T60" s="1"/>
      <c r="U60" s="28"/>
    </row>
    <row r="61" spans="1:23" x14ac:dyDescent="0.35">
      <c r="T61" s="25"/>
      <c r="U61" s="26"/>
    </row>
    <row r="62" spans="1:23" x14ac:dyDescent="0.35">
      <c r="T62" s="25"/>
      <c r="U62" s="2"/>
    </row>
    <row r="66" spans="21:21" x14ac:dyDescent="0.35">
      <c r="U66" s="2"/>
    </row>
    <row r="67" spans="21:21" x14ac:dyDescent="0.35">
      <c r="U67" s="2"/>
    </row>
  </sheetData>
  <mergeCells count="3">
    <mergeCell ref="D1:J1"/>
    <mergeCell ref="Q5:U5"/>
    <mergeCell ref="W1:AA1"/>
  </mergeCells>
  <phoneticPr fontId="23" type="noConversion"/>
  <printOptions horizontalCentered="1" gridLines="1"/>
  <pageMargins left="0.70866141732283472" right="0.70866141732283472" top="0.78740157480314965" bottom="0.78740157480314965" header="0.31496062992125984" footer="0.31496062992125984"/>
  <pageSetup paperSize="9" scale="65" orientation="landscape" r:id="rId1"/>
  <ignoredErrors>
    <ignoredError sqref="R7:R8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F2A6-52BD-44F6-B0AE-F7E374F99394}">
  <sheetPr>
    <tabColor theme="7" tint="-0.249977111117893"/>
  </sheetPr>
  <dimension ref="A1:G31"/>
  <sheetViews>
    <sheetView workbookViewId="0">
      <selection activeCell="G47" sqref="G47"/>
    </sheetView>
  </sheetViews>
  <sheetFormatPr defaultColWidth="8.54296875" defaultRowHeight="14.5" x14ac:dyDescent="0.35"/>
  <cols>
    <col min="1" max="1" width="14.54296875" customWidth="1"/>
    <col min="2" max="2" width="19.54296875" customWidth="1"/>
    <col min="3" max="3" width="18.1796875" customWidth="1"/>
    <col min="4" max="4" width="17.54296875" customWidth="1"/>
    <col min="5" max="5" width="15.54296875" customWidth="1"/>
    <col min="6" max="6" width="15.36328125" customWidth="1"/>
    <col min="7" max="7" width="16.36328125" customWidth="1"/>
  </cols>
  <sheetData>
    <row r="1" spans="1:7" ht="54.65" customHeight="1" x14ac:dyDescent="0.35">
      <c r="A1" s="11" t="s">
        <v>53</v>
      </c>
      <c r="B1" s="3" t="s">
        <v>54</v>
      </c>
      <c r="C1" s="3" t="s">
        <v>55</v>
      </c>
      <c r="D1" s="3" t="s">
        <v>56</v>
      </c>
      <c r="E1" s="3" t="s">
        <v>57</v>
      </c>
      <c r="F1" s="3" t="s">
        <v>58</v>
      </c>
      <c r="G1" s="10" t="s">
        <v>59</v>
      </c>
    </row>
    <row r="2" spans="1:7" x14ac:dyDescent="0.35">
      <c r="A2" s="7">
        <v>2008</v>
      </c>
      <c r="B2" s="8"/>
      <c r="C2" s="8"/>
      <c r="D2" s="8"/>
      <c r="E2" s="9">
        <v>34.344310000000007</v>
      </c>
      <c r="F2" s="8"/>
      <c r="G2" s="47">
        <f>SUM(B2:F2)</f>
        <v>34.344310000000007</v>
      </c>
    </row>
    <row r="3" spans="1:7" x14ac:dyDescent="0.35">
      <c r="A3" s="7">
        <v>2009</v>
      </c>
      <c r="B3" s="8"/>
      <c r="C3" s="8"/>
      <c r="D3" s="8"/>
      <c r="E3" s="9">
        <v>68.688620000000014</v>
      </c>
      <c r="F3" s="8"/>
      <c r="G3" s="47">
        <f t="shared" ref="G3:G13" si="0">SUM(B3:F3)</f>
        <v>68.688620000000014</v>
      </c>
    </row>
    <row r="4" spans="1:7" x14ac:dyDescent="0.35">
      <c r="A4" s="7">
        <v>2010</v>
      </c>
      <c r="B4" s="8"/>
      <c r="C4" s="8"/>
      <c r="D4" s="8"/>
      <c r="E4" s="9">
        <v>103.03293000000002</v>
      </c>
      <c r="F4" s="8"/>
      <c r="G4" s="47">
        <f t="shared" si="0"/>
        <v>103.03293000000002</v>
      </c>
    </row>
    <row r="5" spans="1:7" x14ac:dyDescent="0.35">
      <c r="A5" s="7">
        <v>2011</v>
      </c>
      <c r="B5" s="8"/>
      <c r="C5" s="64">
        <v>88.895565000000005</v>
      </c>
      <c r="D5" s="64">
        <v>56.587685</v>
      </c>
      <c r="E5" s="9">
        <v>137.37724000000003</v>
      </c>
      <c r="F5" s="8"/>
      <c r="G5" s="47">
        <f t="shared" si="0"/>
        <v>282.86049000000003</v>
      </c>
    </row>
    <row r="6" spans="1:7" x14ac:dyDescent="0.35">
      <c r="A6" s="7">
        <v>2012</v>
      </c>
      <c r="C6" s="64">
        <v>177.79113000000001</v>
      </c>
      <c r="D6" s="64">
        <v>113.17537</v>
      </c>
      <c r="E6" s="64">
        <v>171.72155000000004</v>
      </c>
      <c r="F6" s="65"/>
      <c r="G6" s="66">
        <f t="shared" si="0"/>
        <v>462.68805000000003</v>
      </c>
    </row>
    <row r="7" spans="1:7" x14ac:dyDescent="0.35">
      <c r="A7" s="7">
        <v>2013</v>
      </c>
      <c r="B7" s="63">
        <v>17.542524999999998</v>
      </c>
      <c r="C7" s="68">
        <v>266.68669499999999</v>
      </c>
      <c r="D7" s="68">
        <v>169.76305500000001</v>
      </c>
      <c r="E7" s="64">
        <v>206.06586000000004</v>
      </c>
      <c r="F7" s="65"/>
      <c r="G7" s="66">
        <f t="shared" si="0"/>
        <v>660.05813499999999</v>
      </c>
    </row>
    <row r="8" spans="1:7" x14ac:dyDescent="0.35">
      <c r="A8" s="7">
        <v>2014</v>
      </c>
      <c r="B8" s="63">
        <v>82.43235</v>
      </c>
      <c r="C8" s="68">
        <v>355.58226000000002</v>
      </c>
      <c r="D8" s="68">
        <v>226.35074</v>
      </c>
      <c r="E8" s="68">
        <v>240.41017000000005</v>
      </c>
      <c r="F8" s="68">
        <v>37.83</v>
      </c>
      <c r="G8" s="66">
        <f t="shared" si="0"/>
        <v>942.60552000000018</v>
      </c>
    </row>
    <row r="9" spans="1:7" x14ac:dyDescent="0.35">
      <c r="A9" s="7">
        <v>2015</v>
      </c>
      <c r="B9" s="67">
        <v>147.32217500000002</v>
      </c>
      <c r="C9" s="68">
        <v>444.47782500000005</v>
      </c>
      <c r="D9" s="68">
        <v>282.938425</v>
      </c>
      <c r="E9" s="68">
        <v>274.75448000000006</v>
      </c>
      <c r="F9" s="68">
        <v>75.67</v>
      </c>
      <c r="G9" s="55">
        <f t="shared" si="0"/>
        <v>1225.1629050000001</v>
      </c>
    </row>
    <row r="10" spans="1:7" x14ac:dyDescent="0.35">
      <c r="A10" s="7">
        <v>2016</v>
      </c>
      <c r="B10" s="67">
        <v>212.21200000000002</v>
      </c>
      <c r="C10" s="68">
        <v>533.37339000000009</v>
      </c>
      <c r="D10" s="68">
        <v>339.52611000000002</v>
      </c>
      <c r="E10" s="68">
        <v>309.09879000000006</v>
      </c>
      <c r="F10" s="68">
        <v>113.5</v>
      </c>
      <c r="G10" s="55">
        <f t="shared" si="0"/>
        <v>1507.71029</v>
      </c>
    </row>
    <row r="11" spans="1:7" x14ac:dyDescent="0.35">
      <c r="A11" s="7">
        <v>2017</v>
      </c>
      <c r="B11" s="67">
        <v>277.10182500000002</v>
      </c>
      <c r="C11" s="68">
        <v>622.26895500000012</v>
      </c>
      <c r="D11" s="68">
        <v>396.11379500000004</v>
      </c>
      <c r="E11" s="78">
        <v>343.44310000000007</v>
      </c>
      <c r="F11" s="68">
        <v>151.34</v>
      </c>
      <c r="G11" s="55">
        <f t="shared" si="0"/>
        <v>1790.2676750000003</v>
      </c>
    </row>
    <row r="12" spans="1:7" x14ac:dyDescent="0.35">
      <c r="A12" s="7">
        <v>2018</v>
      </c>
      <c r="B12" s="67">
        <v>341.99165000000005</v>
      </c>
      <c r="C12" s="68">
        <v>711.16452000000015</v>
      </c>
      <c r="D12" s="68">
        <v>452.70148000000006</v>
      </c>
      <c r="E12" s="68">
        <v>377.78741000000008</v>
      </c>
      <c r="F12" s="68">
        <v>189.17</v>
      </c>
      <c r="G12" s="55">
        <f t="shared" si="0"/>
        <v>2072.8150600000004</v>
      </c>
    </row>
    <row r="13" spans="1:7" x14ac:dyDescent="0.35">
      <c r="A13" s="7">
        <v>2019</v>
      </c>
      <c r="B13" s="67">
        <v>406.88147500000002</v>
      </c>
      <c r="C13" s="68">
        <v>800.06008500000019</v>
      </c>
      <c r="D13" s="68">
        <v>509.28916500000008</v>
      </c>
      <c r="E13" s="68">
        <v>412.13172000000009</v>
      </c>
      <c r="F13" s="68">
        <v>227</v>
      </c>
      <c r="G13" s="55">
        <f t="shared" si="0"/>
        <v>2355.3624450000007</v>
      </c>
    </row>
    <row r="14" spans="1:7" x14ac:dyDescent="0.35">
      <c r="A14" s="7">
        <v>2020</v>
      </c>
      <c r="B14" s="67">
        <v>471.7713</v>
      </c>
      <c r="C14" s="68">
        <v>888.95565000000022</v>
      </c>
      <c r="D14" s="68">
        <v>565.8768500000001</v>
      </c>
      <c r="E14" s="68">
        <v>446.47603000000009</v>
      </c>
      <c r="F14" s="68">
        <v>264.83999999999997</v>
      </c>
      <c r="G14" s="55">
        <f t="shared" ref="G14:G21" si="1">SUM(B14:F14)</f>
        <v>2637.9198300000007</v>
      </c>
    </row>
    <row r="15" spans="1:7" x14ac:dyDescent="0.35">
      <c r="A15" s="7">
        <v>2021</v>
      </c>
      <c r="B15" s="126">
        <v>536.66112499999997</v>
      </c>
      <c r="C15" s="70">
        <v>977.85121500000025</v>
      </c>
      <c r="D15" s="70">
        <v>622.46453500000007</v>
      </c>
      <c r="E15" s="70">
        <v>480.8203400000001</v>
      </c>
      <c r="F15" s="70">
        <v>302.67</v>
      </c>
      <c r="G15" s="72">
        <f t="shared" si="1"/>
        <v>2920.4672150000006</v>
      </c>
    </row>
    <row r="16" spans="1:7" x14ac:dyDescent="0.35">
      <c r="A16" s="7">
        <v>2022</v>
      </c>
      <c r="B16" s="69">
        <v>601.55094999999994</v>
      </c>
      <c r="C16" s="70">
        <v>1066.7467800000002</v>
      </c>
      <c r="D16" s="70">
        <v>679.05222000000003</v>
      </c>
      <c r="E16" s="71">
        <v>515.16465000000017</v>
      </c>
      <c r="F16" s="71">
        <v>340.51</v>
      </c>
      <c r="G16" s="72">
        <f t="shared" si="1"/>
        <v>3203.0246000000006</v>
      </c>
    </row>
    <row r="17" spans="1:7" x14ac:dyDescent="0.35">
      <c r="A17" s="7">
        <v>2023</v>
      </c>
      <c r="B17" s="69">
        <v>666.44077499999992</v>
      </c>
      <c r="C17" s="70">
        <v>1155.6423450000002</v>
      </c>
      <c r="D17" s="70">
        <v>735.639905</v>
      </c>
      <c r="E17" s="71">
        <v>549.50896000000012</v>
      </c>
      <c r="F17" s="71">
        <v>378.34</v>
      </c>
      <c r="G17" s="72">
        <f t="shared" si="1"/>
        <v>3485.5719850000005</v>
      </c>
    </row>
    <row r="18" spans="1:7" x14ac:dyDescent="0.35">
      <c r="A18" s="7">
        <v>2024</v>
      </c>
      <c r="B18" s="69">
        <v>731.33059999999989</v>
      </c>
      <c r="C18" s="70">
        <v>1244.5379100000002</v>
      </c>
      <c r="D18" s="70">
        <v>792.22758999999996</v>
      </c>
      <c r="E18" s="71">
        <v>583.85327000000007</v>
      </c>
      <c r="F18" s="71">
        <v>416.17</v>
      </c>
      <c r="G18" s="72">
        <f t="shared" si="1"/>
        <v>3768.1193700000003</v>
      </c>
    </row>
    <row r="19" spans="1:7" ht="15.5" x14ac:dyDescent="0.35">
      <c r="A19" s="4">
        <v>2025</v>
      </c>
      <c r="B19" s="73">
        <v>796.22042499999986</v>
      </c>
      <c r="C19" s="73">
        <f>C18+(C18-C17)</f>
        <v>1333.4334750000003</v>
      </c>
      <c r="D19" s="73">
        <f>D18+(D18-D17)</f>
        <v>848.81527499999993</v>
      </c>
      <c r="E19" s="73">
        <v>618.19758000000002</v>
      </c>
      <c r="F19" s="73">
        <v>454.01</v>
      </c>
      <c r="G19" s="73">
        <f t="shared" si="1"/>
        <v>4050.6767550000004</v>
      </c>
    </row>
    <row r="20" spans="1:7" x14ac:dyDescent="0.35">
      <c r="A20" s="7">
        <v>2026</v>
      </c>
      <c r="B20" s="65">
        <v>861.11024999999984</v>
      </c>
      <c r="C20" s="65">
        <v>1421.4991999999997</v>
      </c>
      <c r="D20" s="65">
        <f>D19+(D19-D18)</f>
        <v>905.40295999999989</v>
      </c>
      <c r="E20" s="65">
        <f t="shared" ref="E20:F21" si="2">E19+(E19-E18)</f>
        <v>652.54188999999997</v>
      </c>
      <c r="F20" s="65">
        <f t="shared" si="2"/>
        <v>491.84999999999997</v>
      </c>
      <c r="G20" s="72">
        <f t="shared" si="1"/>
        <v>4332.4042999999992</v>
      </c>
    </row>
    <row r="21" spans="1:7" x14ac:dyDescent="0.35">
      <c r="A21" s="7">
        <v>2027</v>
      </c>
      <c r="B21" s="65">
        <f t="shared" ref="B21:B26" si="3">B20+(B20-B19)</f>
        <v>926.00007499999981</v>
      </c>
      <c r="C21" s="65">
        <v>1510.3428999999996</v>
      </c>
      <c r="D21" s="65">
        <f>D20+(D20-D19)</f>
        <v>961.99064499999986</v>
      </c>
      <c r="E21" s="65">
        <f t="shared" si="2"/>
        <v>686.88619999999992</v>
      </c>
      <c r="F21" s="65">
        <f t="shared" si="2"/>
        <v>529.68999999999994</v>
      </c>
      <c r="G21" s="72">
        <f t="shared" si="1"/>
        <v>4614.9098199999989</v>
      </c>
    </row>
    <row r="22" spans="1:7" x14ac:dyDescent="0.35">
      <c r="A22" s="7">
        <v>2028</v>
      </c>
      <c r="B22" s="65">
        <f t="shared" si="3"/>
        <v>990.88989999999978</v>
      </c>
      <c r="C22" s="65">
        <v>1599.1865999999995</v>
      </c>
      <c r="D22" s="65">
        <f>D21+(D21-D20)</f>
        <v>1018.5783299999998</v>
      </c>
      <c r="E22" s="65"/>
      <c r="F22" s="65">
        <f t="shared" ref="F22:F27" si="4">F21+(F21-F20)</f>
        <v>567.53</v>
      </c>
      <c r="G22" s="72">
        <f t="shared" ref="G22:G27" si="5">SUM(B22:F22)</f>
        <v>4176.1848299999992</v>
      </c>
    </row>
    <row r="23" spans="1:7" x14ac:dyDescent="0.35">
      <c r="A23" s="7">
        <v>2029</v>
      </c>
      <c r="B23" s="65">
        <f t="shared" si="3"/>
        <v>1055.7797249999999</v>
      </c>
      <c r="C23" s="65">
        <v>1688.0302999999994</v>
      </c>
      <c r="D23" s="65">
        <f>D22+(D22-D21)</f>
        <v>1075.1660149999998</v>
      </c>
      <c r="E23" s="65"/>
      <c r="F23" s="65">
        <f t="shared" si="4"/>
        <v>605.37</v>
      </c>
      <c r="G23" s="72">
        <f t="shared" si="5"/>
        <v>4424.3460399999994</v>
      </c>
    </row>
    <row r="24" spans="1:7" x14ac:dyDescent="0.35">
      <c r="A24" s="7">
        <v>2030</v>
      </c>
      <c r="B24" s="65">
        <f t="shared" si="3"/>
        <v>1120.6695500000001</v>
      </c>
      <c r="C24" s="65">
        <v>1776.8739999999993</v>
      </c>
      <c r="D24" s="65">
        <f>D23+(D23-D22)</f>
        <v>1131.7536999999998</v>
      </c>
      <c r="E24" s="65"/>
      <c r="F24" s="65">
        <f t="shared" si="4"/>
        <v>643.21</v>
      </c>
      <c r="G24" s="72">
        <f t="shared" si="5"/>
        <v>4672.5072499999987</v>
      </c>
    </row>
    <row r="25" spans="1:7" x14ac:dyDescent="0.35">
      <c r="A25" s="7">
        <v>2031</v>
      </c>
      <c r="B25" s="65">
        <f t="shared" si="3"/>
        <v>1185.5593750000003</v>
      </c>
      <c r="E25" s="65"/>
      <c r="F25" s="65">
        <f t="shared" si="4"/>
        <v>681.05000000000007</v>
      </c>
      <c r="G25" s="72">
        <f>SUM(B25:F25)</f>
        <v>1866.6093750000005</v>
      </c>
    </row>
    <row r="26" spans="1:7" x14ac:dyDescent="0.35">
      <c r="A26" s="7">
        <v>2032</v>
      </c>
      <c r="B26" s="65">
        <f t="shared" si="3"/>
        <v>1250.4492000000005</v>
      </c>
      <c r="C26" s="65"/>
      <c r="D26" s="65"/>
      <c r="E26" s="65"/>
      <c r="F26" s="65">
        <f t="shared" si="4"/>
        <v>718.8900000000001</v>
      </c>
      <c r="G26" s="72">
        <f>SUM(B26:F26)</f>
        <v>1969.3392000000006</v>
      </c>
    </row>
    <row r="27" spans="1:7" x14ac:dyDescent="0.35">
      <c r="A27" s="7">
        <v>2033</v>
      </c>
      <c r="B27" s="65"/>
      <c r="C27" s="65"/>
      <c r="D27" s="65"/>
      <c r="E27" s="65"/>
      <c r="F27" s="65">
        <f t="shared" si="4"/>
        <v>756.73000000000013</v>
      </c>
      <c r="G27" s="72">
        <f t="shared" si="5"/>
        <v>756.73000000000013</v>
      </c>
    </row>
    <row r="28" spans="1:7" x14ac:dyDescent="0.35">
      <c r="A28" s="7">
        <v>2034</v>
      </c>
      <c r="B28" s="8"/>
      <c r="C28" s="8"/>
      <c r="D28" s="8"/>
      <c r="E28" s="8"/>
      <c r="F28" s="8"/>
      <c r="G28" s="6"/>
    </row>
    <row r="29" spans="1:7" x14ac:dyDescent="0.35">
      <c r="A29" s="7">
        <v>2035</v>
      </c>
      <c r="B29" s="8"/>
      <c r="C29" s="8"/>
      <c r="D29" s="8"/>
      <c r="E29" s="8"/>
      <c r="F29" s="8"/>
      <c r="G29" s="6"/>
    </row>
    <row r="30" spans="1:7" x14ac:dyDescent="0.35">
      <c r="A30" s="7">
        <v>2036</v>
      </c>
      <c r="B30" s="8"/>
      <c r="C30" s="8"/>
      <c r="D30" s="8"/>
      <c r="E30" s="8"/>
      <c r="F30" s="8"/>
      <c r="G30" s="6"/>
    </row>
    <row r="31" spans="1:7" x14ac:dyDescent="0.35">
      <c r="A31" s="7">
        <v>2037</v>
      </c>
      <c r="B31" s="8"/>
      <c r="C31" s="8"/>
      <c r="D31" s="8"/>
      <c r="E31" s="8"/>
      <c r="F31" s="8"/>
      <c r="G31" s="6"/>
    </row>
  </sheetData>
  <pageMargins left="0.7" right="0.7" top="0.75" bottom="0.75" header="0.3" footer="0.3"/>
  <ignoredErrors>
    <ignoredError sqref="G2:G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C5BD-C90E-4CCD-8853-5BC3A6ABE689}">
  <sheetPr>
    <tabColor theme="2" tint="-0.249977111117893"/>
  </sheetPr>
  <dimension ref="A1:E6"/>
  <sheetViews>
    <sheetView workbookViewId="0">
      <selection activeCell="C9" sqref="C9"/>
    </sheetView>
  </sheetViews>
  <sheetFormatPr defaultColWidth="11.36328125" defaultRowHeight="14.5" x14ac:dyDescent="0.35"/>
  <cols>
    <col min="1" max="1" width="38.54296875" customWidth="1"/>
    <col min="2" max="2" width="14" customWidth="1"/>
    <col min="3" max="3" width="50.1796875" customWidth="1"/>
    <col min="4" max="4" width="26.81640625" customWidth="1"/>
    <col min="5" max="5" width="25.1796875" customWidth="1"/>
  </cols>
  <sheetData>
    <row r="1" spans="1:5" x14ac:dyDescent="0.35">
      <c r="A1" s="12" t="s">
        <v>60</v>
      </c>
      <c r="B1" s="12" t="s">
        <v>61</v>
      </c>
      <c r="C1" s="12" t="s">
        <v>62</v>
      </c>
      <c r="D1" s="12" t="s">
        <v>63</v>
      </c>
      <c r="E1" s="12" t="s">
        <v>64</v>
      </c>
    </row>
    <row r="2" spans="1:5" x14ac:dyDescent="0.35">
      <c r="A2" t="s">
        <v>65</v>
      </c>
      <c r="B2" s="156">
        <v>45972</v>
      </c>
      <c r="C2" t="s">
        <v>66</v>
      </c>
      <c r="D2" t="s">
        <v>67</v>
      </c>
      <c r="E2" t="s">
        <v>68</v>
      </c>
    </row>
    <row r="3" spans="1:5" x14ac:dyDescent="0.35">
      <c r="A3" t="s">
        <v>69</v>
      </c>
      <c r="B3" s="156">
        <v>45972</v>
      </c>
      <c r="C3" t="s">
        <v>70</v>
      </c>
      <c r="D3" t="s">
        <v>67</v>
      </c>
      <c r="E3" t="s">
        <v>68</v>
      </c>
    </row>
    <row r="4" spans="1:5" x14ac:dyDescent="0.35">
      <c r="A4" t="s">
        <v>71</v>
      </c>
      <c r="B4" s="156">
        <v>45972</v>
      </c>
      <c r="C4" t="s">
        <v>72</v>
      </c>
      <c r="D4" t="s">
        <v>67</v>
      </c>
      <c r="E4" t="s">
        <v>68</v>
      </c>
    </row>
    <row r="5" spans="1:5" x14ac:dyDescent="0.35">
      <c r="A5" t="s">
        <v>73</v>
      </c>
      <c r="B5" s="156">
        <v>45972</v>
      </c>
      <c r="C5" t="s">
        <v>74</v>
      </c>
      <c r="D5" t="s">
        <v>67</v>
      </c>
      <c r="E5" t="s">
        <v>68</v>
      </c>
    </row>
    <row r="6" spans="1:5" x14ac:dyDescent="0.35">
      <c r="A6" t="s">
        <v>75</v>
      </c>
      <c r="B6" s="156">
        <v>45972</v>
      </c>
      <c r="C6" t="s">
        <v>76</v>
      </c>
      <c r="D6" t="s">
        <v>67</v>
      </c>
      <c r="E6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FCCE-CA34-441C-9BED-EB612ECA4A06}">
  <sheetPr>
    <tabColor theme="3" tint="0.59999389629810485"/>
    <pageSetUpPr fitToPage="1"/>
  </sheetPr>
  <dimension ref="A1:AB50"/>
  <sheetViews>
    <sheetView zoomScaleNormal="100" workbookViewId="0">
      <selection activeCell="B12" sqref="B12"/>
    </sheetView>
  </sheetViews>
  <sheetFormatPr defaultColWidth="11.36328125" defaultRowHeight="14.5" x14ac:dyDescent="0.35"/>
  <cols>
    <col min="1" max="1" width="30.54296875" style="13" customWidth="1"/>
    <col min="2" max="2" width="20.81640625" style="13" customWidth="1"/>
    <col min="3" max="3" width="8" style="13" bestFit="1" customWidth="1"/>
    <col min="4" max="4" width="6.7265625" style="13" bestFit="1" customWidth="1"/>
    <col min="5" max="5" width="14.36328125" style="13" bestFit="1" customWidth="1"/>
    <col min="6" max="6" width="8" style="13" bestFit="1" customWidth="1"/>
    <col min="7" max="7" width="6.7265625" style="13" bestFit="1" customWidth="1"/>
    <col min="8" max="8" width="13.26953125" style="13" bestFit="1" customWidth="1"/>
    <col min="9" max="10" width="8" style="13" bestFit="1" customWidth="1"/>
    <col min="11" max="11" width="14.54296875" bestFit="1" customWidth="1"/>
    <col min="12" max="12" width="8" bestFit="1" customWidth="1"/>
    <col min="13" max="13" width="6.7265625" bestFit="1" customWidth="1"/>
    <col min="14" max="14" width="14.1796875" bestFit="1" customWidth="1"/>
    <col min="15" max="15" width="8" bestFit="1" customWidth="1"/>
    <col min="16" max="16" width="8.81640625" customWidth="1"/>
    <col min="17" max="17" width="13.7265625" customWidth="1"/>
    <col min="18" max="18" width="11.36328125" customWidth="1"/>
    <col min="19" max="19" width="9.54296875" customWidth="1"/>
    <col min="260" max="261" width="12.7265625" customWidth="1"/>
    <col min="263" max="263" width="11.36328125" customWidth="1"/>
    <col min="516" max="517" width="12.7265625" customWidth="1"/>
    <col min="519" max="519" width="11.36328125" customWidth="1"/>
    <col min="772" max="773" width="12.7265625" customWidth="1"/>
    <col min="775" max="775" width="11.36328125" customWidth="1"/>
    <col min="1028" max="1029" width="12.7265625" customWidth="1"/>
    <col min="1031" max="1031" width="11.36328125" customWidth="1"/>
    <col min="1284" max="1285" width="12.7265625" customWidth="1"/>
    <col min="1287" max="1287" width="11.36328125" customWidth="1"/>
    <col min="1540" max="1541" width="12.7265625" customWidth="1"/>
    <col min="1543" max="1543" width="11.36328125" customWidth="1"/>
    <col min="1796" max="1797" width="12.7265625" customWidth="1"/>
    <col min="1799" max="1799" width="11.36328125" customWidth="1"/>
    <col min="2052" max="2053" width="12.7265625" customWidth="1"/>
    <col min="2055" max="2055" width="11.36328125" customWidth="1"/>
    <col min="2308" max="2309" width="12.7265625" customWidth="1"/>
    <col min="2311" max="2311" width="11.36328125" customWidth="1"/>
    <col min="2564" max="2565" width="12.7265625" customWidth="1"/>
    <col min="2567" max="2567" width="11.36328125" customWidth="1"/>
    <col min="2820" max="2821" width="12.7265625" customWidth="1"/>
    <col min="2823" max="2823" width="11.36328125" customWidth="1"/>
    <col min="3076" max="3077" width="12.7265625" customWidth="1"/>
    <col min="3079" max="3079" width="11.36328125" customWidth="1"/>
    <col min="3332" max="3333" width="12.7265625" customWidth="1"/>
    <col min="3335" max="3335" width="11.36328125" customWidth="1"/>
    <col min="3588" max="3589" width="12.7265625" customWidth="1"/>
    <col min="3591" max="3591" width="11.36328125" customWidth="1"/>
    <col min="3844" max="3845" width="12.7265625" customWidth="1"/>
    <col min="3847" max="3847" width="11.36328125" customWidth="1"/>
    <col min="4100" max="4101" width="12.7265625" customWidth="1"/>
    <col min="4103" max="4103" width="11.36328125" customWidth="1"/>
    <col min="4356" max="4357" width="12.7265625" customWidth="1"/>
    <col min="4359" max="4359" width="11.36328125" customWidth="1"/>
    <col min="4612" max="4613" width="12.7265625" customWidth="1"/>
    <col min="4615" max="4615" width="11.36328125" customWidth="1"/>
    <col min="4868" max="4869" width="12.7265625" customWidth="1"/>
    <col min="4871" max="4871" width="11.36328125" customWidth="1"/>
    <col min="5124" max="5125" width="12.7265625" customWidth="1"/>
    <col min="5127" max="5127" width="11.36328125" customWidth="1"/>
    <col min="5380" max="5381" width="12.7265625" customWidth="1"/>
    <col min="5383" max="5383" width="11.36328125" customWidth="1"/>
    <col min="5636" max="5637" width="12.7265625" customWidth="1"/>
    <col min="5639" max="5639" width="11.36328125" customWidth="1"/>
    <col min="5892" max="5893" width="12.7265625" customWidth="1"/>
    <col min="5895" max="5895" width="11.36328125" customWidth="1"/>
    <col min="6148" max="6149" width="12.7265625" customWidth="1"/>
    <col min="6151" max="6151" width="11.36328125" customWidth="1"/>
    <col min="6404" max="6405" width="12.7265625" customWidth="1"/>
    <col min="6407" max="6407" width="11.36328125" customWidth="1"/>
    <col min="6660" max="6661" width="12.7265625" customWidth="1"/>
    <col min="6663" max="6663" width="11.36328125" customWidth="1"/>
    <col min="6916" max="6917" width="12.7265625" customWidth="1"/>
    <col min="6919" max="6919" width="11.36328125" customWidth="1"/>
    <col min="7172" max="7173" width="12.7265625" customWidth="1"/>
    <col min="7175" max="7175" width="11.36328125" customWidth="1"/>
    <col min="7428" max="7429" width="12.7265625" customWidth="1"/>
    <col min="7431" max="7431" width="11.36328125" customWidth="1"/>
    <col min="7684" max="7685" width="12.7265625" customWidth="1"/>
    <col min="7687" max="7687" width="11.36328125" customWidth="1"/>
    <col min="7940" max="7941" width="12.7265625" customWidth="1"/>
    <col min="7943" max="7943" width="11.36328125" customWidth="1"/>
    <col min="8196" max="8197" width="12.7265625" customWidth="1"/>
    <col min="8199" max="8199" width="11.36328125" customWidth="1"/>
    <col min="8452" max="8453" width="12.7265625" customWidth="1"/>
    <col min="8455" max="8455" width="11.36328125" customWidth="1"/>
    <col min="8708" max="8709" width="12.7265625" customWidth="1"/>
    <col min="8711" max="8711" width="11.36328125" customWidth="1"/>
    <col min="8964" max="8965" width="12.7265625" customWidth="1"/>
    <col min="8967" max="8967" width="11.36328125" customWidth="1"/>
    <col min="9220" max="9221" width="12.7265625" customWidth="1"/>
    <col min="9223" max="9223" width="11.36328125" customWidth="1"/>
    <col min="9476" max="9477" width="12.7265625" customWidth="1"/>
    <col min="9479" max="9479" width="11.36328125" customWidth="1"/>
    <col min="9732" max="9733" width="12.7265625" customWidth="1"/>
    <col min="9735" max="9735" width="11.36328125" customWidth="1"/>
    <col min="9988" max="9989" width="12.7265625" customWidth="1"/>
    <col min="9991" max="9991" width="11.36328125" customWidth="1"/>
    <col min="10244" max="10245" width="12.7265625" customWidth="1"/>
    <col min="10247" max="10247" width="11.36328125" customWidth="1"/>
    <col min="10500" max="10501" width="12.7265625" customWidth="1"/>
    <col min="10503" max="10503" width="11.36328125" customWidth="1"/>
    <col min="10756" max="10757" width="12.7265625" customWidth="1"/>
    <col min="10759" max="10759" width="11.36328125" customWidth="1"/>
    <col min="11012" max="11013" width="12.7265625" customWidth="1"/>
    <col min="11015" max="11015" width="11.36328125" customWidth="1"/>
    <col min="11268" max="11269" width="12.7265625" customWidth="1"/>
    <col min="11271" max="11271" width="11.36328125" customWidth="1"/>
    <col min="11524" max="11525" width="12.7265625" customWidth="1"/>
    <col min="11527" max="11527" width="11.36328125" customWidth="1"/>
    <col min="11780" max="11781" width="12.7265625" customWidth="1"/>
    <col min="11783" max="11783" width="11.36328125" customWidth="1"/>
    <col min="12036" max="12037" width="12.7265625" customWidth="1"/>
    <col min="12039" max="12039" width="11.36328125" customWidth="1"/>
    <col min="12292" max="12293" width="12.7265625" customWidth="1"/>
    <col min="12295" max="12295" width="11.36328125" customWidth="1"/>
    <col min="12548" max="12549" width="12.7265625" customWidth="1"/>
    <col min="12551" max="12551" width="11.36328125" customWidth="1"/>
    <col min="12804" max="12805" width="12.7265625" customWidth="1"/>
    <col min="12807" max="12807" width="11.36328125" customWidth="1"/>
    <col min="13060" max="13061" width="12.7265625" customWidth="1"/>
    <col min="13063" max="13063" width="11.36328125" customWidth="1"/>
    <col min="13316" max="13317" width="12.7265625" customWidth="1"/>
    <col min="13319" max="13319" width="11.36328125" customWidth="1"/>
    <col min="13572" max="13573" width="12.7265625" customWidth="1"/>
    <col min="13575" max="13575" width="11.36328125" customWidth="1"/>
    <col min="13828" max="13829" width="12.7265625" customWidth="1"/>
    <col min="13831" max="13831" width="11.36328125" customWidth="1"/>
    <col min="14084" max="14085" width="12.7265625" customWidth="1"/>
    <col min="14087" max="14087" width="11.36328125" customWidth="1"/>
    <col min="14340" max="14341" width="12.7265625" customWidth="1"/>
    <col min="14343" max="14343" width="11.36328125" customWidth="1"/>
    <col min="14596" max="14597" width="12.7265625" customWidth="1"/>
    <col min="14599" max="14599" width="11.36328125" customWidth="1"/>
    <col min="14852" max="14853" width="12.7265625" customWidth="1"/>
    <col min="14855" max="14855" width="11.36328125" customWidth="1"/>
    <col min="15108" max="15109" width="12.7265625" customWidth="1"/>
    <col min="15111" max="15111" width="11.36328125" customWidth="1"/>
    <col min="15364" max="15365" width="12.7265625" customWidth="1"/>
    <col min="15367" max="15367" width="11.36328125" customWidth="1"/>
    <col min="15620" max="15621" width="12.7265625" customWidth="1"/>
    <col min="15623" max="15623" width="11.36328125" customWidth="1"/>
    <col min="15876" max="15877" width="12.7265625" customWidth="1"/>
    <col min="15879" max="15879" width="11.36328125" customWidth="1"/>
    <col min="16132" max="16133" width="12.7265625" customWidth="1"/>
    <col min="16135" max="16135" width="11.36328125" customWidth="1"/>
  </cols>
  <sheetData>
    <row r="1" spans="1:28" x14ac:dyDescent="0.35">
      <c r="K1" s="158" t="s">
        <v>77</v>
      </c>
      <c r="L1" s="158"/>
      <c r="M1" s="158"/>
    </row>
    <row r="2" spans="1:28" s="17" customFormat="1" ht="29" x14ac:dyDescent="0.35">
      <c r="A2" s="14"/>
      <c r="B2" s="159" t="s">
        <v>78</v>
      </c>
      <c r="C2" s="159"/>
      <c r="D2" s="159"/>
      <c r="E2" s="15" t="s">
        <v>15</v>
      </c>
      <c r="F2" s="15"/>
      <c r="G2" s="15"/>
      <c r="H2" s="15" t="s">
        <v>17</v>
      </c>
      <c r="I2" s="15"/>
      <c r="J2" s="15"/>
      <c r="K2" s="15" t="s">
        <v>19</v>
      </c>
      <c r="L2" s="15"/>
      <c r="M2" s="15"/>
      <c r="N2" s="15" t="s">
        <v>21</v>
      </c>
      <c r="O2" s="15"/>
      <c r="P2" s="15"/>
      <c r="Q2" s="16" t="s">
        <v>23</v>
      </c>
      <c r="R2" s="159" t="s">
        <v>23</v>
      </c>
      <c r="S2" s="159" t="s">
        <v>23</v>
      </c>
    </row>
    <row r="3" spans="1:28" s="17" customFormat="1" ht="19.25" customHeight="1" x14ac:dyDescent="0.35">
      <c r="A3" s="14" t="s">
        <v>79</v>
      </c>
      <c r="B3" s="14"/>
      <c r="C3" s="160">
        <v>0.8</v>
      </c>
      <c r="D3" s="160">
        <v>0.2</v>
      </c>
      <c r="E3" s="161"/>
      <c r="F3" s="160">
        <v>0.8</v>
      </c>
      <c r="G3" s="160">
        <v>0.2</v>
      </c>
      <c r="I3" s="160">
        <v>0.8</v>
      </c>
      <c r="J3" s="160">
        <v>0.2</v>
      </c>
      <c r="L3" s="160">
        <v>0.8</v>
      </c>
      <c r="M3" s="160">
        <v>0.2</v>
      </c>
      <c r="N3" s="161"/>
      <c r="O3" s="160">
        <v>0.8</v>
      </c>
      <c r="P3" s="160">
        <v>0.2</v>
      </c>
      <c r="Q3" s="162"/>
      <c r="R3" s="163">
        <v>0.8</v>
      </c>
      <c r="S3" s="163">
        <v>0.2</v>
      </c>
      <c r="V3" s="161"/>
      <c r="W3" s="160"/>
      <c r="X3" s="160"/>
      <c r="Y3" s="159"/>
      <c r="Z3" s="164"/>
      <c r="AA3" s="164"/>
      <c r="AB3" s="15"/>
    </row>
    <row r="4" spans="1:28" x14ac:dyDescent="0.35">
      <c r="A4" s="13">
        <v>2007</v>
      </c>
      <c r="E4" s="165"/>
      <c r="F4" s="35"/>
      <c r="G4" s="35"/>
      <c r="H4" s="165"/>
      <c r="I4" s="165"/>
      <c r="J4" s="165"/>
      <c r="K4" s="2">
        <v>0</v>
      </c>
      <c r="L4" s="2"/>
      <c r="M4" s="2"/>
      <c r="N4" s="2">
        <v>0</v>
      </c>
      <c r="O4" s="2"/>
      <c r="P4" s="2"/>
      <c r="Q4" s="166">
        <v>0</v>
      </c>
      <c r="R4" s="167">
        <v>0</v>
      </c>
      <c r="S4" s="167">
        <v>0</v>
      </c>
    </row>
    <row r="5" spans="1:28" x14ac:dyDescent="0.35">
      <c r="A5" s="13">
        <v>2008</v>
      </c>
      <c r="E5" s="165">
        <v>-176.79613333333339</v>
      </c>
      <c r="F5" s="2">
        <f>E5*$F$3</f>
        <v>-141.43690666666672</v>
      </c>
      <c r="G5" s="2">
        <f t="shared" ref="G5:G38" si="0">E5*$G$3</f>
        <v>-35.359226666666679</v>
      </c>
      <c r="H5" s="165"/>
      <c r="I5" s="165"/>
      <c r="J5" s="165"/>
      <c r="K5" s="2">
        <v>0</v>
      </c>
      <c r="L5" s="2"/>
      <c r="M5" s="2"/>
      <c r="N5" s="2">
        <v>0</v>
      </c>
      <c r="O5" s="2"/>
      <c r="P5" s="2"/>
      <c r="Q5" s="166">
        <f>B5+E5+H5+K5+N5</f>
        <v>-176.79613333333339</v>
      </c>
      <c r="R5" s="167">
        <f>C5+F5+I5+L5+O5</f>
        <v>-141.43690666666672</v>
      </c>
      <c r="S5" s="167">
        <f t="shared" ref="S5:S16" si="1">D5+G5+J5+M5+P5</f>
        <v>-35.359226666666679</v>
      </c>
    </row>
    <row r="6" spans="1:28" x14ac:dyDescent="0.35">
      <c r="A6" s="13">
        <v>2009</v>
      </c>
      <c r="E6" s="165">
        <v>462.56293333333304</v>
      </c>
      <c r="F6" s="2">
        <f>E6*$F$3</f>
        <v>370.05034666666643</v>
      </c>
      <c r="G6" s="2">
        <f t="shared" si="0"/>
        <v>92.512586666666607</v>
      </c>
      <c r="H6" s="165"/>
      <c r="I6" s="165"/>
      <c r="J6" s="165"/>
      <c r="K6" s="2">
        <v>0</v>
      </c>
      <c r="L6" s="2"/>
      <c r="M6" s="2"/>
      <c r="N6" s="2">
        <v>0</v>
      </c>
      <c r="O6" s="2"/>
      <c r="P6" s="2"/>
      <c r="Q6" s="166">
        <f>B6+E6+H6+K6+N6</f>
        <v>462.56293333333304</v>
      </c>
      <c r="R6" s="167">
        <f>C6+F6+I6+L6+O6</f>
        <v>370.05034666666643</v>
      </c>
      <c r="S6" s="167">
        <f t="shared" si="1"/>
        <v>92.512586666666607</v>
      </c>
    </row>
    <row r="7" spans="1:28" x14ac:dyDescent="0.35">
      <c r="A7" s="13">
        <v>2010</v>
      </c>
      <c r="E7" s="165">
        <v>2153.808133333333</v>
      </c>
      <c r="F7" s="2">
        <f t="shared" ref="F7:F38" si="2">E7*$F$3</f>
        <v>1723.0465066666666</v>
      </c>
      <c r="G7" s="2">
        <f t="shared" si="0"/>
        <v>430.76162666666664</v>
      </c>
      <c r="H7" s="165">
        <v>0</v>
      </c>
      <c r="I7" s="165"/>
      <c r="J7" s="165"/>
      <c r="K7" s="165">
        <v>0</v>
      </c>
      <c r="L7" s="165"/>
      <c r="M7" s="165"/>
      <c r="N7" s="2">
        <v>0</v>
      </c>
      <c r="O7" s="2"/>
      <c r="P7" s="2"/>
      <c r="Q7" s="166">
        <f t="shared" ref="Q7:S19" si="3">B7+E7+H7+K7+N7</f>
        <v>2153.808133333333</v>
      </c>
      <c r="R7" s="167">
        <f t="shared" si="3"/>
        <v>1723.0465066666666</v>
      </c>
      <c r="S7" s="167">
        <f t="shared" si="1"/>
        <v>430.76162666666664</v>
      </c>
    </row>
    <row r="8" spans="1:28" x14ac:dyDescent="0.35">
      <c r="A8" s="13">
        <v>2011</v>
      </c>
      <c r="E8" s="165">
        <v>2362.5500000000015</v>
      </c>
      <c r="F8" s="2">
        <f t="shared" si="2"/>
        <v>1890.0400000000013</v>
      </c>
      <c r="G8" s="2">
        <f t="shared" si="0"/>
        <v>472.51000000000033</v>
      </c>
      <c r="H8" s="165">
        <v>0</v>
      </c>
      <c r="I8" s="2">
        <f>H8*$I$3</f>
        <v>0</v>
      </c>
      <c r="J8" s="2">
        <f>H8*$J$3</f>
        <v>0</v>
      </c>
      <c r="K8" s="168">
        <v>0</v>
      </c>
      <c r="L8" s="168"/>
      <c r="M8" s="168"/>
      <c r="N8" s="2">
        <v>0</v>
      </c>
      <c r="O8" s="2"/>
      <c r="P8" s="2"/>
      <c r="Q8" s="166">
        <f t="shared" si="3"/>
        <v>2362.5500000000015</v>
      </c>
      <c r="R8" s="167">
        <f t="shared" si="3"/>
        <v>1890.0400000000013</v>
      </c>
      <c r="S8" s="167">
        <f t="shared" si="1"/>
        <v>472.51000000000033</v>
      </c>
    </row>
    <row r="9" spans="1:28" x14ac:dyDescent="0.35">
      <c r="A9" s="13">
        <v>2012</v>
      </c>
      <c r="E9" s="165">
        <v>2342.7931999999983</v>
      </c>
      <c r="F9" s="2">
        <f t="shared" si="2"/>
        <v>1874.2345599999987</v>
      </c>
      <c r="G9" s="2">
        <f t="shared" si="0"/>
        <v>468.55863999999968</v>
      </c>
      <c r="H9" s="165">
        <v>5441.8087486627064</v>
      </c>
      <c r="I9" s="2">
        <f t="shared" ref="I9:I38" si="4">H9*$I$3</f>
        <v>4353.4469989301651</v>
      </c>
      <c r="J9" s="2">
        <f t="shared" ref="J9:J38" si="5">H9*$J$3</f>
        <v>1088.3617497325413</v>
      </c>
      <c r="K9" s="169">
        <v>2219.0841721275915</v>
      </c>
      <c r="L9" s="2">
        <f>K9*$L$3</f>
        <v>1775.2673377020733</v>
      </c>
      <c r="M9" s="2">
        <f>K9*$M$3</f>
        <v>443.81683442551832</v>
      </c>
      <c r="N9" s="170">
        <v>0</v>
      </c>
      <c r="O9" s="170"/>
      <c r="P9" s="170"/>
      <c r="Q9" s="166">
        <f>B9+E9+H9+K9+N9</f>
        <v>10003.686120790297</v>
      </c>
      <c r="R9" s="167">
        <f t="shared" si="3"/>
        <v>8002.9488966322369</v>
      </c>
      <c r="S9" s="167">
        <f t="shared" si="1"/>
        <v>2000.7372241580592</v>
      </c>
    </row>
    <row r="10" spans="1:28" x14ac:dyDescent="0.35">
      <c r="A10" s="13">
        <v>2013</v>
      </c>
      <c r="B10" s="171"/>
      <c r="C10" s="171"/>
      <c r="D10" s="171"/>
      <c r="E10" s="165">
        <v>2514.8244000000013</v>
      </c>
      <c r="F10" s="2">
        <f t="shared" si="2"/>
        <v>2011.8595200000011</v>
      </c>
      <c r="G10" s="2">
        <f t="shared" si="0"/>
        <v>502.96488000000028</v>
      </c>
      <c r="H10" s="165">
        <v>7582.5428715186881</v>
      </c>
      <c r="I10" s="2">
        <f t="shared" si="4"/>
        <v>6066.034297214951</v>
      </c>
      <c r="J10" s="2">
        <f t="shared" si="5"/>
        <v>1516.5085743037378</v>
      </c>
      <c r="K10" s="169">
        <v>3498.9990327847686</v>
      </c>
      <c r="L10" s="2">
        <f t="shared" ref="L10:L38" si="6">K10*$L$3</f>
        <v>2799.199226227815</v>
      </c>
      <c r="M10" s="2">
        <f t="shared" ref="M10:M38" si="7">K10*$M$3</f>
        <v>699.79980655695374</v>
      </c>
      <c r="N10" s="170">
        <v>-75.020259505318819</v>
      </c>
      <c r="O10" s="2">
        <f>N10*$O$3</f>
        <v>-60.016207604255058</v>
      </c>
      <c r="P10" s="2">
        <f>N10*$P$3</f>
        <v>-15.004051901063765</v>
      </c>
      <c r="Q10" s="166">
        <f t="shared" si="3"/>
        <v>13521.346044798138</v>
      </c>
      <c r="R10" s="167">
        <f t="shared" si="3"/>
        <v>10817.076835838512</v>
      </c>
      <c r="S10" s="167">
        <f t="shared" si="1"/>
        <v>2704.269208959628</v>
      </c>
    </row>
    <row r="11" spans="1:28" x14ac:dyDescent="0.35">
      <c r="A11" s="13">
        <v>2014</v>
      </c>
      <c r="B11" s="171">
        <v>-592.0344969696979</v>
      </c>
      <c r="C11" s="2">
        <f t="shared" ref="C11:C12" si="8">B11*$C$3</f>
        <v>-473.62759757575833</v>
      </c>
      <c r="D11" s="2">
        <f t="shared" ref="D11:D12" si="9">B11*$D$3</f>
        <v>-118.40689939393958</v>
      </c>
      <c r="E11" s="165">
        <v>2609.75</v>
      </c>
      <c r="F11" s="2">
        <f t="shared" si="2"/>
        <v>2087.8000000000002</v>
      </c>
      <c r="G11" s="2">
        <f t="shared" si="0"/>
        <v>521.95000000000005</v>
      </c>
      <c r="H11" s="165">
        <v>7582.5428715186863</v>
      </c>
      <c r="I11" s="2">
        <f t="shared" si="4"/>
        <v>6066.0342972149492</v>
      </c>
      <c r="J11" s="2">
        <f t="shared" si="5"/>
        <v>1516.5085743037373</v>
      </c>
      <c r="K11" s="169">
        <v>4417.5576994514322</v>
      </c>
      <c r="L11" s="2">
        <f t="shared" si="6"/>
        <v>3534.0461595611459</v>
      </c>
      <c r="M11" s="2">
        <f t="shared" si="7"/>
        <v>883.51153989028649</v>
      </c>
      <c r="N11" s="170">
        <v>3539.6238708429478</v>
      </c>
      <c r="O11" s="2">
        <f>N11*$O$3</f>
        <v>2831.6990966743583</v>
      </c>
      <c r="P11" s="2">
        <f>N11*$P$3</f>
        <v>707.92477416858958</v>
      </c>
      <c r="Q11" s="166">
        <f t="shared" si="3"/>
        <v>17557.439944843369</v>
      </c>
      <c r="R11" s="167">
        <f t="shared" si="3"/>
        <v>14045.951955874694</v>
      </c>
      <c r="S11" s="167">
        <f t="shared" si="1"/>
        <v>3511.4879889686736</v>
      </c>
    </row>
    <row r="12" spans="1:28" x14ac:dyDescent="0.35">
      <c r="A12" s="13">
        <v>2015</v>
      </c>
      <c r="B12" s="171">
        <v>2864.0129696969698</v>
      </c>
      <c r="C12" s="2">
        <f t="shared" si="8"/>
        <v>2291.210375757576</v>
      </c>
      <c r="D12" s="2">
        <f t="shared" si="9"/>
        <v>572.802593939394</v>
      </c>
      <c r="E12" s="165">
        <v>2609.7499999999982</v>
      </c>
      <c r="F12" s="2">
        <f t="shared" si="2"/>
        <v>2087.7999999999988</v>
      </c>
      <c r="G12" s="2">
        <f t="shared" si="0"/>
        <v>521.9499999999997</v>
      </c>
      <c r="H12" s="165">
        <v>7582.5428715186827</v>
      </c>
      <c r="I12" s="2">
        <f t="shared" si="4"/>
        <v>6066.0342972149465</v>
      </c>
      <c r="J12" s="2">
        <f t="shared" si="5"/>
        <v>1516.5085743037366</v>
      </c>
      <c r="K12" s="169">
        <v>4417.5576994514322</v>
      </c>
      <c r="L12" s="2">
        <f t="shared" si="6"/>
        <v>3534.0461595611459</v>
      </c>
      <c r="M12" s="2">
        <f t="shared" si="7"/>
        <v>883.51153989028649</v>
      </c>
      <c r="N12" s="170">
        <v>3539.6238708429478</v>
      </c>
      <c r="O12" s="2">
        <f t="shared" ref="O12:O38" si="10">N12*$O$3</f>
        <v>2831.6990966743583</v>
      </c>
      <c r="P12" s="2">
        <f t="shared" ref="P12:P38" si="11">N12*$P$3</f>
        <v>707.92477416858958</v>
      </c>
      <c r="Q12" s="166">
        <f>B12+E12+H12+K12+N12</f>
        <v>21013.487411510028</v>
      </c>
      <c r="R12" s="167">
        <f t="shared" si="3"/>
        <v>16810.789929208026</v>
      </c>
      <c r="S12" s="167">
        <f t="shared" si="1"/>
        <v>4202.6974823020064</v>
      </c>
    </row>
    <row r="13" spans="1:28" x14ac:dyDescent="0.35">
      <c r="A13" s="13">
        <v>2016</v>
      </c>
      <c r="B13" s="171">
        <v>2864.0129696969698</v>
      </c>
      <c r="C13" s="2">
        <f>B13*$C$3</f>
        <v>2291.210375757576</v>
      </c>
      <c r="D13" s="2">
        <f>B13*$D$3</f>
        <v>572.802593939394</v>
      </c>
      <c r="E13" s="165">
        <v>2609.7499999999982</v>
      </c>
      <c r="F13" s="2">
        <f t="shared" si="2"/>
        <v>2087.7999999999988</v>
      </c>
      <c r="G13" s="2">
        <f t="shared" si="0"/>
        <v>521.9499999999997</v>
      </c>
      <c r="H13" s="165">
        <v>7582.542871518679</v>
      </c>
      <c r="I13" s="2">
        <f t="shared" si="4"/>
        <v>6066.0342972149438</v>
      </c>
      <c r="J13" s="2">
        <f t="shared" si="5"/>
        <v>1516.5085743037359</v>
      </c>
      <c r="K13" s="169">
        <v>4417.557699451434</v>
      </c>
      <c r="L13" s="2">
        <f t="shared" si="6"/>
        <v>3534.0461595611473</v>
      </c>
      <c r="M13" s="2">
        <f t="shared" si="7"/>
        <v>883.51153989028683</v>
      </c>
      <c r="N13" s="170">
        <v>3539.6238708429482</v>
      </c>
      <c r="O13" s="2">
        <f t="shared" si="10"/>
        <v>2831.6990966743588</v>
      </c>
      <c r="P13" s="2">
        <f t="shared" si="11"/>
        <v>707.92477416858969</v>
      </c>
      <c r="Q13" s="166">
        <f t="shared" si="3"/>
        <v>21013.487411510028</v>
      </c>
      <c r="R13" s="167">
        <f t="shared" si="3"/>
        <v>16810.789929208026</v>
      </c>
      <c r="S13" s="167">
        <f t="shared" si="1"/>
        <v>4202.6974823020064</v>
      </c>
    </row>
    <row r="14" spans="1:28" x14ac:dyDescent="0.35">
      <c r="A14" s="13">
        <v>2017</v>
      </c>
      <c r="B14" s="171">
        <v>2864.0129696969689</v>
      </c>
      <c r="C14" s="2">
        <f t="shared" ref="C14:C38" si="12">B14*$C$3</f>
        <v>2291.2103757575751</v>
      </c>
      <c r="D14" s="2">
        <f t="shared" ref="D14:D38" si="13">B14*$D$3</f>
        <v>572.80259393939377</v>
      </c>
      <c r="E14" s="165">
        <v>2609.75</v>
      </c>
      <c r="F14" s="2">
        <f t="shared" si="2"/>
        <v>2087.8000000000002</v>
      </c>
      <c r="G14" s="2">
        <f t="shared" si="0"/>
        <v>521.95000000000005</v>
      </c>
      <c r="H14" s="165">
        <v>7582.5428715186863</v>
      </c>
      <c r="I14" s="2">
        <f t="shared" si="4"/>
        <v>6066.0342972149492</v>
      </c>
      <c r="J14" s="2">
        <f t="shared" si="5"/>
        <v>1516.5085743037373</v>
      </c>
      <c r="K14" s="169">
        <v>4417.557699451434</v>
      </c>
      <c r="L14" s="2">
        <f t="shared" si="6"/>
        <v>3534.0461595611473</v>
      </c>
      <c r="M14" s="2">
        <f t="shared" si="7"/>
        <v>883.51153989028683</v>
      </c>
      <c r="N14" s="170">
        <v>3539.6238708429501</v>
      </c>
      <c r="O14" s="2">
        <f t="shared" si="10"/>
        <v>2831.6990966743601</v>
      </c>
      <c r="P14" s="2">
        <f t="shared" si="11"/>
        <v>707.92477416859003</v>
      </c>
      <c r="Q14" s="166">
        <f t="shared" si="3"/>
        <v>21013.487411510039</v>
      </c>
      <c r="R14" s="167">
        <f t="shared" si="3"/>
        <v>16810.789929208033</v>
      </c>
      <c r="S14" s="167">
        <f t="shared" si="1"/>
        <v>4202.6974823020082</v>
      </c>
    </row>
    <row r="15" spans="1:28" x14ac:dyDescent="0.35">
      <c r="A15" s="13">
        <v>2018</v>
      </c>
      <c r="B15" s="171">
        <v>2864.0129696969725</v>
      </c>
      <c r="C15" s="2">
        <f>B15*$C$3</f>
        <v>2291.2103757575783</v>
      </c>
      <c r="D15" s="2">
        <f t="shared" si="13"/>
        <v>572.80259393939457</v>
      </c>
      <c r="E15" s="165">
        <v>2609.75</v>
      </c>
      <c r="F15" s="2">
        <f t="shared" si="2"/>
        <v>2087.8000000000002</v>
      </c>
      <c r="G15" s="2">
        <f t="shared" si="0"/>
        <v>521.95000000000005</v>
      </c>
      <c r="H15" s="165">
        <v>7582.5428715186936</v>
      </c>
      <c r="I15" s="2">
        <f t="shared" si="4"/>
        <v>6066.0342972149556</v>
      </c>
      <c r="J15" s="2">
        <f t="shared" si="5"/>
        <v>1516.5085743037389</v>
      </c>
      <c r="K15" s="169">
        <v>4417.557699451434</v>
      </c>
      <c r="L15" s="2">
        <f t="shared" si="6"/>
        <v>3534.0461595611473</v>
      </c>
      <c r="M15" s="2">
        <f t="shared" si="7"/>
        <v>883.51153989028683</v>
      </c>
      <c r="N15" s="170">
        <v>3539.6238708429464</v>
      </c>
      <c r="O15" s="2">
        <f t="shared" si="10"/>
        <v>2831.6990966743574</v>
      </c>
      <c r="P15" s="2">
        <f t="shared" si="11"/>
        <v>707.92477416858935</v>
      </c>
      <c r="Q15" s="166">
        <f t="shared" si="3"/>
        <v>21013.487411510047</v>
      </c>
      <c r="R15" s="167">
        <f t="shared" si="3"/>
        <v>16810.789929208036</v>
      </c>
      <c r="S15" s="167">
        <f t="shared" si="1"/>
        <v>4202.6974823020091</v>
      </c>
    </row>
    <row r="16" spans="1:28" ht="33" customHeight="1" x14ac:dyDescent="0.35">
      <c r="A16" s="13">
        <v>2019</v>
      </c>
      <c r="B16" s="171">
        <v>2864.012969696967</v>
      </c>
      <c r="C16" s="2">
        <f t="shared" si="12"/>
        <v>2291.2103757575737</v>
      </c>
      <c r="D16" s="2">
        <f t="shared" si="13"/>
        <v>572.80259393939343</v>
      </c>
      <c r="E16" s="165">
        <v>64.277000000001863</v>
      </c>
      <c r="F16" s="2">
        <f t="shared" si="2"/>
        <v>51.42160000000149</v>
      </c>
      <c r="G16" s="2">
        <f t="shared" si="0"/>
        <v>12.855400000000373</v>
      </c>
      <c r="H16" s="165">
        <v>7582.542871518679</v>
      </c>
      <c r="I16" s="2">
        <f t="shared" si="4"/>
        <v>6066.0342972149438</v>
      </c>
      <c r="J16" s="2">
        <f t="shared" si="5"/>
        <v>1516.5085743037359</v>
      </c>
      <c r="K16" s="169">
        <v>4417.5576994514377</v>
      </c>
      <c r="L16" s="2">
        <f t="shared" si="6"/>
        <v>3534.0461595611505</v>
      </c>
      <c r="M16" s="2">
        <f t="shared" si="7"/>
        <v>883.51153989028762</v>
      </c>
      <c r="N16" s="169">
        <v>3539.6238708429519</v>
      </c>
      <c r="O16" s="2">
        <f t="shared" si="10"/>
        <v>2831.6990966743615</v>
      </c>
      <c r="P16" s="2">
        <f t="shared" si="11"/>
        <v>707.92477416859037</v>
      </c>
      <c r="Q16" s="166">
        <f>B16+E16+H16+K16+N16</f>
        <v>18468.014411510037</v>
      </c>
      <c r="R16" s="167">
        <f t="shared" si="3"/>
        <v>14774.411529208031</v>
      </c>
      <c r="S16" s="167">
        <f t="shared" si="1"/>
        <v>3693.6028823020079</v>
      </c>
    </row>
    <row r="17" spans="1:19" ht="39" customHeight="1" x14ac:dyDescent="0.35">
      <c r="A17" s="13">
        <v>2020</v>
      </c>
      <c r="B17" s="165">
        <v>2864.0129696969707</v>
      </c>
      <c r="C17" s="2">
        <f t="shared" si="12"/>
        <v>2291.2103757575765</v>
      </c>
      <c r="D17" s="2">
        <f t="shared" si="13"/>
        <v>572.80259393939411</v>
      </c>
      <c r="E17" s="165">
        <v>-2386.4798499999997</v>
      </c>
      <c r="F17" s="2">
        <f>E17*$F$3</f>
        <v>-1909.1838799999998</v>
      </c>
      <c r="G17" s="2">
        <f t="shared" si="0"/>
        <v>-477.29596999999995</v>
      </c>
      <c r="H17" s="165">
        <v>7582.542871518679</v>
      </c>
      <c r="I17" s="2">
        <f t="shared" si="4"/>
        <v>6066.0342972149438</v>
      </c>
      <c r="J17" s="2">
        <f t="shared" si="5"/>
        <v>1516.5085743037359</v>
      </c>
      <c r="K17" s="169">
        <v>4417.5576994514231</v>
      </c>
      <c r="L17" s="2">
        <f t="shared" si="6"/>
        <v>3534.0461595611387</v>
      </c>
      <c r="M17" s="2">
        <f t="shared" si="7"/>
        <v>883.51153989028467</v>
      </c>
      <c r="N17" s="169">
        <v>3539.6238708429446</v>
      </c>
      <c r="O17" s="2">
        <f t="shared" si="10"/>
        <v>2831.699096674356</v>
      </c>
      <c r="P17" s="2">
        <f t="shared" si="11"/>
        <v>707.92477416858901</v>
      </c>
      <c r="Q17" s="166">
        <f>B17+E17+H17+K17+N17</f>
        <v>16017.257561510018</v>
      </c>
      <c r="R17" s="167">
        <f t="shared" si="3"/>
        <v>12813.806049208015</v>
      </c>
      <c r="S17" s="167">
        <f t="shared" si="3"/>
        <v>3203.4515123020037</v>
      </c>
    </row>
    <row r="18" spans="1:19" x14ac:dyDescent="0.35">
      <c r="A18" s="172" t="s">
        <v>80</v>
      </c>
      <c r="B18" s="173">
        <f>SUM(B5:B17)</f>
        <v>16592.043321212121</v>
      </c>
      <c r="C18" s="173">
        <f>SUM(C5:C17)</f>
        <v>13273.634656969698</v>
      </c>
      <c r="D18" s="173">
        <f>SUM(D5:D17)</f>
        <v>3318.4086642424245</v>
      </c>
      <c r="E18" s="173">
        <f>SUM(E4:E17)</f>
        <v>20386.289683333333</v>
      </c>
      <c r="F18" s="173">
        <f>E18*$F$3</f>
        <v>16309.031746666667</v>
      </c>
      <c r="G18" s="173">
        <f>E18*$G$3</f>
        <v>4077.2579366666669</v>
      </c>
      <c r="H18" s="173">
        <f>SUM(H4:H17)</f>
        <v>66102.15172081218</v>
      </c>
      <c r="I18" s="173">
        <f t="shared" si="4"/>
        <v>52881.721376649744</v>
      </c>
      <c r="J18" s="173">
        <f t="shared" si="5"/>
        <v>13220.430344162436</v>
      </c>
      <c r="K18" s="173">
        <f>SUM(K4:K17)</f>
        <v>36640.987101072387</v>
      </c>
      <c r="L18" s="173">
        <f t="shared" si="6"/>
        <v>29312.78968085791</v>
      </c>
      <c r="M18" s="173">
        <f t="shared" si="7"/>
        <v>7328.1974202144775</v>
      </c>
      <c r="N18" s="173">
        <f>SUM(N4:N17)</f>
        <v>24702.346836395318</v>
      </c>
      <c r="O18" s="173">
        <f>N18*$O$3</f>
        <v>19761.877469116254</v>
      </c>
      <c r="P18" s="173">
        <f t="shared" si="11"/>
        <v>4940.4693672790636</v>
      </c>
      <c r="Q18" s="174">
        <f>B18+E18+H18+K18+N18</f>
        <v>164423.81866282533</v>
      </c>
      <c r="R18" s="175">
        <f t="shared" si="3"/>
        <v>131539.05493026029</v>
      </c>
      <c r="S18" s="176">
        <f t="shared" si="3"/>
        <v>32884.763732565072</v>
      </c>
    </row>
    <row r="19" spans="1:19" x14ac:dyDescent="0.35">
      <c r="A19" s="172" t="s">
        <v>81</v>
      </c>
      <c r="B19" s="19">
        <v>9348</v>
      </c>
      <c r="C19" s="19">
        <f>B19*$C$3</f>
        <v>7478.4000000000005</v>
      </c>
      <c r="D19" s="19">
        <f>B19*$D$3</f>
        <v>1869.6000000000001</v>
      </c>
      <c r="E19" s="19">
        <v>10891</v>
      </c>
      <c r="F19" s="177">
        <f>E19*$F$3</f>
        <v>8712.8000000000011</v>
      </c>
      <c r="G19" s="177">
        <f t="shared" si="0"/>
        <v>2178.2000000000003</v>
      </c>
      <c r="H19" s="19">
        <v>76428</v>
      </c>
      <c r="I19" s="177">
        <f t="shared" si="4"/>
        <v>61142.400000000001</v>
      </c>
      <c r="J19" s="177">
        <f t="shared" si="5"/>
        <v>15285.6</v>
      </c>
      <c r="K19" s="19">
        <v>49803</v>
      </c>
      <c r="L19" s="177">
        <f t="shared" si="6"/>
        <v>39842.400000000001</v>
      </c>
      <c r="M19" s="177">
        <f t="shared" si="7"/>
        <v>9960.6</v>
      </c>
      <c r="N19" s="19">
        <v>29389</v>
      </c>
      <c r="O19" s="177">
        <f t="shared" si="10"/>
        <v>23511.200000000001</v>
      </c>
      <c r="P19" s="177">
        <f t="shared" si="11"/>
        <v>5877.8</v>
      </c>
      <c r="Q19" s="174">
        <f>B19+E19+H19+K19+N19</f>
        <v>175859</v>
      </c>
      <c r="R19" s="175">
        <f t="shared" si="3"/>
        <v>140687.20000000001</v>
      </c>
      <c r="S19" s="176">
        <f t="shared" si="3"/>
        <v>35171.800000000003</v>
      </c>
    </row>
    <row r="20" spans="1:19" ht="15" thickBot="1" x14ac:dyDescent="0.4">
      <c r="A20" s="178" t="s">
        <v>82</v>
      </c>
      <c r="B20" s="179">
        <f>B19-B18</f>
        <v>-7244.0433212121206</v>
      </c>
      <c r="C20" s="179">
        <f>C19-C18</f>
        <v>-5795.2346569696974</v>
      </c>
      <c r="D20" s="179">
        <f t="shared" ref="D20" si="14">D19-D18</f>
        <v>-1448.8086642424244</v>
      </c>
      <c r="E20" s="180">
        <f>E19-E18</f>
        <v>-9495.2896833333325</v>
      </c>
      <c r="F20" s="180">
        <f t="shared" ref="F20:G20" si="15">F19-F18</f>
        <v>-7596.2317466666664</v>
      </c>
      <c r="G20" s="180">
        <f t="shared" si="15"/>
        <v>-1899.0579366666666</v>
      </c>
      <c r="H20" s="179">
        <f>H19-H18</f>
        <v>10325.84827918782</v>
      </c>
      <c r="I20" s="179">
        <f t="shared" ref="I20:J20" si="16">I19-I18</f>
        <v>8260.6786233502571</v>
      </c>
      <c r="J20" s="179">
        <f t="shared" si="16"/>
        <v>2065.1696558375643</v>
      </c>
      <c r="K20" s="179">
        <f>K19-K18</f>
        <v>13162.012898927613</v>
      </c>
      <c r="L20" s="179">
        <f t="shared" ref="L20:M20" si="17">L19-L18</f>
        <v>10529.610319142092</v>
      </c>
      <c r="M20" s="179">
        <f t="shared" si="17"/>
        <v>2632.4025797855229</v>
      </c>
      <c r="N20" s="179">
        <f>N19-N18</f>
        <v>4686.653163604682</v>
      </c>
      <c r="O20" s="179">
        <f t="shared" ref="O20:P20" si="18">O19-O18</f>
        <v>3749.3225308837464</v>
      </c>
      <c r="P20" s="179">
        <f t="shared" si="18"/>
        <v>937.33063272093659</v>
      </c>
      <c r="Q20" s="181">
        <f>Q19-Q18</f>
        <v>11435.181337174668</v>
      </c>
      <c r="R20" s="179">
        <f>R19-R18</f>
        <v>9148.1450697397231</v>
      </c>
      <c r="S20" s="179">
        <f>S19-S18</f>
        <v>2287.0362674349308</v>
      </c>
    </row>
    <row r="21" spans="1:19" ht="15" thickTop="1" x14ac:dyDescent="0.35">
      <c r="A21" s="13">
        <v>2021</v>
      </c>
      <c r="B21" s="171">
        <v>2864.012969696967</v>
      </c>
      <c r="C21" s="2">
        <f t="shared" si="12"/>
        <v>2291.2103757575737</v>
      </c>
      <c r="D21" s="2">
        <f t="shared" si="13"/>
        <v>572.80259393939343</v>
      </c>
      <c r="E21" s="35">
        <v>1506.0307500000017</v>
      </c>
      <c r="F21" s="2">
        <f>E21*$F$3</f>
        <v>1204.8246000000015</v>
      </c>
      <c r="G21" s="2">
        <f t="shared" si="0"/>
        <v>301.20615000000038</v>
      </c>
      <c r="H21" s="171">
        <v>7582.5428715187008</v>
      </c>
      <c r="I21" s="2">
        <f>H21*$I$3</f>
        <v>6066.034297214961</v>
      </c>
      <c r="J21" s="2">
        <f t="shared" si="5"/>
        <v>1516.5085743037403</v>
      </c>
      <c r="K21" s="171">
        <v>4417.5576994514413</v>
      </c>
      <c r="L21" s="2">
        <f t="shared" si="6"/>
        <v>3534.0461595611532</v>
      </c>
      <c r="M21" s="2">
        <f t="shared" si="7"/>
        <v>883.5115398902883</v>
      </c>
      <c r="N21" s="171">
        <v>3539.6238708429519</v>
      </c>
      <c r="O21" s="2">
        <f t="shared" si="10"/>
        <v>2831.6990966743615</v>
      </c>
      <c r="P21" s="2">
        <f t="shared" si="11"/>
        <v>707.92477416859037</v>
      </c>
      <c r="Q21" s="166">
        <f>B21+E21+H21+K21+N21</f>
        <v>19909.768161510063</v>
      </c>
      <c r="R21" s="167">
        <f t="shared" ref="R21:S37" si="19">C21+F21+I21+L21+O21</f>
        <v>15927.814529208052</v>
      </c>
      <c r="S21" s="167">
        <f>D21+G21+J21+M21+P21</f>
        <v>3981.9536323020129</v>
      </c>
    </row>
    <row r="22" spans="1:19" x14ac:dyDescent="0.35">
      <c r="A22" s="13">
        <v>2022</v>
      </c>
      <c r="B22" s="171">
        <v>2864.0129696969707</v>
      </c>
      <c r="C22" s="2">
        <f t="shared" si="12"/>
        <v>2291.2103757575765</v>
      </c>
      <c r="D22" s="2">
        <f t="shared" si="13"/>
        <v>572.80259393939411</v>
      </c>
      <c r="E22" s="35">
        <v>2034.9459499999939</v>
      </c>
      <c r="F22" s="2">
        <f t="shared" si="2"/>
        <v>1627.9567599999953</v>
      </c>
      <c r="G22" s="2">
        <f t="shared" si="0"/>
        <v>406.98918999999881</v>
      </c>
      <c r="H22" s="171">
        <v>-23374.421572138017</v>
      </c>
      <c r="I22" s="2">
        <f>H22*$I$3</f>
        <v>-18699.537257710414</v>
      </c>
      <c r="J22" s="2">
        <f t="shared" si="5"/>
        <v>-4674.8843144276034</v>
      </c>
      <c r="K22" s="171">
        <v>-9810.3763036985329</v>
      </c>
      <c r="L22" s="2">
        <f>K22*$L$3</f>
        <v>-7848.3010429588267</v>
      </c>
      <c r="M22" s="2">
        <f t="shared" si="7"/>
        <v>-1962.0752607397067</v>
      </c>
      <c r="N22" s="171">
        <v>3539.6238708429519</v>
      </c>
      <c r="O22" s="2">
        <f>N22*$O$3</f>
        <v>2831.6990966743615</v>
      </c>
      <c r="P22" s="2">
        <f t="shared" si="11"/>
        <v>707.92477416859037</v>
      </c>
      <c r="Q22" s="166">
        <f>B22+E22+H22+K22+N22</f>
        <v>-24746.215085296633</v>
      </c>
      <c r="R22" s="167">
        <f t="shared" si="19"/>
        <v>-19796.972068237308</v>
      </c>
      <c r="S22" s="167">
        <f t="shared" si="19"/>
        <v>-4949.243017059327</v>
      </c>
    </row>
    <row r="23" spans="1:19" x14ac:dyDescent="0.35">
      <c r="A23" s="13">
        <v>2023</v>
      </c>
      <c r="B23" s="171">
        <v>2864.0129696969707</v>
      </c>
      <c r="C23" s="2">
        <f t="shared" si="12"/>
        <v>2291.2103757575765</v>
      </c>
      <c r="D23" s="2">
        <f t="shared" si="13"/>
        <v>572.80259393939411</v>
      </c>
      <c r="E23" s="35">
        <v>1288.7739500000025</v>
      </c>
      <c r="F23" s="2">
        <f>E23*$F$3</f>
        <v>1031.0191600000021</v>
      </c>
      <c r="G23" s="2">
        <f t="shared" si="0"/>
        <v>257.75479000000053</v>
      </c>
      <c r="H23" s="171">
        <v>-7092.9597214438691</v>
      </c>
      <c r="I23" s="2">
        <f t="shared" si="4"/>
        <v>-5674.3677771550956</v>
      </c>
      <c r="J23" s="2">
        <f t="shared" si="5"/>
        <v>-1418.5919442887739</v>
      </c>
      <c r="K23" s="171">
        <v>-3465.475263371045</v>
      </c>
      <c r="L23" s="2">
        <f t="shared" si="6"/>
        <v>-2772.380210696836</v>
      </c>
      <c r="M23" s="2">
        <f t="shared" si="7"/>
        <v>-693.095052674209</v>
      </c>
      <c r="N23" s="171">
        <v>3539.623870842941</v>
      </c>
      <c r="O23" s="2">
        <f t="shared" si="10"/>
        <v>2831.6990966743529</v>
      </c>
      <c r="P23" s="2">
        <f t="shared" si="11"/>
        <v>707.92477416858821</v>
      </c>
      <c r="Q23" s="166">
        <f t="shared" ref="Q23:S38" si="20">B23+E23+H23+K23+N23</f>
        <v>-2866.0241942749999</v>
      </c>
      <c r="R23" s="167">
        <f t="shared" si="19"/>
        <v>-2292.8193554200002</v>
      </c>
      <c r="S23" s="167">
        <f t="shared" si="19"/>
        <v>-573.20483885500005</v>
      </c>
    </row>
    <row r="24" spans="1:19" x14ac:dyDescent="0.35">
      <c r="A24" s="13">
        <v>2024</v>
      </c>
      <c r="B24" s="171">
        <v>2864.0129696969707</v>
      </c>
      <c r="C24" s="2">
        <f t="shared" si="12"/>
        <v>2291.2103757575765</v>
      </c>
      <c r="D24" s="2">
        <f t="shared" si="13"/>
        <v>572.80259393939411</v>
      </c>
      <c r="E24" s="35">
        <v>1758.7005500000014</v>
      </c>
      <c r="F24" s="2">
        <f t="shared" si="2"/>
        <v>1406.9604400000012</v>
      </c>
      <c r="G24" s="2">
        <f t="shared" si="0"/>
        <v>351.7401100000003</v>
      </c>
      <c r="H24" s="171">
        <v>4795.9583662355581</v>
      </c>
      <c r="I24" s="2">
        <f t="shared" si="4"/>
        <v>3836.7666929884467</v>
      </c>
      <c r="J24" s="2">
        <f t="shared" si="5"/>
        <v>959.19167324711168</v>
      </c>
      <c r="K24" s="171">
        <v>-1768.8721253281328</v>
      </c>
      <c r="L24" s="2">
        <f t="shared" si="6"/>
        <v>-1415.0977002625064</v>
      </c>
      <c r="M24" s="2">
        <f t="shared" si="7"/>
        <v>-353.77442506562659</v>
      </c>
      <c r="N24" s="171">
        <v>-11265.775017710523</v>
      </c>
      <c r="O24" s="2">
        <f>N24*$O$3</f>
        <v>-9012.6200141684185</v>
      </c>
      <c r="P24" s="2">
        <f>N24*$P$3</f>
        <v>-2253.1550035421046</v>
      </c>
      <c r="Q24" s="166">
        <f t="shared" si="20"/>
        <v>-3615.9752571061254</v>
      </c>
      <c r="R24" s="167">
        <f>C24+F24+I24+L24+O24</f>
        <v>-2892.7802056848996</v>
      </c>
      <c r="S24" s="167">
        <f t="shared" si="19"/>
        <v>-723.19505142122489</v>
      </c>
    </row>
    <row r="25" spans="1:19" x14ac:dyDescent="0.35">
      <c r="A25" s="13">
        <v>2025</v>
      </c>
      <c r="B25" s="171">
        <v>-13955.345075757579</v>
      </c>
      <c r="C25" s="2">
        <f t="shared" si="12"/>
        <v>-11164.276060606064</v>
      </c>
      <c r="D25" s="2">
        <f t="shared" si="13"/>
        <v>-2791.0690151515159</v>
      </c>
      <c r="E25" s="35">
        <v>1972.7253499999933</v>
      </c>
      <c r="F25" s="2">
        <f t="shared" si="2"/>
        <v>1578.1802799999948</v>
      </c>
      <c r="G25" s="2">
        <f t="shared" si="0"/>
        <v>394.5450699999987</v>
      </c>
      <c r="H25" s="171">
        <v>4795.9583662355653</v>
      </c>
      <c r="I25" s="2">
        <f t="shared" si="4"/>
        <v>3836.7666929884526</v>
      </c>
      <c r="J25" s="2">
        <f t="shared" si="5"/>
        <v>959.19167324711316</v>
      </c>
      <c r="K25" s="171">
        <v>2755.6942622510105</v>
      </c>
      <c r="L25" s="2">
        <f t="shared" si="6"/>
        <v>2204.5554098008083</v>
      </c>
      <c r="M25" s="2">
        <f t="shared" si="7"/>
        <v>551.13885245020208</v>
      </c>
      <c r="N25" s="171">
        <v>2594.598409871458</v>
      </c>
      <c r="O25" s="2">
        <f>N25*$O$3</f>
        <v>2075.6787278971665</v>
      </c>
      <c r="P25" s="2">
        <f>N25*$P$3</f>
        <v>518.91968197429162</v>
      </c>
      <c r="Q25" s="36">
        <f t="shared" si="20"/>
        <v>-1836.3686873995521</v>
      </c>
      <c r="R25" s="167">
        <f t="shared" si="19"/>
        <v>-1469.0949499196413</v>
      </c>
      <c r="S25" s="167">
        <f t="shared" si="19"/>
        <v>-367.27373747991032</v>
      </c>
    </row>
    <row r="26" spans="1:19" ht="15.5" x14ac:dyDescent="0.35">
      <c r="A26" s="195" t="s">
        <v>83</v>
      </c>
      <c r="B26" s="196">
        <f>SUM(B5:B17)+SUM(B21:B25)</f>
        <v>14092.75012424242</v>
      </c>
      <c r="C26" s="196">
        <f t="shared" ref="C26:P26" si="21">SUM(C5:C17)+SUM(C21:C25)</f>
        <v>11274.200099393938</v>
      </c>
      <c r="D26" s="196">
        <f t="shared" si="21"/>
        <v>2818.5500248484846</v>
      </c>
      <c r="E26" s="196">
        <f t="shared" si="21"/>
        <v>28947.466233333325</v>
      </c>
      <c r="F26" s="196">
        <f t="shared" si="21"/>
        <v>23157.97298666666</v>
      </c>
      <c r="G26" s="196">
        <f t="shared" si="21"/>
        <v>5789.4932466666651</v>
      </c>
      <c r="H26" s="196">
        <f t="shared" si="21"/>
        <v>52809.230031220119</v>
      </c>
      <c r="I26" s="196">
        <f t="shared" si="21"/>
        <v>42247.384024976112</v>
      </c>
      <c r="J26" s="196">
        <f t="shared" si="21"/>
        <v>10561.846006244028</v>
      </c>
      <c r="K26" s="196">
        <f t="shared" si="21"/>
        <v>28769.515370377128</v>
      </c>
      <c r="L26" s="196">
        <f t="shared" si="21"/>
        <v>23015.612296301704</v>
      </c>
      <c r="M26" s="196">
        <f t="shared" si="21"/>
        <v>5753.903074075426</v>
      </c>
      <c r="N26" s="196">
        <f t="shared" si="21"/>
        <v>26650.041841085098</v>
      </c>
      <c r="O26" s="196">
        <f t="shared" si="21"/>
        <v>21320.033472868079</v>
      </c>
      <c r="P26" s="196">
        <f t="shared" si="21"/>
        <v>5330.0083682170198</v>
      </c>
      <c r="Q26" s="197">
        <f>B26+E26+H26+K26+N26</f>
        <v>151269.00360025809</v>
      </c>
      <c r="R26" s="198">
        <f t="shared" si="19"/>
        <v>121015.20288020647</v>
      </c>
      <c r="S26" s="199">
        <f t="shared" si="19"/>
        <v>30253.800720051619</v>
      </c>
    </row>
    <row r="27" spans="1:19" x14ac:dyDescent="0.35">
      <c r="A27" s="13">
        <v>2026</v>
      </c>
      <c r="B27" s="171">
        <v>1790.4369242424236</v>
      </c>
      <c r="C27" s="2">
        <f t="shared" si="12"/>
        <v>1432.349539393939</v>
      </c>
      <c r="D27" s="2">
        <f t="shared" si="13"/>
        <v>358.08738484848476</v>
      </c>
      <c r="E27" s="35">
        <v>1972.7253500000006</v>
      </c>
      <c r="F27" s="2">
        <f t="shared" si="2"/>
        <v>1578.1802800000005</v>
      </c>
      <c r="G27" s="2">
        <f t="shared" si="0"/>
        <v>394.54507000000012</v>
      </c>
      <c r="H27" s="171">
        <v>4795.9583662355726</v>
      </c>
      <c r="I27" s="2">
        <f t="shared" si="4"/>
        <v>3836.7666929884581</v>
      </c>
      <c r="J27" s="2">
        <f t="shared" si="5"/>
        <v>959.19167324711452</v>
      </c>
      <c r="K27" s="171">
        <v>2755.6942622510032</v>
      </c>
      <c r="L27" s="2">
        <f t="shared" si="6"/>
        <v>2204.5554098008029</v>
      </c>
      <c r="M27" s="2">
        <f t="shared" si="7"/>
        <v>551.13885245020072</v>
      </c>
      <c r="N27" s="171">
        <v>2594.5984098714507</v>
      </c>
      <c r="O27" s="2">
        <f t="shared" si="10"/>
        <v>2075.6787278971606</v>
      </c>
      <c r="P27" s="2">
        <f t="shared" si="11"/>
        <v>518.91968197429014</v>
      </c>
      <c r="Q27" s="166">
        <f t="shared" si="20"/>
        <v>13909.413312600451</v>
      </c>
      <c r="R27" s="167">
        <f t="shared" si="19"/>
        <v>11127.530650080362</v>
      </c>
      <c r="S27" s="167">
        <f t="shared" si="19"/>
        <v>2781.8826625200904</v>
      </c>
    </row>
    <row r="28" spans="1:19" x14ac:dyDescent="0.35">
      <c r="A28" s="13">
        <v>2027</v>
      </c>
      <c r="B28" s="171">
        <v>1790.4369242424291</v>
      </c>
      <c r="C28" s="2">
        <f t="shared" si="12"/>
        <v>1432.3495393939434</v>
      </c>
      <c r="D28" s="2">
        <f t="shared" si="13"/>
        <v>358.08738484848584</v>
      </c>
      <c r="E28" s="35">
        <v>1972.7253500000079</v>
      </c>
      <c r="F28" s="2">
        <f t="shared" si="2"/>
        <v>1578.1802800000064</v>
      </c>
      <c r="G28" s="2">
        <f t="shared" si="0"/>
        <v>394.5450700000016</v>
      </c>
      <c r="H28" s="171">
        <v>4795.9583662355726</v>
      </c>
      <c r="I28" s="2">
        <f t="shared" si="4"/>
        <v>3836.7666929884581</v>
      </c>
      <c r="J28" s="2">
        <f t="shared" si="5"/>
        <v>959.19167324711452</v>
      </c>
      <c r="K28" s="171">
        <v>2755.6942622510105</v>
      </c>
      <c r="L28" s="2">
        <f t="shared" si="6"/>
        <v>2204.5554098008083</v>
      </c>
      <c r="M28" s="2">
        <f t="shared" si="7"/>
        <v>551.13885245020208</v>
      </c>
      <c r="N28" s="171">
        <v>2594.5984098714471</v>
      </c>
      <c r="O28" s="2">
        <f t="shared" si="10"/>
        <v>2075.6787278971578</v>
      </c>
      <c r="P28" s="2">
        <f t="shared" si="11"/>
        <v>518.91968197428946</v>
      </c>
      <c r="Q28" s="166">
        <f t="shared" si="20"/>
        <v>13909.413312600467</v>
      </c>
      <c r="R28" s="167">
        <f t="shared" si="19"/>
        <v>11127.530650080374</v>
      </c>
      <c r="S28" s="167">
        <f t="shared" si="19"/>
        <v>2781.8826625200936</v>
      </c>
    </row>
    <row r="29" spans="1:19" x14ac:dyDescent="0.35">
      <c r="A29" s="13">
        <v>2028</v>
      </c>
      <c r="B29" s="171">
        <v>1790.4369242424182</v>
      </c>
      <c r="C29" s="2">
        <f t="shared" si="12"/>
        <v>1432.3495393939347</v>
      </c>
      <c r="D29" s="2">
        <f t="shared" si="13"/>
        <v>358.08738484848368</v>
      </c>
      <c r="E29" s="35">
        <v>1972.7253499999933</v>
      </c>
      <c r="F29" s="2">
        <f t="shared" si="2"/>
        <v>1578.1802799999948</v>
      </c>
      <c r="G29" s="2">
        <f t="shared" si="0"/>
        <v>394.5450699999987</v>
      </c>
      <c r="H29" s="171">
        <v>4795.9583662355508</v>
      </c>
      <c r="I29" s="2">
        <f t="shared" si="4"/>
        <v>3836.7666929884408</v>
      </c>
      <c r="J29" s="2">
        <f t="shared" si="5"/>
        <v>959.1916732471102</v>
      </c>
      <c r="K29" s="171">
        <v>2755.6942622510105</v>
      </c>
      <c r="L29" s="2">
        <f t="shared" si="6"/>
        <v>2204.5554098008083</v>
      </c>
      <c r="M29" s="2">
        <f t="shared" si="7"/>
        <v>551.13885245020208</v>
      </c>
      <c r="N29" s="171">
        <v>2594.5984098714434</v>
      </c>
      <c r="O29" s="2">
        <f t="shared" si="10"/>
        <v>2075.6787278971547</v>
      </c>
      <c r="P29" s="2">
        <f t="shared" si="11"/>
        <v>518.91968197428866</v>
      </c>
      <c r="Q29" s="166">
        <f>B29+E29+H29+K29+N29</f>
        <v>13909.413312600416</v>
      </c>
      <c r="R29" s="167">
        <f t="shared" si="19"/>
        <v>11127.530650080334</v>
      </c>
      <c r="S29" s="167">
        <f t="shared" si="19"/>
        <v>2781.8826625200836</v>
      </c>
    </row>
    <row r="30" spans="1:19" x14ac:dyDescent="0.35">
      <c r="A30" s="13">
        <v>2029</v>
      </c>
      <c r="B30" s="171">
        <v>1790.4369242424291</v>
      </c>
      <c r="C30" s="2">
        <f t="shared" si="12"/>
        <v>1432.3495393939434</v>
      </c>
      <c r="D30" s="2">
        <f t="shared" si="13"/>
        <v>358.08738484848584</v>
      </c>
      <c r="E30" s="35">
        <v>1972.7253500000006</v>
      </c>
      <c r="F30" s="2">
        <f t="shared" si="2"/>
        <v>1578.1802800000005</v>
      </c>
      <c r="G30" s="2">
        <f t="shared" si="0"/>
        <v>394.54507000000012</v>
      </c>
      <c r="H30" s="171">
        <v>4795.9583662355726</v>
      </c>
      <c r="I30" s="2">
        <f t="shared" si="4"/>
        <v>3836.7666929884581</v>
      </c>
      <c r="J30" s="2">
        <f t="shared" si="5"/>
        <v>959.19167324711452</v>
      </c>
      <c r="K30" s="171">
        <v>2755.6942622510032</v>
      </c>
      <c r="L30" s="2">
        <f t="shared" si="6"/>
        <v>2204.5554098008029</v>
      </c>
      <c r="M30" s="2">
        <f t="shared" si="7"/>
        <v>551.13885245020072</v>
      </c>
      <c r="N30" s="171">
        <v>2594.5984098714471</v>
      </c>
      <c r="O30" s="2">
        <f t="shared" si="10"/>
        <v>2075.6787278971578</v>
      </c>
      <c r="P30" s="2">
        <f t="shared" si="11"/>
        <v>518.91968197428946</v>
      </c>
      <c r="Q30" s="166">
        <f t="shared" si="20"/>
        <v>13909.413312600453</v>
      </c>
      <c r="R30" s="167">
        <f t="shared" si="19"/>
        <v>11127.530650080364</v>
      </c>
      <c r="S30" s="167">
        <f t="shared" si="19"/>
        <v>2781.8826625200909</v>
      </c>
    </row>
    <row r="31" spans="1:19" x14ac:dyDescent="0.35">
      <c r="A31" s="13">
        <v>2030</v>
      </c>
      <c r="B31" s="171">
        <v>1790.4369242424182</v>
      </c>
      <c r="C31" s="2">
        <f t="shared" si="12"/>
        <v>1432.3495393939347</v>
      </c>
      <c r="D31" s="2">
        <f t="shared" si="13"/>
        <v>358.08738484848368</v>
      </c>
      <c r="E31" s="35">
        <v>1972.7253500000006</v>
      </c>
      <c r="F31" s="2">
        <f t="shared" si="2"/>
        <v>1578.1802800000005</v>
      </c>
      <c r="G31" s="2">
        <f t="shared" si="0"/>
        <v>394.54507000000012</v>
      </c>
      <c r="H31" s="171">
        <v>4795.9583662355872</v>
      </c>
      <c r="I31" s="2">
        <f t="shared" si="4"/>
        <v>3836.7666929884699</v>
      </c>
      <c r="J31" s="2">
        <f t="shared" si="5"/>
        <v>959.19167324711748</v>
      </c>
      <c r="K31" s="171">
        <v>2755.6942622510178</v>
      </c>
      <c r="L31" s="2">
        <f t="shared" si="6"/>
        <v>2204.5554098008142</v>
      </c>
      <c r="M31" s="2">
        <f t="shared" si="7"/>
        <v>551.13885245020356</v>
      </c>
      <c r="N31" s="171">
        <v>2594.5984098714544</v>
      </c>
      <c r="O31" s="2">
        <f t="shared" si="10"/>
        <v>2075.6787278971638</v>
      </c>
      <c r="P31" s="2">
        <f t="shared" si="11"/>
        <v>518.91968197429094</v>
      </c>
      <c r="Q31" s="166">
        <f t="shared" si="20"/>
        <v>13909.413312600478</v>
      </c>
      <c r="R31" s="167">
        <f t="shared" si="19"/>
        <v>11127.530650080384</v>
      </c>
      <c r="S31" s="167">
        <f t="shared" si="19"/>
        <v>2781.8826625200959</v>
      </c>
    </row>
    <row r="32" spans="1:19" x14ac:dyDescent="0.35">
      <c r="A32" s="13">
        <v>2031</v>
      </c>
      <c r="B32" s="171">
        <v>1790.4369242424254</v>
      </c>
      <c r="C32" s="2">
        <f t="shared" si="12"/>
        <v>1432.3495393939404</v>
      </c>
      <c r="D32" s="2">
        <f t="shared" si="13"/>
        <v>358.0873848484851</v>
      </c>
      <c r="E32" s="35">
        <v>1972.7253500000006</v>
      </c>
      <c r="F32" s="2">
        <f>E32*$F$3</f>
        <v>1578.1802800000005</v>
      </c>
      <c r="G32" s="2">
        <f t="shared" si="0"/>
        <v>394.54507000000012</v>
      </c>
      <c r="H32" s="171">
        <v>4795.9583662355581</v>
      </c>
      <c r="I32" s="2">
        <f t="shared" si="4"/>
        <v>3836.7666929884467</v>
      </c>
      <c r="J32" s="2">
        <f t="shared" si="5"/>
        <v>959.19167324711168</v>
      </c>
      <c r="K32" s="171">
        <v>2755.694262250996</v>
      </c>
      <c r="L32" s="2">
        <f t="shared" si="6"/>
        <v>2204.555409800797</v>
      </c>
      <c r="M32" s="2">
        <f t="shared" si="7"/>
        <v>551.13885245019924</v>
      </c>
      <c r="N32" s="171">
        <v>2594.5984098714544</v>
      </c>
      <c r="O32" s="2">
        <f t="shared" si="10"/>
        <v>2075.6787278971638</v>
      </c>
      <c r="P32" s="2">
        <f t="shared" si="11"/>
        <v>518.91968197429094</v>
      </c>
      <c r="Q32" s="166">
        <f t="shared" si="20"/>
        <v>13909.413312600434</v>
      </c>
      <c r="R32" s="167">
        <f t="shared" si="19"/>
        <v>11127.530650080349</v>
      </c>
      <c r="S32" s="167">
        <f t="shared" si="19"/>
        <v>2781.8826625200873</v>
      </c>
    </row>
    <row r="33" spans="1:19" x14ac:dyDescent="0.35">
      <c r="A33" s="13">
        <v>2032</v>
      </c>
      <c r="B33" s="171">
        <v>1790.4369242424254</v>
      </c>
      <c r="C33" s="2">
        <f t="shared" si="12"/>
        <v>1432.3495393939404</v>
      </c>
      <c r="D33" s="2">
        <f t="shared" si="13"/>
        <v>358.0873848484851</v>
      </c>
      <c r="E33" s="35">
        <v>1972.7253500000079</v>
      </c>
      <c r="F33" s="2">
        <f t="shared" si="2"/>
        <v>1578.1802800000064</v>
      </c>
      <c r="G33" s="2">
        <f t="shared" si="0"/>
        <v>394.5450700000016</v>
      </c>
      <c r="H33" s="171">
        <v>4795.9583662355581</v>
      </c>
      <c r="I33" s="2">
        <f t="shared" si="4"/>
        <v>3836.7666929884467</v>
      </c>
      <c r="J33" s="2">
        <f t="shared" si="5"/>
        <v>959.19167324711168</v>
      </c>
      <c r="K33" s="171">
        <v>2755.6942622510105</v>
      </c>
      <c r="L33" s="2">
        <f t="shared" si="6"/>
        <v>2204.5554098008083</v>
      </c>
      <c r="M33" s="2">
        <f t="shared" si="7"/>
        <v>551.13885245020208</v>
      </c>
      <c r="N33" s="171">
        <v>2594.5984098714471</v>
      </c>
      <c r="O33" s="2">
        <f t="shared" si="10"/>
        <v>2075.6787278971578</v>
      </c>
      <c r="P33" s="2">
        <f t="shared" si="11"/>
        <v>518.91968197428946</v>
      </c>
      <c r="Q33" s="166">
        <f>B33+E33+H33+K33+N33</f>
        <v>13909.413312600449</v>
      </c>
      <c r="R33" s="167">
        <f t="shared" si="19"/>
        <v>11127.53065008036</v>
      </c>
      <c r="S33" s="167">
        <f t="shared" si="19"/>
        <v>2781.88266252009</v>
      </c>
    </row>
    <row r="34" spans="1:19" x14ac:dyDescent="0.35">
      <c r="A34" s="13">
        <v>2033</v>
      </c>
      <c r="B34" s="171">
        <v>1790.4369242424254</v>
      </c>
      <c r="C34" s="2">
        <f t="shared" si="12"/>
        <v>1432.3495393939404</v>
      </c>
      <c r="D34" s="2">
        <f t="shared" si="13"/>
        <v>358.0873848484851</v>
      </c>
      <c r="E34" s="35">
        <v>1972.7253499999933</v>
      </c>
      <c r="F34" s="2">
        <f t="shared" si="2"/>
        <v>1578.1802799999948</v>
      </c>
      <c r="G34" s="2">
        <f t="shared" si="0"/>
        <v>394.5450699999987</v>
      </c>
      <c r="H34" s="171">
        <v>4795.9583662356017</v>
      </c>
      <c r="I34" s="2">
        <f t="shared" si="4"/>
        <v>3836.7666929884817</v>
      </c>
      <c r="J34" s="2">
        <f t="shared" si="5"/>
        <v>959.19167324712043</v>
      </c>
      <c r="K34" s="171">
        <v>2755.6942622510105</v>
      </c>
      <c r="L34" s="2">
        <f t="shared" si="6"/>
        <v>2204.5554098008083</v>
      </c>
      <c r="M34" s="2">
        <f t="shared" si="7"/>
        <v>551.13885245020208</v>
      </c>
      <c r="N34" s="171">
        <v>2594.5984098714398</v>
      </c>
      <c r="O34" s="2">
        <f t="shared" si="10"/>
        <v>2075.6787278971519</v>
      </c>
      <c r="P34" s="2">
        <f t="shared" si="11"/>
        <v>518.91968197428798</v>
      </c>
      <c r="Q34" s="166">
        <f t="shared" si="20"/>
        <v>13909.413312600471</v>
      </c>
      <c r="R34" s="167">
        <f t="shared" si="19"/>
        <v>11127.530650080376</v>
      </c>
      <c r="S34" s="167">
        <f t="shared" si="19"/>
        <v>2781.8826625200941</v>
      </c>
    </row>
    <row r="35" spans="1:19" x14ac:dyDescent="0.35">
      <c r="A35" s="13">
        <v>2034</v>
      </c>
      <c r="B35" s="171">
        <v>1790.4369242424218</v>
      </c>
      <c r="C35" s="2">
        <f t="shared" si="12"/>
        <v>1432.3495393939374</v>
      </c>
      <c r="D35" s="2">
        <f t="shared" si="13"/>
        <v>358.08738484848436</v>
      </c>
      <c r="E35" s="35">
        <v>1972.7253500000006</v>
      </c>
      <c r="F35" s="2">
        <f t="shared" si="2"/>
        <v>1578.1802800000005</v>
      </c>
      <c r="G35" s="2">
        <f t="shared" si="0"/>
        <v>394.54507000000012</v>
      </c>
      <c r="H35" s="171">
        <v>4795.9583662355435</v>
      </c>
      <c r="I35" s="2">
        <f t="shared" si="4"/>
        <v>3836.7666929884349</v>
      </c>
      <c r="J35" s="2">
        <f t="shared" si="5"/>
        <v>959.19167324710872</v>
      </c>
      <c r="K35" s="171">
        <v>2755.6942622510105</v>
      </c>
      <c r="L35" s="2">
        <f t="shared" si="6"/>
        <v>2204.5554098008083</v>
      </c>
      <c r="M35" s="2">
        <f t="shared" si="7"/>
        <v>551.13885245020208</v>
      </c>
      <c r="N35" s="171">
        <v>2594.5984098714544</v>
      </c>
      <c r="O35" s="2">
        <f t="shared" si="10"/>
        <v>2075.6787278971638</v>
      </c>
      <c r="P35" s="2">
        <f t="shared" si="11"/>
        <v>518.91968197429094</v>
      </c>
      <c r="Q35" s="166">
        <f t="shared" si="20"/>
        <v>13909.413312600431</v>
      </c>
      <c r="R35" s="167">
        <f t="shared" si="19"/>
        <v>11127.530650080345</v>
      </c>
      <c r="S35" s="167">
        <f t="shared" si="19"/>
        <v>2781.8826625200863</v>
      </c>
    </row>
    <row r="36" spans="1:19" x14ac:dyDescent="0.35">
      <c r="A36" s="13">
        <v>2035</v>
      </c>
      <c r="B36" s="171">
        <v>1790.4369242424291</v>
      </c>
      <c r="C36" s="2">
        <f t="shared" si="12"/>
        <v>1432.3495393939434</v>
      </c>
      <c r="D36" s="2">
        <f t="shared" si="13"/>
        <v>358.08738484848584</v>
      </c>
      <c r="E36" s="35">
        <v>1972.7253500000006</v>
      </c>
      <c r="F36" s="2">
        <f t="shared" si="2"/>
        <v>1578.1802800000005</v>
      </c>
      <c r="G36" s="2">
        <f t="shared" si="0"/>
        <v>394.54507000000012</v>
      </c>
      <c r="H36" s="171">
        <v>4795.9583662355726</v>
      </c>
      <c r="I36" s="2">
        <f t="shared" si="4"/>
        <v>3836.7666929884581</v>
      </c>
      <c r="J36" s="2">
        <f t="shared" si="5"/>
        <v>959.19167324711452</v>
      </c>
      <c r="K36" s="171">
        <v>2755.6942622510032</v>
      </c>
      <c r="L36" s="2">
        <f t="shared" si="6"/>
        <v>2204.5554098008029</v>
      </c>
      <c r="M36" s="2">
        <f t="shared" si="7"/>
        <v>551.13885245020072</v>
      </c>
      <c r="N36" s="171">
        <v>2594.5984098714544</v>
      </c>
      <c r="O36" s="2">
        <f t="shared" si="10"/>
        <v>2075.6787278971638</v>
      </c>
      <c r="P36" s="2">
        <f t="shared" si="11"/>
        <v>518.91968197429094</v>
      </c>
      <c r="Q36" s="166">
        <f t="shared" si="20"/>
        <v>13909.41331260046</v>
      </c>
      <c r="R36" s="167">
        <f t="shared" si="19"/>
        <v>11127.530650080369</v>
      </c>
      <c r="S36" s="167">
        <f t="shared" si="19"/>
        <v>2781.8826625200923</v>
      </c>
    </row>
    <row r="37" spans="1:19" x14ac:dyDescent="0.35">
      <c r="A37" s="13">
        <v>2036</v>
      </c>
      <c r="B37" s="171">
        <v>1790.4369242424218</v>
      </c>
      <c r="C37" s="2">
        <f t="shared" si="12"/>
        <v>1432.3495393939374</v>
      </c>
      <c r="D37" s="2">
        <f t="shared" si="13"/>
        <v>358.08738484848436</v>
      </c>
      <c r="E37" s="35">
        <v>1872.8545999999988</v>
      </c>
      <c r="F37" s="2">
        <f t="shared" si="2"/>
        <v>1498.2836799999991</v>
      </c>
      <c r="G37" s="2">
        <f t="shared" si="0"/>
        <v>374.57091999999977</v>
      </c>
      <c r="H37" s="171">
        <v>4795.9583662355872</v>
      </c>
      <c r="I37" s="2">
        <f t="shared" si="4"/>
        <v>3836.7666929884699</v>
      </c>
      <c r="J37" s="2">
        <f t="shared" si="5"/>
        <v>959.19167324711748</v>
      </c>
      <c r="K37" s="171">
        <v>2755.6942622510105</v>
      </c>
      <c r="L37" s="2">
        <f t="shared" si="6"/>
        <v>2204.5554098008083</v>
      </c>
      <c r="M37" s="2">
        <f t="shared" si="7"/>
        <v>551.13885245020208</v>
      </c>
      <c r="N37" s="171">
        <v>2594.5984098714471</v>
      </c>
      <c r="O37" s="2">
        <f t="shared" si="10"/>
        <v>2075.6787278971578</v>
      </c>
      <c r="P37" s="2">
        <f t="shared" si="11"/>
        <v>518.91968197428946</v>
      </c>
      <c r="Q37" s="166">
        <f t="shared" si="20"/>
        <v>13809.542562600465</v>
      </c>
      <c r="R37" s="167">
        <f t="shared" si="19"/>
        <v>11047.634050080374</v>
      </c>
      <c r="S37" s="167">
        <f t="shared" si="19"/>
        <v>2761.9085125200936</v>
      </c>
    </row>
    <row r="38" spans="1:19" x14ac:dyDescent="0.35">
      <c r="A38" s="13">
        <v>2037</v>
      </c>
      <c r="B38" s="171">
        <v>1790.4369242424291</v>
      </c>
      <c r="C38" s="2">
        <f t="shared" si="12"/>
        <v>1432.3495393939434</v>
      </c>
      <c r="D38" s="2">
        <f t="shared" si="13"/>
        <v>358.08738484848584</v>
      </c>
      <c r="E38" s="35">
        <v>1966.8506000000052</v>
      </c>
      <c r="F38" s="2">
        <f t="shared" si="2"/>
        <v>1573.4804800000043</v>
      </c>
      <c r="G38" s="2">
        <f t="shared" si="0"/>
        <v>393.37012000000107</v>
      </c>
      <c r="H38" s="171">
        <v>4795.9583662355581</v>
      </c>
      <c r="I38" s="2">
        <f t="shared" si="4"/>
        <v>3836.7666929884467</v>
      </c>
      <c r="J38" s="2">
        <f t="shared" si="5"/>
        <v>959.19167324711168</v>
      </c>
      <c r="K38" s="171">
        <v>2755.6942622510032</v>
      </c>
      <c r="L38" s="2">
        <f t="shared" si="6"/>
        <v>2204.5554098008029</v>
      </c>
      <c r="M38" s="2">
        <f t="shared" si="7"/>
        <v>551.13885245020072</v>
      </c>
      <c r="N38" s="171">
        <v>2594.5984098714398</v>
      </c>
      <c r="O38" s="2">
        <f t="shared" si="10"/>
        <v>2075.6787278971519</v>
      </c>
      <c r="P38" s="2">
        <f t="shared" si="11"/>
        <v>518.91968197428798</v>
      </c>
      <c r="Q38" s="166">
        <f t="shared" si="20"/>
        <v>13903.538562600435</v>
      </c>
      <c r="R38" s="167">
        <f t="shared" si="20"/>
        <v>11122.830850080349</v>
      </c>
      <c r="S38" s="167">
        <f t="shared" si="20"/>
        <v>2780.7077125200872</v>
      </c>
    </row>
    <row r="39" spans="1:19" ht="15" thickBot="1" x14ac:dyDescent="0.4">
      <c r="A39" s="182"/>
      <c r="B39" s="183">
        <f>SUM(B5:B38)-B18-B19-B20</f>
        <v>49670.743339393943</v>
      </c>
      <c r="C39" s="183">
        <f>SUM(C5:C38)-C18-C19-C20</f>
        <v>39736.594671515151</v>
      </c>
      <c r="D39" s="183">
        <f t="shared" ref="D39" si="22">SUM(D5:D38)-D18-D19-D20</f>
        <v>9934.1486678787878</v>
      </c>
      <c r="E39" s="183">
        <f>SUM(E5:E38)-E18-E19-E20</f>
        <v>81461.891166666639</v>
      </c>
      <c r="F39" s="183">
        <f>SUM(F5:F38)-F18-F19-F20</f>
        <v>65169.51293333331</v>
      </c>
      <c r="G39" s="183">
        <f t="shared" ref="G39" si="23">SUM(G5:G38)-G18-G19-G20</f>
        <v>16292.378233333327</v>
      </c>
      <c r="H39" s="183">
        <f>SUM(H5:H38)-H18-H19-H20</f>
        <v>163169.96045726695</v>
      </c>
      <c r="I39" s="183">
        <f t="shared" ref="I39:J39" si="24">SUM(I5:I38)-I18-I19-I20</f>
        <v>130535.96836581372</v>
      </c>
      <c r="J39" s="183">
        <f t="shared" si="24"/>
        <v>32633.99209145343</v>
      </c>
      <c r="K39" s="183">
        <f>SUM(K9:K38)-K18-K19-K20</f>
        <v>90607.361887766368</v>
      </c>
      <c r="L39" s="183">
        <f t="shared" ref="L39:M39" si="25">SUM(L9:L38)-L18-L19-L20</f>
        <v>72485.889510213136</v>
      </c>
      <c r="M39" s="183">
        <f t="shared" si="25"/>
        <v>18121.472377553284</v>
      </c>
      <c r="N39" s="183">
        <f>SUM(N5:N38)-N18-N19-N20</f>
        <v>84435.26460062759</v>
      </c>
      <c r="O39" s="183">
        <f>SUM(O5:O38)-O18-O19-O20</f>
        <v>67548.211680502034</v>
      </c>
      <c r="P39" s="183">
        <f t="shared" ref="P39" si="26">SUM(P5:P38)-P18-P19-P20</f>
        <v>16887.052920125509</v>
      </c>
      <c r="Q39" s="184">
        <f>SUM(Q5:Q38)-Q18-Q19-Q20</f>
        <v>469345.22145172145</v>
      </c>
      <c r="R39" s="185">
        <f>SUM(R5:R38)-R18-R19-R20</f>
        <v>375476.17716137739</v>
      </c>
      <c r="S39" s="185">
        <f>SUM(S5:S38)-S18-S19-S20</f>
        <v>93869.044290344347</v>
      </c>
    </row>
    <row r="40" spans="1:19" ht="15" thickTop="1" x14ac:dyDescent="0.35">
      <c r="N40" s="2"/>
      <c r="O40" s="2"/>
      <c r="P40" s="2"/>
      <c r="Q40" s="20"/>
    </row>
    <row r="41" spans="1:19" x14ac:dyDescent="0.35">
      <c r="A41" s="186" t="s">
        <v>42</v>
      </c>
      <c r="B41" s="187">
        <v>146.36000000000001</v>
      </c>
      <c r="C41" s="188"/>
      <c r="D41" s="188"/>
      <c r="E41" s="187">
        <v>132.86000000000001</v>
      </c>
      <c r="F41" s="189"/>
      <c r="G41" s="189"/>
      <c r="H41" s="187">
        <v>318.36</v>
      </c>
      <c r="I41" s="189"/>
      <c r="J41" s="189"/>
      <c r="K41" s="187">
        <v>199.49</v>
      </c>
      <c r="L41" s="190"/>
      <c r="M41" s="187"/>
      <c r="N41" s="187">
        <v>181.51</v>
      </c>
      <c r="O41" s="191"/>
      <c r="P41" s="191"/>
      <c r="Q41" s="192">
        <f>SUM(B41:N41)</f>
        <v>978.58</v>
      </c>
    </row>
    <row r="42" spans="1:19" x14ac:dyDescent="0.35">
      <c r="A42" s="193"/>
      <c r="B42" s="193"/>
      <c r="C42" s="193"/>
      <c r="D42" s="193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3"/>
      <c r="P42" s="193"/>
      <c r="Q42" s="193"/>
    </row>
    <row r="43" spans="1:19" x14ac:dyDescent="0.35">
      <c r="A43" s="193"/>
      <c r="B43" s="193"/>
      <c r="C43" s="193"/>
      <c r="D43" s="193"/>
      <c r="E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</row>
    <row r="44" spans="1:19" x14ac:dyDescent="0.35">
      <c r="A44" s="193"/>
      <c r="B44" s="193"/>
      <c r="E44" s="193"/>
      <c r="H44" s="193"/>
      <c r="K44" s="193"/>
      <c r="L44" s="13"/>
      <c r="M44" s="13"/>
      <c r="N44" s="193"/>
      <c r="O44" s="13"/>
      <c r="P44" s="13"/>
      <c r="Q44" s="193"/>
    </row>
    <row r="45" spans="1:19" x14ac:dyDescent="0.35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</row>
    <row r="46" spans="1:19" x14ac:dyDescent="0.35">
      <c r="A46" s="193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</row>
    <row r="47" spans="1:19" x14ac:dyDescent="0.35">
      <c r="A47" s="193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</row>
    <row r="48" spans="1:19" x14ac:dyDescent="0.35">
      <c r="A48" s="193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</row>
    <row r="49" spans="1:17" x14ac:dyDescent="0.35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</row>
    <row r="50" spans="1:17" x14ac:dyDescent="0.35">
      <c r="A50" s="193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</row>
  </sheetData>
  <conditionalFormatting sqref="B20:P20">
    <cfRule type="cellIs" dxfId="1" priority="2" operator="lessThan">
      <formula>0</formula>
    </cfRule>
  </conditionalFormatting>
  <conditionalFormatting sqref="R20:S20">
    <cfRule type="cellIs" dxfId="0" priority="1" operator="lessThan">
      <formula>0</formula>
    </cfRule>
  </conditionalFormatting>
  <printOptions horizontalCentered="1" gridLines="1"/>
  <pageMargins left="0.70866141732283472" right="0.70866141732283472" top="0.78740157480314965" bottom="0.78740157480314965" header="0.31496062992125984" footer="0.31496062992125984"/>
  <pageSetup paperSize="9" scale="79" orientation="landscape" r:id="rId1"/>
  <ignoredErrors>
    <ignoredError sqref="C26:P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362C-5BB2-4522-98B1-2DE9C4DBF1E6}">
  <sheetPr>
    <tabColor theme="3" tint="0.39997558519241921"/>
  </sheetPr>
  <dimension ref="A1:E5"/>
  <sheetViews>
    <sheetView tabSelected="1" workbookViewId="0">
      <selection activeCell="B10" sqref="B10"/>
    </sheetView>
  </sheetViews>
  <sheetFormatPr defaultColWidth="11.36328125" defaultRowHeight="14.5" x14ac:dyDescent="0.35"/>
  <cols>
    <col min="1" max="1" width="42.81640625" bestFit="1" customWidth="1"/>
    <col min="2" max="2" width="14.7265625" customWidth="1"/>
    <col min="3" max="3" width="12.1796875" customWidth="1"/>
    <col min="4" max="4" width="18.26953125" customWidth="1"/>
    <col min="5" max="5" width="57.54296875" customWidth="1"/>
  </cols>
  <sheetData>
    <row r="1" spans="1:5" x14ac:dyDescent="0.35">
      <c r="A1" s="3" t="s">
        <v>84</v>
      </c>
      <c r="B1" s="3" t="s">
        <v>85</v>
      </c>
      <c r="C1" s="3" t="s">
        <v>86</v>
      </c>
      <c r="D1" s="3" t="s">
        <v>87</v>
      </c>
      <c r="E1" s="3" t="s">
        <v>88</v>
      </c>
    </row>
    <row r="2" spans="1:5" ht="29" x14ac:dyDescent="0.35">
      <c r="A2" t="s">
        <v>89</v>
      </c>
      <c r="B2" t="s">
        <v>90</v>
      </c>
      <c r="C2" t="s">
        <v>91</v>
      </c>
      <c r="D2" t="s">
        <v>92</v>
      </c>
      <c r="E2" s="26" t="s">
        <v>104</v>
      </c>
    </row>
    <row r="3" spans="1:5" ht="42.5" customHeight="1" x14ac:dyDescent="0.35">
      <c r="A3" t="s">
        <v>93</v>
      </c>
      <c r="B3" t="s">
        <v>94</v>
      </c>
      <c r="C3" t="s">
        <v>95</v>
      </c>
      <c r="D3" t="s">
        <v>92</v>
      </c>
      <c r="E3" s="26" t="s">
        <v>96</v>
      </c>
    </row>
    <row r="4" spans="1:5" x14ac:dyDescent="0.35">
      <c r="A4" t="s">
        <v>97</v>
      </c>
      <c r="B4" t="s">
        <v>94</v>
      </c>
      <c r="C4" t="s">
        <v>98</v>
      </c>
      <c r="D4" t="s">
        <v>92</v>
      </c>
      <c r="E4" t="s">
        <v>99</v>
      </c>
    </row>
    <row r="5" spans="1:5" x14ac:dyDescent="0.35">
      <c r="A5" t="s">
        <v>100</v>
      </c>
      <c r="B5" t="s">
        <v>94</v>
      </c>
      <c r="C5" t="s">
        <v>101</v>
      </c>
      <c r="D5" t="s">
        <v>92</v>
      </c>
      <c r="E5" t="s">
        <v>102</v>
      </c>
    </row>
  </sheetData>
  <phoneticPr fontId="2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E13FC8B06B2B4A8D2845D3BC772A16" ma:contentTypeVersion="18" ma:contentTypeDescription="Ein neues Dokument erstellen." ma:contentTypeScope="" ma:versionID="1eb898f2f8e4e2d7ccdb9f454f185f70">
  <xsd:schema xmlns:xsd="http://www.w3.org/2001/XMLSchema" xmlns:xs="http://www.w3.org/2001/XMLSchema" xmlns:p="http://schemas.microsoft.com/office/2006/metadata/properties" xmlns:ns2="2b259e00-906a-4556-9085-4796a0557c0a" xmlns:ns3="d8f9e38d-0102-423b-b5e5-c3647b7c2e44" targetNamespace="http://schemas.microsoft.com/office/2006/metadata/properties" ma:root="true" ma:fieldsID="34a8348ab6e7dee982c0e61440307161" ns2:_="" ns3:_="">
    <xsd:import namespace="2b259e00-906a-4556-9085-4796a0557c0a"/>
    <xsd:import namespace="d8f9e38d-0102-423b-b5e5-c3647b7c2e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59e00-906a-4556-9085-4796a0557c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43ba4632-0bba-4fd6-926b-c542c69ce1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9e38d-0102-423b-b5e5-c3647b7c2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054a2ff-401c-45b7-8970-2432ad7b69ed}" ma:internalName="TaxCatchAll" ma:showField="CatchAllData" ma:web="d8f9e38d-0102-423b-b5e5-c3647b7c2e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f9e38d-0102-423b-b5e5-c3647b7c2e44" xsi:nil="true"/>
    <lcf76f155ced4ddcb4097134ff3c332f xmlns="2b259e00-906a-4556-9085-4796a0557c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127A18-3FAD-4D77-A53B-17CBA42E0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40A249-7A1D-44BA-B44F-FFE1CDCB6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259e00-906a-4556-9085-4796a0557c0a"/>
    <ds:schemaRef ds:uri="d8f9e38d-0102-423b-b5e5-c3647b7c2e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4568F1-2FEA-4CEC-8425-A833DCEDDD29}">
  <ds:schemaRefs>
    <ds:schemaRef ds:uri="http://schemas.microsoft.com/office/2006/metadata/properties"/>
    <ds:schemaRef ds:uri="http://schemas.microsoft.com/office/infopath/2007/PartnerControls"/>
    <ds:schemaRef ds:uri="d8f9e38d-0102-423b-b5e5-c3647b7c2e44"/>
    <ds:schemaRef ds:uri="2b259e00-906a-4556-9085-4796a0557c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Ex-ante_ER_Project_summary</vt:lpstr>
      <vt:lpstr>Ex-post_&amp;_ex-ante_ER_farms</vt:lpstr>
      <vt:lpstr>SOC_summary_farms</vt:lpstr>
      <vt:lpstr>Supporting_documents</vt:lpstr>
      <vt:lpstr>PerfCert2021_C.performance</vt:lpstr>
      <vt:lpstr>Version Control</vt:lpstr>
      <vt:lpstr>'Ex-post_&amp;_ex-ante_ER_farms'!Print_Area</vt:lpstr>
      <vt:lpstr>PerfCert2021_C.performance!Print_Area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Bárbara Magdalena San Martín</dc:creator>
  <cp:keywords/>
  <dc:description/>
  <cp:lastModifiedBy>Murari Chiluveri</cp:lastModifiedBy>
  <cp:revision/>
  <dcterms:created xsi:type="dcterms:W3CDTF">2015-06-05T18:17:20Z</dcterms:created>
  <dcterms:modified xsi:type="dcterms:W3CDTF">2026-02-12T12:58:14Z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0x010100B3E13FC8B06B2B4A8D2845D3BC772A16</vt:lpwstr>
  </property>
  <property fmtid="{D5CDD505-2E9C-101B-9397-08002B2CF9AE}" pid="3" name="MediaServiceImageTags">
    <vt:lpwstr/>
  </property>
</Properties>
</file>