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Zoho WorkDrive (EnKing International)\Drive - Bhaskar\Backup Folder\GVVER 102-CEV Enerji- Borlu\GS Review I\"/>
    </mc:Choice>
  </mc:AlternateContent>
  <xr:revisionPtr revIDLastSave="0" documentId="13_ncr:1_{AC2E517C-6339-46CF-9501-579300CDBA2C}" xr6:coauthVersionLast="47" xr6:coauthVersionMax="47" xr10:uidLastSave="{00000000-0000-0000-0000-000000000000}"/>
  <bookViews>
    <workbookView xWindow="-108" yWindow="-108" windowWidth="23256" windowHeight="12456" tabRatio="461" xr2:uid="{00000000-000D-0000-FFFF-FFFF00000000}"/>
  </bookViews>
  <sheets>
    <sheet name="ER Calculation" sheetId="2" r:id="rId1"/>
    <sheet name="Electricity Generation" sheetId="1" r:id="rId2"/>
    <sheet name="Flowmet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11" i="2" l="1"/>
  <c r="L23" i="2" l="1"/>
  <c r="L20" i="2"/>
  <c r="L21" i="2"/>
  <c r="L22" i="2"/>
  <c r="L19" i="2"/>
  <c r="F10" i="2"/>
  <c r="F9" i="2"/>
  <c r="F8" i="2"/>
  <c r="K30" i="1"/>
  <c r="K20" i="2"/>
  <c r="K21" i="2"/>
  <c r="K22" i="2"/>
  <c r="K23" i="2"/>
  <c r="K19" i="2"/>
  <c r="G44" i="3"/>
  <c r="G43" i="3"/>
  <c r="G42" i="3"/>
  <c r="G41" i="3"/>
  <c r="F41" i="3"/>
  <c r="F30" i="3"/>
  <c r="E41" i="3"/>
  <c r="E40" i="3"/>
  <c r="L40" i="1"/>
  <c r="J40" i="1"/>
  <c r="I40" i="1"/>
  <c r="H40" i="1"/>
  <c r="G40" i="1"/>
  <c r="F40" i="1"/>
  <c r="E4" i="3" l="1"/>
  <c r="G4" i="1"/>
  <c r="G41" i="1" s="1"/>
  <c r="D4" i="1"/>
  <c r="I4" i="1" s="1"/>
  <c r="I41" i="1" s="1"/>
  <c r="F21" i="2"/>
  <c r="E21" i="2"/>
  <c r="J22" i="2" s="1"/>
  <c r="F4" i="1" l="1"/>
  <c r="R8" i="2"/>
  <c r="R9" i="2"/>
  <c r="J20" i="2"/>
  <c r="E19" i="2"/>
  <c r="J19" i="2" s="1"/>
  <c r="F41" i="1" l="1"/>
  <c r="H4" i="1"/>
  <c r="H41" i="1" s="1"/>
  <c r="L41" i="1" s="1"/>
  <c r="J23" i="2"/>
  <c r="R12" i="2" s="1"/>
  <c r="J7" i="2" l="1"/>
  <c r="J10" i="2" l="1"/>
  <c r="H38" i="1"/>
  <c r="H39" i="1"/>
  <c r="I5" i="1"/>
  <c r="I6" i="1"/>
  <c r="F6" i="3" l="1"/>
  <c r="L7" i="2"/>
  <c r="L10" i="2"/>
  <c r="J9" i="2"/>
  <c r="L9" i="2" s="1"/>
  <c r="J8" i="2"/>
  <c r="L8" i="2" s="1"/>
  <c r="J11" i="2" l="1"/>
  <c r="H5" i="1"/>
  <c r="J5" i="1" s="1"/>
  <c r="H6" i="1"/>
  <c r="J6" i="1" s="1"/>
  <c r="H7" i="1"/>
  <c r="I7" i="1"/>
  <c r="H8" i="1"/>
  <c r="J8" i="1" s="1"/>
  <c r="I8" i="1"/>
  <c r="H9" i="1"/>
  <c r="I9" i="1"/>
  <c r="H10" i="1"/>
  <c r="I10" i="1"/>
  <c r="H11" i="1"/>
  <c r="I11" i="1"/>
  <c r="L11" i="1" s="1"/>
  <c r="J11" i="1"/>
  <c r="H12" i="1"/>
  <c r="I12" i="1"/>
  <c r="H13" i="1"/>
  <c r="I13" i="1"/>
  <c r="H14" i="1"/>
  <c r="I14" i="1"/>
  <c r="H15" i="1"/>
  <c r="I15" i="1"/>
  <c r="L15" i="1" s="1"/>
  <c r="H16" i="1"/>
  <c r="I16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L23" i="1" s="1"/>
  <c r="H24" i="1"/>
  <c r="J24" i="1" s="1"/>
  <c r="I24" i="1"/>
  <c r="H25" i="1"/>
  <c r="I25" i="1"/>
  <c r="H26" i="1"/>
  <c r="I26" i="1"/>
  <c r="H27" i="1"/>
  <c r="I27" i="1"/>
  <c r="L27" i="1" s="1"/>
  <c r="H28" i="1"/>
  <c r="J28" i="1" s="1"/>
  <c r="I28" i="1"/>
  <c r="H29" i="1"/>
  <c r="I29" i="1"/>
  <c r="J29" i="1" s="1"/>
  <c r="H30" i="1"/>
  <c r="I30" i="1"/>
  <c r="L30" i="1" s="1"/>
  <c r="J30" i="1"/>
  <c r="H31" i="1"/>
  <c r="J31" i="1" s="1"/>
  <c r="I31" i="1"/>
  <c r="H32" i="1"/>
  <c r="I32" i="1"/>
  <c r="H33" i="1"/>
  <c r="J33" i="1" s="1"/>
  <c r="I33" i="1"/>
  <c r="H34" i="1"/>
  <c r="I34" i="1"/>
  <c r="H35" i="1"/>
  <c r="I35" i="1"/>
  <c r="H36" i="1"/>
  <c r="I36" i="1"/>
  <c r="H37" i="1"/>
  <c r="J37" i="1" s="1"/>
  <c r="I37" i="1"/>
  <c r="I38" i="1"/>
  <c r="J38" i="1" s="1"/>
  <c r="I39" i="1"/>
  <c r="J39" i="1" s="1"/>
  <c r="F18" i="3"/>
  <c r="F4" i="3"/>
  <c r="R6" i="2"/>
  <c r="S6" i="2" s="1"/>
  <c r="J55" i="1"/>
  <c r="J7" i="1" l="1"/>
  <c r="L12" i="1"/>
  <c r="J21" i="1"/>
  <c r="L21" i="1"/>
  <c r="L24" i="1"/>
  <c r="L20" i="1"/>
  <c r="L16" i="1"/>
  <c r="L10" i="1"/>
  <c r="L4" i="1"/>
  <c r="L28" i="1"/>
  <c r="J34" i="1"/>
  <c r="J20" i="1"/>
  <c r="J12" i="1"/>
  <c r="L38" i="1"/>
  <c r="L37" i="1"/>
  <c r="L19" i="1"/>
  <c r="L9" i="1"/>
  <c r="J15" i="1"/>
  <c r="L8" i="1"/>
  <c r="J36" i="1"/>
  <c r="L25" i="1"/>
  <c r="L39" i="1"/>
  <c r="J16" i="1"/>
  <c r="L26" i="1"/>
  <c r="J23" i="1"/>
  <c r="L18" i="1"/>
  <c r="J13" i="1"/>
  <c r="J10" i="1"/>
  <c r="L13" i="1"/>
  <c r="L7" i="1"/>
  <c r="L35" i="1"/>
  <c r="J32" i="1"/>
  <c r="L29" i="1"/>
  <c r="J25" i="1"/>
  <c r="L34" i="1"/>
  <c r="L36" i="1"/>
  <c r="L33" i="1"/>
  <c r="J27" i="1"/>
  <c r="L22" i="1"/>
  <c r="J19" i="1"/>
  <c r="J17" i="1"/>
  <c r="J14" i="1"/>
  <c r="L11" i="2"/>
  <c r="L31" i="1"/>
  <c r="L17" i="1"/>
  <c r="L5" i="1"/>
  <c r="L6" i="1"/>
  <c r="J35" i="1"/>
  <c r="J26" i="1"/>
  <c r="J22" i="1"/>
  <c r="J18" i="1"/>
  <c r="J9" i="1"/>
  <c r="J4" i="1"/>
  <c r="L32" i="1"/>
  <c r="L14" i="1"/>
  <c r="H10" i="2" l="1"/>
  <c r="H22" i="2" s="1"/>
  <c r="K6" i="1"/>
  <c r="H8" i="2" s="1"/>
  <c r="H20" i="2" s="1"/>
  <c r="J41" i="1"/>
  <c r="K4" i="1"/>
  <c r="K18" i="1"/>
  <c r="H9" i="2" s="1"/>
  <c r="H21" i="2" s="1"/>
  <c r="I10" i="2" l="1"/>
  <c r="I8" i="2"/>
  <c r="K8" i="2"/>
  <c r="K10" i="2"/>
  <c r="I9" i="2"/>
  <c r="K9" i="2"/>
  <c r="M9" i="2" s="1"/>
  <c r="K41" i="1"/>
  <c r="H7" i="2"/>
  <c r="H19" i="2" l="1"/>
  <c r="H23" i="2" s="1"/>
  <c r="I7" i="2"/>
  <c r="F7" i="2"/>
  <c r="K7" i="2" s="1"/>
  <c r="K11" i="2" s="1"/>
  <c r="M10" i="2"/>
  <c r="M8" i="2"/>
  <c r="H11" i="2"/>
  <c r="S12" i="2" s="1"/>
  <c r="M7" i="2" l="1"/>
  <c r="M11" i="2" s="1"/>
  <c r="F11" i="2"/>
  <c r="I1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tc={81DDD9D4-E6F7-4D64-A864-376EAC119D25}</author>
  </authors>
  <commentList>
    <comment ref="I3" authorId="0" shapeId="0" xr:uid="{81DDD9D4-E6F7-4D64-A864-376EAC119D25}">
      <text>
        <r>
          <rPr>
            <sz val="11"/>
            <rFont val="Calibri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No unit provided though it is understood. Moreover, the basis behind the interpretaion of the data is not clear here. It has been entered manually. Clarify
Reply:
    Unit is provided. The data is drawn from OSF in which data is provided separately for draw and supplied electricity in kWh. Therefore, it is written as (supply-drawn)/1000 to obtain net electricity sent to grid in MWh.</t>
        </r>
      </text>
    </comment>
  </commentList>
</comments>
</file>

<file path=xl/sharedStrings.xml><?xml version="1.0" encoding="utf-8"?>
<sst xmlns="http://schemas.openxmlformats.org/spreadsheetml/2006/main" count="90" uniqueCount="75">
  <si>
    <t>Month</t>
  </si>
  <si>
    <t>Start Date of Monitoring Period</t>
  </si>
  <si>
    <t>End Date of Monitoring Period</t>
  </si>
  <si>
    <t>Number of Days for Current Monitoring Period</t>
  </si>
  <si>
    <t>Total</t>
  </si>
  <si>
    <t>Change in Emission Reductions (%)</t>
  </si>
  <si>
    <t>JMR V/S PMUM RECORD</t>
  </si>
  <si>
    <t xml:space="preserve">From </t>
  </si>
  <si>
    <t>To</t>
  </si>
  <si>
    <t>Minimum of Net electricity supplied by the project activity to grid as per JMR (MWh) and PMUM Records(no of units exported as per Monthly Energy Account in MWh) -Conservative Approach</t>
  </si>
  <si>
    <t>Net Electricity (MWh)</t>
  </si>
  <si>
    <t>Vintage Breakup (MWh)</t>
  </si>
  <si>
    <t>∑SUM</t>
  </si>
  <si>
    <t>MWh</t>
  </si>
  <si>
    <t xml:space="preserve"> Project emissions</t>
  </si>
  <si>
    <t>LFG Flow</t>
  </si>
  <si>
    <r>
      <t>Nm</t>
    </r>
    <r>
      <rPr>
        <b/>
        <vertAlign val="superscript"/>
        <sz val="10"/>
        <color rgb="FF000000"/>
        <rFont val="Arial"/>
        <family val="2"/>
      </rPr>
      <t>3</t>
    </r>
  </si>
  <si>
    <t>Annual LFG Flow</t>
  </si>
  <si>
    <r>
      <t>Grid Emission Factor (tCO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e/MWh)</t>
    </r>
  </si>
  <si>
    <r>
      <t>Actual ER for Current Monitoring Period (tCO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e)</t>
    </r>
  </si>
  <si>
    <t>AMS-III.G</t>
  </si>
  <si>
    <r>
      <t>tCO</t>
    </r>
    <r>
      <rPr>
        <b/>
        <vertAlign val="subscript"/>
        <sz val="10"/>
        <rFont val="Arial"/>
        <family val="2"/>
      </rPr>
      <t>2</t>
    </r>
  </si>
  <si>
    <t>Period</t>
  </si>
  <si>
    <t>OX</t>
  </si>
  <si>
    <r>
      <t>GWP</t>
    </r>
    <r>
      <rPr>
        <b/>
        <vertAlign val="subscript"/>
        <sz val="11"/>
        <rFont val="Arial"/>
        <family val="2"/>
      </rPr>
      <t>CH4</t>
    </r>
  </si>
  <si>
    <t>Fixed Values</t>
  </si>
  <si>
    <r>
      <t>ton/m</t>
    </r>
    <r>
      <rPr>
        <vertAlign val="subscript"/>
        <sz val="11"/>
        <rFont val="Arial"/>
        <family val="2"/>
      </rPr>
      <t>3</t>
    </r>
  </si>
  <si>
    <r>
      <t>EE</t>
    </r>
    <r>
      <rPr>
        <b/>
        <vertAlign val="subscript"/>
        <sz val="12"/>
        <rFont val="Arial"/>
        <family val="2"/>
      </rPr>
      <t>y</t>
    </r>
  </si>
  <si>
    <r>
      <t>D</t>
    </r>
    <r>
      <rPr>
        <b/>
        <vertAlign val="subscript"/>
        <sz val="12"/>
        <rFont val="Arial"/>
        <family val="2"/>
      </rPr>
      <t>CH4</t>
    </r>
  </si>
  <si>
    <r>
      <t>NCV</t>
    </r>
    <r>
      <rPr>
        <b/>
        <vertAlign val="subscript"/>
        <sz val="12"/>
        <rFont val="Arial"/>
        <family val="2"/>
      </rPr>
      <t>CH4</t>
    </r>
  </si>
  <si>
    <r>
      <t>MJ/m</t>
    </r>
    <r>
      <rPr>
        <vertAlign val="superscript"/>
        <sz val="11"/>
        <rFont val="Arial"/>
        <family val="2"/>
      </rPr>
      <t>3</t>
    </r>
  </si>
  <si>
    <t xml:space="preserve">Annual Methane
 destroyed in the absence of project activity </t>
  </si>
  <si>
    <t>ER Calculation of GS 764 Bolu LFG to Energy Plant</t>
  </si>
  <si>
    <t>SDG 7</t>
  </si>
  <si>
    <t>SDG 8</t>
  </si>
  <si>
    <t>SDG 13</t>
  </si>
  <si>
    <t>Yearly eletricity displacement emission reductions</t>
  </si>
  <si>
    <t>tCO2</t>
  </si>
  <si>
    <t xml:space="preserve">Annual (365 Days) electricity generation estimation as per Registered PDD </t>
  </si>
  <si>
    <t>ER Estimation for current Monitoring Period based on operational days</t>
  </si>
  <si>
    <t>Annual (365 Days) ER estimation as per Registered PDD</t>
  </si>
  <si>
    <t>Electricity generation estimation for current Monitoring Period based on operational days</t>
  </si>
  <si>
    <t xml:space="preserve">Electricity generation in year y </t>
  </si>
  <si>
    <r>
      <t>F</t>
    </r>
    <r>
      <rPr>
        <b/>
        <vertAlign val="subscript"/>
        <sz val="14"/>
        <rFont val="Arial"/>
        <family val="2"/>
      </rPr>
      <t>CH4,PJ,y</t>
    </r>
  </si>
  <si>
    <r>
      <t>F</t>
    </r>
    <r>
      <rPr>
        <b/>
        <vertAlign val="subscript"/>
        <sz val="14"/>
        <rFont val="Arial"/>
        <family val="2"/>
      </rPr>
      <t>CH4,BL,y</t>
    </r>
  </si>
  <si>
    <r>
      <t>EG</t>
    </r>
    <r>
      <rPr>
        <b/>
        <vertAlign val="subscript"/>
        <sz val="14"/>
        <rFont val="Arial"/>
        <family val="2"/>
      </rPr>
      <t>y</t>
    </r>
  </si>
  <si>
    <r>
      <t>BE</t>
    </r>
    <r>
      <rPr>
        <b/>
        <vertAlign val="subscript"/>
        <sz val="14"/>
        <rFont val="Arial"/>
        <family val="2"/>
      </rPr>
      <t>electricity,y</t>
    </r>
  </si>
  <si>
    <r>
      <t>PE</t>
    </r>
    <r>
      <rPr>
        <b/>
        <vertAlign val="subscript"/>
        <sz val="14"/>
        <rFont val="Arial"/>
        <family val="2"/>
      </rPr>
      <t>y</t>
    </r>
  </si>
  <si>
    <t xml:space="preserve">Methane captured and destroyed / gainfully used by the project activity in the year y </t>
  </si>
  <si>
    <r>
      <t>EC</t>
    </r>
    <r>
      <rPr>
        <b/>
        <vertAlign val="subscript"/>
        <sz val="14"/>
        <rFont val="Arial"/>
        <family val="2"/>
      </rPr>
      <t>PJ,y</t>
    </r>
  </si>
  <si>
    <t xml:space="preserve">Quantity of electricity consumed by the project electricity consumption source j in year y </t>
  </si>
  <si>
    <r>
      <rPr>
        <b/>
        <sz val="12"/>
        <rFont val="Arial"/>
        <family val="2"/>
      </rPr>
      <t>η</t>
    </r>
    <r>
      <rPr>
        <b/>
        <vertAlign val="subscript"/>
        <sz val="12"/>
        <rFont val="Arial"/>
        <family val="2"/>
      </rPr>
      <t>PJ</t>
    </r>
  </si>
  <si>
    <r>
      <t>EF</t>
    </r>
    <r>
      <rPr>
        <b/>
        <vertAlign val="subscript"/>
        <sz val="12"/>
        <rFont val="Arial"/>
        <family val="2"/>
      </rPr>
      <t>EL,j,y</t>
    </r>
  </si>
  <si>
    <r>
      <t>tCO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/MWh</t>
    </r>
  </si>
  <si>
    <t>Actual Emission Reductions</t>
  </si>
  <si>
    <r>
      <t>ER</t>
    </r>
    <r>
      <rPr>
        <b/>
        <vertAlign val="subscript"/>
        <sz val="14"/>
        <rFont val="Arial"/>
        <family val="2"/>
      </rPr>
      <t>y,calculated</t>
    </r>
  </si>
  <si>
    <r>
      <t>tCO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/tCH</t>
    </r>
    <r>
      <rPr>
        <vertAlign val="subscript"/>
        <sz val="11"/>
        <rFont val="Arial"/>
        <family val="2"/>
      </rPr>
      <t>4</t>
    </r>
  </si>
  <si>
    <r>
      <t>tCH</t>
    </r>
    <r>
      <rPr>
        <b/>
        <vertAlign val="subscript"/>
        <sz val="10"/>
        <rFont val="Arial"/>
        <family val="2"/>
      </rPr>
      <t>4</t>
    </r>
  </si>
  <si>
    <t>Net electricity (Cross check from OSF Data) 
(MWh)</t>
  </si>
  <si>
    <t>Import  (MWh)
(Drawn)</t>
  </si>
  <si>
    <t>Export (MWh) (Supply)</t>
  </si>
  <si>
    <t>Baseline emissions from methane utilization</t>
  </si>
  <si>
    <t>9 workers employed + 1 training</t>
  </si>
  <si>
    <t>11 worker employed + 1 training</t>
  </si>
  <si>
    <t>Assessment Approach for Reporting Higher Ex-post Emission Reductions</t>
  </si>
  <si>
    <t>Average 11 employments and total of 7 trainings</t>
  </si>
  <si>
    <t>Vintage Breakup</t>
  </si>
  <si>
    <t>10 worker employed + 1 training</t>
  </si>
  <si>
    <t>10 workers employed + 4 trainings</t>
  </si>
  <si>
    <t xml:space="preserve">     03/11/2018 - 02/11/2021</t>
  </si>
  <si>
    <t>01/01/2021-02/11/2021</t>
  </si>
  <si>
    <t>03/11/2018-31/12/2018</t>
  </si>
  <si>
    <t>BE</t>
  </si>
  <si>
    <t>PE</t>
  </si>
  <si>
    <t>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</si>
</sst>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 * #,##0_ ;_ * \-#,##0_ ;_ * &quot;-&quot;_ ;_ @_ "/>
    <numFmt numFmtId="43" formatCode="_ * #,##0.00_ ;_ * \-#,##0.00_ ;_ * &quot;-&quot;??_ ;_ @_ "/>
    <numFmt numFmtId="164" formatCode="_-* #,##0.00_-;\-* #,##0.00_-;_-* &quot;-&quot;??_-;_-@_-"/>
    <numFmt numFmtId="165" formatCode="_(* #,##0.00_);_(* \(#,##0.00\);_(* &quot;-&quot;??_);_(@_)"/>
    <numFmt numFmtId="166" formatCode="mmm/yyyy"/>
    <numFmt numFmtId="167" formatCode="0.0000"/>
    <numFmt numFmtId="168" formatCode="_(* #,##0_);_(* \(#,##0\);_(* &quot;-&quot;??_);_(@_)"/>
    <numFmt numFmtId="169" formatCode="0.000"/>
    <numFmt numFmtId="170" formatCode="0.00_);[Red]\(0.00\)"/>
    <numFmt numFmtId="171" formatCode="0.00000"/>
    <numFmt numFmtId="172" formatCode="_-* #,##0_-;\-* #,##0_-;_-* &quot;-&quot;??_-;_-@_-"/>
    <numFmt numFmtId="173" formatCode="_ * #,##0.000_ ;_ * \-#,##0.000_ ;_ * &quot;-&quot;??_ ;_ @_ "/>
    <numFmt numFmtId="174" formatCode="_ * #,##0_ ;_ * \-#,##0_ ;_ * &quot;-&quot;??_ ;_ @_ "/>
  </numFmts>
  <fonts count="30">
    <font>
      <sz val="11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2"/>
      <name val="宋体"/>
      <charset val="134"/>
    </font>
    <font>
      <sz val="12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b/>
      <vertAlign val="subscript"/>
      <sz val="11"/>
      <name val="Arial"/>
      <family val="2"/>
    </font>
    <font>
      <b/>
      <sz val="11"/>
      <color theme="1"/>
      <name val="Calibri"/>
      <family val="2"/>
      <charset val="16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sz val="8"/>
      <name val="Calibri"/>
      <family val="2"/>
    </font>
    <font>
      <sz val="11"/>
      <name val="Arial"/>
      <family val="2"/>
    </font>
    <font>
      <vertAlign val="subscript"/>
      <sz val="11"/>
      <name val="Arial"/>
      <family val="2"/>
    </font>
    <font>
      <sz val="11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bscript"/>
      <sz val="10"/>
      <name val="Arial"/>
      <family val="2"/>
    </font>
    <font>
      <b/>
      <vertAlign val="subscript"/>
      <sz val="12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vertAlign val="subscript"/>
      <sz val="14"/>
      <name val="Arial"/>
      <family val="2"/>
    </font>
    <font>
      <sz val="11"/>
      <name val="Calibri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4">
    <xf numFmtId="0" fontId="0" fillId="0" borderId="0">
      <alignment vertical="center"/>
    </xf>
    <xf numFmtId="9" fontId="5" fillId="0" borderId="0">
      <alignment vertical="top"/>
      <protection locked="0"/>
    </xf>
    <xf numFmtId="0" fontId="4" fillId="0" borderId="0">
      <protection locked="0"/>
    </xf>
    <xf numFmtId="9" fontId="4" fillId="0" borderId="0">
      <alignment vertical="top"/>
      <protection locked="0"/>
    </xf>
    <xf numFmtId="165" fontId="6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3" fillId="0" borderId="0">
      <alignment vertical="top"/>
      <protection locked="0"/>
    </xf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8" fillId="7" borderId="34" applyNumberFormat="0" applyFont="0" applyAlignment="0" applyProtection="0"/>
  </cellStyleXfs>
  <cellXfs count="173">
    <xf numFmtId="0" fontId="0" fillId="0" borderId="0" xfId="0">
      <alignment vertical="center"/>
    </xf>
    <xf numFmtId="0" fontId="2" fillId="0" borderId="0" xfId="0" applyFont="1" applyBorder="1" applyAlignment="1"/>
    <xf numFmtId="14" fontId="3" fillId="0" borderId="0" xfId="0" applyNumberFormat="1" applyFont="1" applyBorder="1" applyAlignment="1"/>
    <xf numFmtId="0" fontId="4" fillId="0" borderId="0" xfId="2" applyBorder="1" applyAlignment="1" applyProtection="1"/>
    <xf numFmtId="166" fontId="3" fillId="0" borderId="1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right"/>
    </xf>
    <xf numFmtId="2" fontId="3" fillId="0" borderId="0" xfId="1" applyNumberFormat="1" applyFont="1" applyBorder="1" applyAlignment="1" applyProtection="1"/>
    <xf numFmtId="0" fontId="2" fillId="4" borderId="0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 vertical="center"/>
    </xf>
    <xf numFmtId="169" fontId="3" fillId="0" borderId="1" xfId="0" applyNumberFormat="1" applyFont="1" applyBorder="1" applyAlignment="1">
      <alignment horizontal="right"/>
    </xf>
    <xf numFmtId="169" fontId="3" fillId="0" borderId="1" xfId="0" applyNumberFormat="1" applyFont="1" applyBorder="1" applyAlignment="1"/>
    <xf numFmtId="166" fontId="3" fillId="0" borderId="0" xfId="0" applyNumberFormat="1" applyFont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169" fontId="3" fillId="0" borderId="0" xfId="0" applyNumberFormat="1" applyFont="1" applyBorder="1" applyAlignment="1"/>
    <xf numFmtId="2" fontId="3" fillId="3" borderId="0" xfId="0" applyNumberFormat="1" applyFont="1" applyFill="1" applyBorder="1" applyAlignment="1">
      <alignment horizontal="right"/>
    </xf>
    <xf numFmtId="167" fontId="3" fillId="0" borderId="0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165" fontId="7" fillId="0" borderId="1" xfId="4" applyFont="1" applyBorder="1" applyAlignment="1">
      <alignment vertical="center"/>
    </xf>
    <xf numFmtId="0" fontId="7" fillId="0" borderId="1" xfId="0" applyFont="1" applyBorder="1">
      <alignment vertical="center"/>
    </xf>
    <xf numFmtId="1" fontId="0" fillId="0" borderId="0" xfId="0" applyNumberFormat="1">
      <alignment vertical="center"/>
    </xf>
    <xf numFmtId="169" fontId="0" fillId="0" borderId="1" xfId="0" applyNumberFormat="1" applyBorder="1" applyAlignment="1"/>
    <xf numFmtId="0" fontId="9" fillId="0" borderId="0" xfId="5" applyFont="1"/>
    <xf numFmtId="170" fontId="9" fillId="0" borderId="0" xfId="7" applyNumberFormat="1" applyFont="1"/>
    <xf numFmtId="0" fontId="9" fillId="0" borderId="0" xfId="5" applyFont="1" applyAlignment="1">
      <alignment horizontal="center"/>
    </xf>
    <xf numFmtId="0" fontId="11" fillId="0" borderId="0" xfId="5" applyFont="1" applyBorder="1" applyAlignment="1">
      <alignment vertical="center"/>
    </xf>
    <xf numFmtId="14" fontId="14" fillId="2" borderId="1" xfId="0" applyNumberFormat="1" applyFont="1" applyFill="1" applyBorder="1" applyAlignment="1">
      <alignment horizontal="center" vertical="center"/>
    </xf>
    <xf numFmtId="166" fontId="15" fillId="0" borderId="1" xfId="0" applyNumberFormat="1" applyFont="1" applyBorder="1" applyAlignment="1">
      <alignment horizontal="center"/>
    </xf>
    <xf numFmtId="14" fontId="15" fillId="0" borderId="1" xfId="0" applyNumberFormat="1" applyFont="1" applyBorder="1" applyAlignment="1">
      <alignment horizontal="center"/>
    </xf>
    <xf numFmtId="166" fontId="15" fillId="0" borderId="9" xfId="0" applyNumberFormat="1" applyFont="1" applyBorder="1" applyAlignment="1">
      <alignment horizontal="center"/>
    </xf>
    <xf numFmtId="14" fontId="15" fillId="0" borderId="9" xfId="0" applyNumberFormat="1" applyFont="1" applyBorder="1" applyAlignment="1">
      <alignment horizontal="center"/>
    </xf>
    <xf numFmtId="0" fontId="0" fillId="0" borderId="0" xfId="0" applyBorder="1" applyAlignment="1"/>
    <xf numFmtId="0" fontId="1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3" fillId="0" borderId="0" xfId="0" applyFont="1" applyBorder="1" applyAlignment="1"/>
    <xf numFmtId="169" fontId="0" fillId="0" borderId="0" xfId="0" applyNumberFormat="1" applyBorder="1" applyAlignment="1">
      <alignment horizontal="left"/>
    </xf>
    <xf numFmtId="0" fontId="0" fillId="0" borderId="0" xfId="0" applyBorder="1">
      <alignment vertical="center"/>
    </xf>
    <xf numFmtId="165" fontId="4" fillId="0" borderId="1" xfId="4" applyFont="1" applyBorder="1" applyAlignment="1">
      <alignment horizontal="left"/>
    </xf>
    <xf numFmtId="0" fontId="4" fillId="0" borderId="0" xfId="0" applyFont="1">
      <alignment vertical="center"/>
    </xf>
    <xf numFmtId="165" fontId="4" fillId="0" borderId="1" xfId="0" applyNumberFormat="1" applyFont="1" applyBorder="1">
      <alignment vertical="center"/>
    </xf>
    <xf numFmtId="165" fontId="10" fillId="0" borderId="1" xfId="0" applyNumberFormat="1" applyFont="1" applyBorder="1">
      <alignment vertical="center"/>
    </xf>
    <xf numFmtId="165" fontId="2" fillId="0" borderId="1" xfId="4" applyFont="1" applyBorder="1" applyAlignment="1">
      <alignment horizontal="center"/>
    </xf>
    <xf numFmtId="14" fontId="18" fillId="3" borderId="12" xfId="2" applyNumberFormat="1" applyFont="1" applyFill="1" applyBorder="1" applyAlignment="1" applyProtection="1">
      <alignment horizontal="right"/>
    </xf>
    <xf numFmtId="14" fontId="18" fillId="4" borderId="14" xfId="2" applyNumberFormat="1" applyFont="1" applyFill="1" applyBorder="1" applyAlignment="1" applyProtection="1">
      <alignment horizontal="right"/>
    </xf>
    <xf numFmtId="0" fontId="18" fillId="0" borderId="10" xfId="2" applyFont="1" applyBorder="1" applyAlignment="1" applyProtection="1">
      <alignment horizontal="left"/>
    </xf>
    <xf numFmtId="0" fontId="18" fillId="0" borderId="11" xfId="2" applyFont="1" applyBorder="1" applyAlignment="1" applyProtection="1">
      <alignment horizontal="left"/>
    </xf>
    <xf numFmtId="0" fontId="18" fillId="0" borderId="13" xfId="2" applyFont="1" applyBorder="1" applyAlignment="1" applyProtection="1">
      <alignment horizontal="left"/>
    </xf>
    <xf numFmtId="0" fontId="18" fillId="0" borderId="1" xfId="2" applyFont="1" applyBorder="1" applyAlignment="1" applyProtection="1">
      <alignment horizontal="left"/>
    </xf>
    <xf numFmtId="0" fontId="18" fillId="0" borderId="1" xfId="5" applyFont="1" applyBorder="1"/>
    <xf numFmtId="43" fontId="11" fillId="0" borderId="16" xfId="6" applyFont="1" applyFill="1" applyBorder="1" applyAlignment="1">
      <alignment horizontal="center" vertical="center"/>
    </xf>
    <xf numFmtId="0" fontId="10" fillId="5" borderId="1" xfId="5" applyFont="1" applyFill="1" applyBorder="1" applyAlignment="1">
      <alignment horizontal="center" vertical="center"/>
    </xf>
    <xf numFmtId="0" fontId="10" fillId="5" borderId="14" xfId="5" applyFont="1" applyFill="1" applyBorder="1" applyAlignment="1">
      <alignment horizontal="center" vertical="center"/>
    </xf>
    <xf numFmtId="171" fontId="18" fillId="3" borderId="6" xfId="2" applyNumberFormat="1" applyFont="1" applyFill="1" applyBorder="1" applyAlignment="1" applyProtection="1">
      <alignment horizontal="right"/>
    </xf>
    <xf numFmtId="0" fontId="11" fillId="0" borderId="13" xfId="5" applyNumberFormat="1" applyFont="1" applyBorder="1" applyAlignment="1">
      <alignment horizontal="center" vertical="center" wrapText="1"/>
    </xf>
    <xf numFmtId="170" fontId="11" fillId="0" borderId="15" xfId="7" applyNumberFormat="1" applyFont="1" applyBorder="1" applyAlignment="1">
      <alignment horizontal="center" vertical="center"/>
    </xf>
    <xf numFmtId="164" fontId="18" fillId="0" borderId="1" xfId="5" applyNumberFormat="1" applyFont="1" applyBorder="1" applyAlignment="1">
      <alignment vertical="center"/>
    </xf>
    <xf numFmtId="164" fontId="11" fillId="0" borderId="16" xfId="5" applyNumberFormat="1" applyFont="1" applyBorder="1" applyAlignment="1">
      <alignment vertical="center"/>
    </xf>
    <xf numFmtId="0" fontId="9" fillId="0" borderId="0" xfId="5" applyFont="1" applyAlignment="1"/>
    <xf numFmtId="0" fontId="11" fillId="0" borderId="4" xfId="5" applyFont="1" applyBorder="1" applyAlignment="1">
      <alignment vertical="center"/>
    </xf>
    <xf numFmtId="0" fontId="11" fillId="0" borderId="5" xfId="5" applyFont="1" applyBorder="1" applyAlignment="1">
      <alignment vertical="center"/>
    </xf>
    <xf numFmtId="0" fontId="11" fillId="0" borderId="26" xfId="5" applyFont="1" applyBorder="1" applyAlignment="1">
      <alignment vertical="center"/>
    </xf>
    <xf numFmtId="168" fontId="18" fillId="0" borderId="14" xfId="4" applyNumberFormat="1" applyFont="1" applyFill="1" applyBorder="1" applyAlignment="1" applyProtection="1">
      <alignment horizontal="right"/>
    </xf>
    <xf numFmtId="14" fontId="4" fillId="3" borderId="0" xfId="2" applyNumberFormat="1" applyFill="1" applyBorder="1" applyAlignment="1" applyProtection="1">
      <alignment horizontal="right"/>
    </xf>
    <xf numFmtId="0" fontId="9" fillId="0" borderId="0" xfId="5" applyFont="1" applyBorder="1"/>
    <xf numFmtId="0" fontId="9" fillId="0" borderId="27" xfId="5" applyFont="1" applyBorder="1"/>
    <xf numFmtId="170" fontId="9" fillId="0" borderId="5" xfId="7" applyNumberFormat="1" applyFont="1" applyBorder="1"/>
    <xf numFmtId="169" fontId="3" fillId="0" borderId="1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right"/>
    </xf>
    <xf numFmtId="43" fontId="18" fillId="0" borderId="1" xfId="6" applyFont="1" applyFill="1" applyBorder="1" applyAlignment="1">
      <alignment horizontal="center" vertical="center"/>
    </xf>
    <xf numFmtId="0" fontId="18" fillId="0" borderId="1" xfId="5" applyFont="1" applyBorder="1" applyAlignment="1">
      <alignment vertical="center"/>
    </xf>
    <xf numFmtId="0" fontId="11" fillId="0" borderId="16" xfId="5" applyFont="1" applyBorder="1" applyAlignment="1">
      <alignment vertical="center"/>
    </xf>
    <xf numFmtId="0" fontId="18" fillId="0" borderId="1" xfId="2" applyFont="1" applyBorder="1" applyAlignment="1" applyProtection="1">
      <alignment vertical="center" wrapText="1"/>
    </xf>
    <xf numFmtId="10" fontId="18" fillId="0" borderId="1" xfId="2" applyNumberFormat="1" applyFont="1" applyBorder="1" applyAlignment="1" applyProtection="1">
      <alignment vertical="center" wrapText="1"/>
    </xf>
    <xf numFmtId="0" fontId="21" fillId="0" borderId="20" xfId="5" applyFont="1" applyBorder="1" applyAlignment="1">
      <alignment vertical="center"/>
    </xf>
    <xf numFmtId="0" fontId="18" fillId="0" borderId="20" xfId="2" applyFont="1" applyBorder="1" applyAlignment="1" applyProtection="1">
      <alignment vertical="center" wrapText="1"/>
    </xf>
    <xf numFmtId="10" fontId="20" fillId="0" borderId="17" xfId="3" applyNumberFormat="1" applyFont="1" applyFill="1" applyBorder="1" applyAlignment="1" applyProtection="1">
      <alignment horizontal="right"/>
    </xf>
    <xf numFmtId="170" fontId="11" fillId="0" borderId="0" xfId="7" applyNumberFormat="1" applyFont="1" applyBorder="1" applyAlignment="1">
      <alignment horizontal="center" vertical="center"/>
    </xf>
    <xf numFmtId="164" fontId="11" fillId="0" borderId="0" xfId="5" applyNumberFormat="1" applyFont="1" applyBorder="1" applyAlignment="1">
      <alignment vertical="center"/>
    </xf>
    <xf numFmtId="43" fontId="11" fillId="0" borderId="0" xfId="6" applyFont="1" applyFill="1" applyBorder="1" applyAlignment="1">
      <alignment horizontal="center" vertical="center"/>
    </xf>
    <xf numFmtId="2" fontId="11" fillId="0" borderId="0" xfId="5" applyNumberFormat="1" applyFont="1" applyBorder="1"/>
    <xf numFmtId="168" fontId="18" fillId="3" borderId="33" xfId="4" applyNumberFormat="1" applyFont="1" applyFill="1" applyBorder="1" applyAlignment="1" applyProtection="1">
      <alignment horizontal="right"/>
    </xf>
    <xf numFmtId="0" fontId="18" fillId="0" borderId="0" xfId="5" applyFont="1" applyBorder="1"/>
    <xf numFmtId="14" fontId="18" fillId="0" borderId="0" xfId="5" applyNumberFormat="1" applyFont="1" applyBorder="1"/>
    <xf numFmtId="164" fontId="11" fillId="0" borderId="0" xfId="5" applyNumberFormat="1" applyFont="1" applyBorder="1"/>
    <xf numFmtId="172" fontId="11" fillId="0" borderId="17" xfId="5" applyNumberFormat="1" applyFont="1" applyBorder="1" applyAlignment="1">
      <alignment vertical="center"/>
    </xf>
    <xf numFmtId="0" fontId="18" fillId="3" borderId="14" xfId="2" applyFont="1" applyFill="1" applyBorder="1" applyAlignment="1" applyProtection="1">
      <alignment horizontal="right"/>
    </xf>
    <xf numFmtId="0" fontId="21" fillId="0" borderId="0" xfId="5" applyFont="1"/>
    <xf numFmtId="0" fontId="21" fillId="0" borderId="0" xfId="5" applyFont="1" applyBorder="1"/>
    <xf numFmtId="170" fontId="21" fillId="0" borderId="0" xfId="7" applyNumberFormat="1" applyFont="1"/>
    <xf numFmtId="165" fontId="18" fillId="0" borderId="14" xfId="4" applyNumberFormat="1" applyFont="1" applyBorder="1" applyAlignment="1">
      <alignment wrapText="1"/>
    </xf>
    <xf numFmtId="0" fontId="18" fillId="0" borderId="14" xfId="0" applyFont="1" applyBorder="1" applyAlignment="1">
      <alignment wrapText="1"/>
    </xf>
    <xf numFmtId="168" fontId="18" fillId="0" borderId="14" xfId="4" applyNumberFormat="1" applyFont="1" applyBorder="1" applyAlignment="1">
      <alignment wrapText="1"/>
    </xf>
    <xf numFmtId="10" fontId="18" fillId="0" borderId="0" xfId="5" applyNumberFormat="1" applyFont="1"/>
    <xf numFmtId="9" fontId="18" fillId="0" borderId="1" xfId="2" applyNumberFormat="1" applyFont="1" applyBorder="1" applyAlignment="1" applyProtection="1">
      <alignment vertical="center" wrapText="1"/>
    </xf>
    <xf numFmtId="0" fontId="18" fillId="0" borderId="14" xfId="2" applyFont="1" applyBorder="1" applyAlignment="1" applyProtection="1">
      <alignment horizontal="left" vertical="center" wrapText="1"/>
    </xf>
    <xf numFmtId="0" fontId="10" fillId="5" borderId="1" xfId="5" applyFont="1" applyFill="1" applyBorder="1" applyAlignment="1">
      <alignment horizontal="center" vertical="center" wrapText="1"/>
    </xf>
    <xf numFmtId="0" fontId="10" fillId="5" borderId="14" xfId="5" applyFont="1" applyFill="1" applyBorder="1" applyAlignment="1">
      <alignment horizontal="center" vertical="center" wrapText="1"/>
    </xf>
    <xf numFmtId="0" fontId="18" fillId="0" borderId="20" xfId="2" applyFont="1" applyBorder="1" applyAlignment="1" applyProtection="1">
      <alignment horizontal="left" vertical="center" wrapText="1"/>
    </xf>
    <xf numFmtId="170" fontId="9" fillId="0" borderId="26" xfId="7" applyNumberFormat="1" applyFont="1" applyBorder="1"/>
    <xf numFmtId="0" fontId="26" fillId="6" borderId="1" xfId="5" applyFont="1" applyFill="1" applyBorder="1" applyAlignment="1">
      <alignment horizontal="center" vertical="center"/>
    </xf>
    <xf numFmtId="0" fontId="18" fillId="0" borderId="16" xfId="5" applyFont="1" applyBorder="1"/>
    <xf numFmtId="0" fontId="18" fillId="0" borderId="17" xfId="5" applyFont="1" applyBorder="1"/>
    <xf numFmtId="0" fontId="26" fillId="6" borderId="14" xfId="5" applyFont="1" applyFill="1" applyBorder="1" applyAlignment="1">
      <alignment horizontal="center" vertical="center"/>
    </xf>
    <xf numFmtId="0" fontId="11" fillId="0" borderId="13" xfId="5" applyFont="1" applyBorder="1" applyAlignment="1">
      <alignment horizontal="left" vertical="center"/>
    </xf>
    <xf numFmtId="0" fontId="22" fillId="0" borderId="13" xfId="5" applyFont="1" applyBorder="1" applyAlignment="1">
      <alignment horizontal="left" vertical="center"/>
    </xf>
    <xf numFmtId="0" fontId="24" fillId="0" borderId="13" xfId="5" applyFont="1" applyBorder="1" applyAlignment="1">
      <alignment horizontal="left" vertical="center"/>
    </xf>
    <xf numFmtId="0" fontId="22" fillId="0" borderId="15" xfId="5" applyFont="1" applyBorder="1" applyAlignment="1">
      <alignment horizontal="left" vertical="center"/>
    </xf>
    <xf numFmtId="164" fontId="0" fillId="0" borderId="0" xfId="0" applyNumberFormat="1">
      <alignment vertical="center"/>
    </xf>
    <xf numFmtId="173" fontId="18" fillId="0" borderId="1" xfId="6" applyNumberFormat="1" applyFont="1" applyFill="1" applyBorder="1" applyAlignment="1">
      <alignment horizontal="center" vertical="center"/>
    </xf>
    <xf numFmtId="173" fontId="11" fillId="0" borderId="16" xfId="5" applyNumberFormat="1" applyFont="1" applyBorder="1" applyAlignment="1">
      <alignment vertical="center"/>
    </xf>
    <xf numFmtId="164" fontId="9" fillId="0" borderId="0" xfId="5" applyNumberFormat="1" applyFont="1"/>
    <xf numFmtId="164" fontId="18" fillId="0" borderId="1" xfId="13" applyNumberFormat="1" applyFont="1" applyFill="1" applyBorder="1"/>
    <xf numFmtId="166" fontId="15" fillId="0" borderId="1" xfId="0" applyNumberFormat="1" applyFont="1" applyFill="1" applyBorder="1" applyAlignment="1">
      <alignment horizontal="center"/>
    </xf>
    <xf numFmtId="14" fontId="15" fillId="0" borderId="1" xfId="0" applyNumberFormat="1" applyFont="1" applyFill="1" applyBorder="1" applyAlignment="1">
      <alignment horizontal="center"/>
    </xf>
    <xf numFmtId="165" fontId="4" fillId="0" borderId="1" xfId="4" applyFont="1" applyFill="1" applyBorder="1" applyAlignment="1">
      <alignment horizontal="left"/>
    </xf>
    <xf numFmtId="0" fontId="9" fillId="0" borderId="0" xfId="5" applyNumberFormat="1" applyFont="1"/>
    <xf numFmtId="0" fontId="18" fillId="0" borderId="1" xfId="5" applyFont="1" applyFill="1" applyBorder="1" applyAlignment="1">
      <alignment wrapText="1"/>
    </xf>
    <xf numFmtId="0" fontId="11" fillId="0" borderId="1" xfId="5" applyFont="1" applyBorder="1" applyAlignment="1">
      <alignment horizontal="center" vertical="center"/>
    </xf>
    <xf numFmtId="43" fontId="18" fillId="0" borderId="1" xfId="5" applyNumberFormat="1" applyFont="1" applyFill="1" applyBorder="1" applyAlignment="1">
      <alignment horizontal="center" vertical="center" wrapText="1"/>
    </xf>
    <xf numFmtId="0" fontId="29" fillId="0" borderId="0" xfId="5" applyFont="1" applyBorder="1" applyAlignment="1">
      <alignment horizontal="center" vertical="center" wrapText="1"/>
    </xf>
    <xf numFmtId="14" fontId="4" fillId="0" borderId="0" xfId="5" applyNumberFormat="1" applyFont="1" applyBorder="1" applyAlignment="1">
      <alignment horizontal="center" vertical="center"/>
    </xf>
    <xf numFmtId="0" fontId="18" fillId="0" borderId="0" xfId="5" applyFont="1" applyBorder="1" applyAlignment="1">
      <alignment vertical="center"/>
    </xf>
    <xf numFmtId="14" fontId="18" fillId="0" borderId="0" xfId="5" applyNumberFormat="1" applyFont="1" applyBorder="1" applyAlignment="1">
      <alignment vertical="center"/>
    </xf>
    <xf numFmtId="0" fontId="9" fillId="0" borderId="1" xfId="5" applyFont="1" applyBorder="1"/>
    <xf numFmtId="0" fontId="11" fillId="0" borderId="1" xfId="5" applyNumberFormat="1" applyFont="1" applyBorder="1" applyAlignment="1">
      <alignment horizontal="center" vertical="center" wrapText="1"/>
    </xf>
    <xf numFmtId="172" fontId="18" fillId="0" borderId="1" xfId="5" applyNumberFormat="1" applyFont="1" applyBorder="1" applyAlignment="1">
      <alignment vertical="center"/>
    </xf>
    <xf numFmtId="43" fontId="11" fillId="0" borderId="1" xfId="6" applyFont="1" applyFill="1" applyBorder="1" applyAlignment="1">
      <alignment horizontal="center" vertical="center"/>
    </xf>
    <xf numFmtId="43" fontId="10" fillId="0" borderId="1" xfId="5" applyNumberFormat="1" applyFont="1" applyBorder="1" applyAlignment="1">
      <alignment wrapText="1"/>
    </xf>
    <xf numFmtId="168" fontId="11" fillId="0" borderId="1" xfId="4" applyNumberFormat="1" applyFont="1" applyFill="1" applyBorder="1"/>
    <xf numFmtId="43" fontId="18" fillId="0" borderId="0" xfId="6" applyFont="1" applyFill="1" applyBorder="1" applyAlignment="1">
      <alignment horizontal="center" vertical="center"/>
    </xf>
    <xf numFmtId="14" fontId="18" fillId="0" borderId="0" xfId="6" applyNumberFormat="1" applyFont="1" applyFill="1" applyBorder="1" applyAlignment="1">
      <alignment horizontal="center" vertical="center"/>
    </xf>
    <xf numFmtId="174" fontId="18" fillId="0" borderId="0" xfId="6" applyNumberFormat="1" applyFont="1" applyFill="1" applyBorder="1" applyAlignment="1">
      <alignment horizontal="center" vertical="center"/>
    </xf>
    <xf numFmtId="43" fontId="18" fillId="0" borderId="1" xfId="5" applyNumberFormat="1" applyFont="1" applyBorder="1"/>
    <xf numFmtId="0" fontId="11" fillId="0" borderId="1" xfId="5" applyFont="1" applyBorder="1" applyAlignment="1">
      <alignment horizontal="center" vertical="center"/>
    </xf>
    <xf numFmtId="0" fontId="22" fillId="0" borderId="0" xfId="5" applyFont="1" applyBorder="1" applyAlignment="1">
      <alignment horizontal="center" vertical="center"/>
    </xf>
    <xf numFmtId="0" fontId="11" fillId="0" borderId="7" xfId="5" applyFont="1" applyBorder="1" applyAlignment="1">
      <alignment horizontal="center" vertical="center"/>
    </xf>
    <xf numFmtId="0" fontId="11" fillId="0" borderId="8" xfId="5" applyFont="1" applyBorder="1" applyAlignment="1">
      <alignment horizontal="center" vertical="center"/>
    </xf>
    <xf numFmtId="0" fontId="18" fillId="0" borderId="18" xfId="2" applyFont="1" applyBorder="1" applyAlignment="1" applyProtection="1">
      <alignment horizontal="left" vertical="top" wrapText="1"/>
    </xf>
    <xf numFmtId="0" fontId="18" fillId="0" borderId="19" xfId="2" applyFont="1" applyBorder="1" applyAlignment="1" applyProtection="1">
      <alignment horizontal="left" vertical="top" wrapText="1"/>
    </xf>
    <xf numFmtId="0" fontId="18" fillId="0" borderId="31" xfId="2" applyFont="1" applyBorder="1" applyAlignment="1" applyProtection="1">
      <alignment horizontal="left" wrapText="1"/>
    </xf>
    <xf numFmtId="0" fontId="18" fillId="0" borderId="32" xfId="2" applyFont="1" applyBorder="1" applyAlignment="1" applyProtection="1">
      <alignment horizontal="left" wrapText="1"/>
    </xf>
    <xf numFmtId="0" fontId="18" fillId="0" borderId="29" xfId="2" applyFont="1" applyBorder="1" applyAlignment="1" applyProtection="1">
      <alignment horizontal="left" wrapText="1"/>
    </xf>
    <xf numFmtId="0" fontId="18" fillId="0" borderId="30" xfId="2" applyFont="1" applyBorder="1" applyAlignment="1" applyProtection="1">
      <alignment horizontal="left" wrapText="1"/>
    </xf>
    <xf numFmtId="0" fontId="22" fillId="6" borderId="28" xfId="5" applyFont="1" applyFill="1" applyBorder="1" applyAlignment="1">
      <alignment horizontal="center"/>
    </xf>
    <xf numFmtId="0" fontId="22" fillId="6" borderId="25" xfId="5" applyFont="1" applyFill="1" applyBorder="1" applyAlignment="1">
      <alignment horizontal="center"/>
    </xf>
    <xf numFmtId="0" fontId="11" fillId="6" borderId="13" xfId="5" applyFont="1" applyFill="1" applyBorder="1" applyAlignment="1">
      <alignment horizontal="center" vertical="center"/>
    </xf>
    <xf numFmtId="0" fontId="11" fillId="5" borderId="13" xfId="5" applyFont="1" applyFill="1" applyBorder="1" applyAlignment="1">
      <alignment horizontal="center" vertical="center"/>
    </xf>
    <xf numFmtId="170" fontId="22" fillId="0" borderId="4" xfId="7" applyNumberFormat="1" applyFont="1" applyBorder="1" applyAlignment="1">
      <alignment horizontal="center" vertical="center"/>
    </xf>
    <xf numFmtId="170" fontId="22" fillId="0" borderId="5" xfId="7" applyNumberFormat="1" applyFont="1" applyBorder="1" applyAlignment="1">
      <alignment horizontal="center" vertical="center"/>
    </xf>
    <xf numFmtId="170" fontId="9" fillId="0" borderId="5" xfId="7" applyNumberFormat="1" applyFont="1" applyBorder="1" applyAlignment="1">
      <alignment horizontal="center"/>
    </xf>
    <xf numFmtId="0" fontId="11" fillId="0" borderId="1" xfId="5" applyFont="1" applyBorder="1" applyAlignment="1">
      <alignment horizontal="center" vertical="center" wrapText="1"/>
    </xf>
    <xf numFmtId="0" fontId="18" fillId="0" borderId="13" xfId="2" applyFont="1" applyBorder="1" applyAlignment="1" applyProtection="1">
      <alignment horizontal="left" wrapText="1"/>
    </xf>
    <xf numFmtId="0" fontId="18" fillId="0" borderId="1" xfId="2" applyFont="1" applyBorder="1" applyAlignment="1" applyProtection="1">
      <alignment horizontal="left" wrapText="1"/>
    </xf>
    <xf numFmtId="0" fontId="18" fillId="0" borderId="21" xfId="2" applyFont="1" applyBorder="1" applyAlignment="1" applyProtection="1">
      <alignment horizontal="left" vertical="top" wrapText="1"/>
    </xf>
    <xf numFmtId="0" fontId="18" fillId="0" borderId="22" xfId="2" applyFont="1" applyBorder="1" applyAlignment="1" applyProtection="1">
      <alignment horizontal="left" vertical="top" wrapText="1"/>
    </xf>
    <xf numFmtId="0" fontId="18" fillId="0" borderId="21" xfId="2" applyFont="1" applyFill="1" applyBorder="1" applyAlignment="1" applyProtection="1">
      <alignment horizontal="left" vertical="top" wrapText="1"/>
    </xf>
    <xf numFmtId="0" fontId="18" fillId="0" borderId="22" xfId="2" applyFont="1" applyFill="1" applyBorder="1" applyAlignment="1" applyProtection="1">
      <alignment horizontal="left" vertical="top" wrapText="1"/>
    </xf>
    <xf numFmtId="0" fontId="18" fillId="0" borderId="23" xfId="2" applyFont="1" applyFill="1" applyBorder="1" applyAlignment="1" applyProtection="1">
      <alignment horizontal="left" wrapText="1"/>
    </xf>
    <xf numFmtId="0" fontId="18" fillId="0" borderId="24" xfId="2" applyFont="1" applyFill="1" applyBorder="1" applyAlignment="1" applyProtection="1">
      <alignment horizontal="left" wrapText="1"/>
    </xf>
    <xf numFmtId="167" fontId="3" fillId="0" borderId="2" xfId="0" applyNumberFormat="1" applyFont="1" applyBorder="1" applyAlignment="1">
      <alignment horizontal="center" vertical="center"/>
    </xf>
    <xf numFmtId="167" fontId="3" fillId="0" borderId="9" xfId="0" applyNumberFormat="1" applyFont="1" applyBorder="1" applyAlignment="1">
      <alignment horizontal="center" vertical="center"/>
    </xf>
    <xf numFmtId="167" fontId="3" fillId="0" borderId="3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4" fontId="14" fillId="2" borderId="1" xfId="0" applyNumberFormat="1" applyFont="1" applyFill="1" applyBorder="1" applyAlignment="1">
      <alignment horizontal="center" vertical="center"/>
    </xf>
    <xf numFmtId="172" fontId="18" fillId="0" borderId="1" xfId="5" applyNumberFormat="1" applyFont="1" applyBorder="1"/>
  </cellXfs>
  <cellStyles count="14">
    <cellStyle name="Comma" xfId="4" builtinId="3"/>
    <cellStyle name="Comma [0] 2" xfId="7" xr:uid="{DBB55ED2-373D-4EEC-8E10-3F61FF09727F}"/>
    <cellStyle name="Comma 2" xfId="6" xr:uid="{FA5A7F80-0D2E-4740-BE16-51FE5710921C}"/>
    <cellStyle name="Comma 3" xfId="9" xr:uid="{29039A81-9535-4A93-AA20-E3DAFB06467A}"/>
    <cellStyle name="Comma 3 2" xfId="12" xr:uid="{8FFED951-2E0C-45E2-8224-E69546A4AF3A}"/>
    <cellStyle name="Comma 4" xfId="11" xr:uid="{F0C1EB2F-664D-48F4-A649-573B2E73661B}"/>
    <cellStyle name="Normal" xfId="0" builtinId="0"/>
    <cellStyle name="Normal 2" xfId="5" xr:uid="{681F7BFE-98F4-4572-8A15-5919B888D326}"/>
    <cellStyle name="Normal 2 2" xfId="2" xr:uid="{00000000-0005-0000-0000-000002000000}"/>
    <cellStyle name="Normal 3" xfId="8" xr:uid="{85A50F7D-7BB1-4DAF-9DA7-3F6ADE9A9EF8}"/>
    <cellStyle name="Note" xfId="13" builtinId="10"/>
    <cellStyle name="Percent" xfId="1" builtinId="5"/>
    <cellStyle name="Percent 2" xfId="3" xr:uid="{00000000-0005-0000-0000-000004000000}"/>
    <cellStyle name="Percent 3" xfId="10" xr:uid="{40720E03-2F51-423B-8F13-BD10B84507CB}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www.wps.cn/officeDocument/2020/cellImage" Target="NUL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180191</xdr:colOff>
      <xdr:row>2</xdr:row>
      <xdr:rowOff>93232</xdr:rowOff>
    </xdr:from>
    <xdr:to>
      <xdr:col>9</xdr:col>
      <xdr:colOff>711328</xdr:colOff>
      <xdr:row>2</xdr:row>
      <xdr:rowOff>511659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3838" y="1090556"/>
          <a:ext cx="3310196" cy="418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182880</xdr:colOff>
          <xdr:row>0</xdr:row>
          <xdr:rowOff>167640</xdr:rowOff>
        </xdr:from>
        <xdr:to>
          <xdr:col>11</xdr:col>
          <xdr:colOff>891540</xdr:colOff>
          <xdr:row>0</xdr:row>
          <xdr:rowOff>441960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160020</xdr:colOff>
          <xdr:row>0</xdr:row>
          <xdr:rowOff>495300</xdr:rowOff>
        </xdr:from>
        <xdr:to>
          <xdr:col>10</xdr:col>
          <xdr:colOff>411480</xdr:colOff>
          <xdr:row>1</xdr:row>
          <xdr:rowOff>137160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SPL" id="{BAECF860-0E5C-47FE-9D0C-5399F0582924}" userId="ESPL" providerId="None"/>
  <person displayName="Ece Coşgun" id="{499A3657-3C01-4EAB-B1F5-4BD67F1B2625}" userId="b98cbf5ed0421f14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3" dT="2022-04-26T09:46:22.85" personId="{BAECF860-0E5C-47FE-9D0C-5399F0582924}" id="{81DDD9D4-E6F7-4D64-A864-376EAC119D25}">
    <text>No unit provided though it is understood. Moreover, the basis behind the interpretaion of the data is not clear here. It has been entered manually. Clarify</text>
  </threadedComment>
  <threadedComment ref="I3" dT="2022-04-27T10:13:06.09" personId="{499A3657-3C01-4EAB-B1F5-4BD67F1B2625}" id="{958986EA-E135-4272-83E9-D34683979DD2}" parentId="{81DDD9D4-E6F7-4D64-A864-376EAC119D25}">
    <text>Unit is provided. The data is drawn from OSF in which data is provided separately for draw and supplied electricity in kWh. Therefore, it is written as (supply-drawn)/1000 to obtain net electricity sent to grid in MWh.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41B1E-19C4-4DAE-AB18-6E5D79C1867B}">
  <dimension ref="B1:Z23"/>
  <sheetViews>
    <sheetView tabSelected="1" topLeftCell="F13" zoomScale="70" zoomScaleNormal="70" workbookViewId="0">
      <selection activeCell="P21" sqref="P21"/>
    </sheetView>
  </sheetViews>
  <sheetFormatPr defaultColWidth="9.6640625" defaultRowHeight="16.2"/>
  <cols>
    <col min="1" max="1" width="9.6640625" style="26"/>
    <col min="2" max="2" width="13.77734375" style="26" customWidth="1"/>
    <col min="3" max="3" width="16.88671875" style="26" customWidth="1"/>
    <col min="4" max="5" width="16.77734375" style="26" customWidth="1"/>
    <col min="6" max="6" width="21.5546875" style="26" customWidth="1"/>
    <col min="7" max="7" width="22.33203125" style="26" customWidth="1"/>
    <col min="8" max="8" width="21.109375" style="26" customWidth="1"/>
    <col min="9" max="9" width="19.44140625" style="26" customWidth="1"/>
    <col min="10" max="10" width="24" style="26" customWidth="1"/>
    <col min="11" max="11" width="18.109375" style="26" customWidth="1"/>
    <col min="12" max="12" width="19.88671875" style="26" customWidth="1"/>
    <col min="13" max="13" width="20.44140625" style="26" customWidth="1"/>
    <col min="14" max="14" width="17.88671875" style="26" customWidth="1"/>
    <col min="15" max="15" width="15.77734375" style="26" customWidth="1"/>
    <col min="16" max="16" width="18.6640625" style="26" customWidth="1"/>
    <col min="17" max="17" width="22.44140625" style="26" customWidth="1"/>
    <col min="18" max="19" width="17.21875" style="26" customWidth="1"/>
    <col min="20" max="20" width="14.33203125" style="26" customWidth="1"/>
    <col min="21" max="22" width="14.6640625" style="26" customWidth="1"/>
    <col min="23" max="23" width="11.77734375" style="26" customWidth="1"/>
    <col min="24" max="24" width="12.88671875" style="26" customWidth="1"/>
    <col min="25" max="25" width="11.88671875" style="26" customWidth="1"/>
    <col min="26" max="26" width="13" style="26" customWidth="1"/>
    <col min="27" max="16384" width="9.6640625" style="26"/>
  </cols>
  <sheetData>
    <row r="1" spans="2:26" ht="61.2" customHeight="1">
      <c r="B1" s="61"/>
      <c r="C1" s="62" t="s">
        <v>32</v>
      </c>
      <c r="D1" s="63"/>
      <c r="E1" s="63"/>
      <c r="F1" s="63"/>
      <c r="G1" s="64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28"/>
      <c r="Y1" s="28"/>
    </row>
    <row r="2" spans="2:26" ht="16.8" thickBot="1">
      <c r="C2" s="139" t="s">
        <v>69</v>
      </c>
      <c r="D2" s="140"/>
      <c r="E2" s="67"/>
      <c r="F2" s="67"/>
      <c r="G2" s="68"/>
      <c r="H2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2:26" ht="42" customHeight="1" thickBot="1">
      <c r="E3" s="151" t="s">
        <v>20</v>
      </c>
      <c r="F3" s="152"/>
      <c r="G3" s="152"/>
      <c r="H3" s="153"/>
      <c r="I3" s="153"/>
      <c r="J3" s="153"/>
      <c r="K3" s="153"/>
      <c r="L3" s="69"/>
      <c r="M3" s="102"/>
      <c r="N3" s="29"/>
      <c r="P3" s="141" t="s">
        <v>18</v>
      </c>
      <c r="Q3" s="142"/>
      <c r="R3" s="56">
        <v>0.48399999999999999</v>
      </c>
      <c r="S3" s="29"/>
      <c r="T3" s="29"/>
      <c r="U3" s="29"/>
    </row>
    <row r="4" spans="2:26" ht="24.6" customHeight="1">
      <c r="E4" s="149" t="s">
        <v>22</v>
      </c>
      <c r="F4" s="103" t="s">
        <v>43</v>
      </c>
      <c r="G4" s="103" t="s">
        <v>44</v>
      </c>
      <c r="H4" s="103" t="s">
        <v>45</v>
      </c>
      <c r="I4" s="103" t="s">
        <v>46</v>
      </c>
      <c r="J4" s="103" t="s">
        <v>49</v>
      </c>
      <c r="K4" s="103"/>
      <c r="L4" s="103" t="s">
        <v>47</v>
      </c>
      <c r="M4" s="106" t="s">
        <v>55</v>
      </c>
      <c r="P4" s="48" t="s">
        <v>1</v>
      </c>
      <c r="Q4" s="49"/>
      <c r="R4" s="46">
        <v>43405</v>
      </c>
      <c r="S4" s="90"/>
    </row>
    <row r="5" spans="2:26" ht="67.8" customHeight="1" thickBot="1">
      <c r="E5" s="150"/>
      <c r="F5" s="99" t="s">
        <v>48</v>
      </c>
      <c r="G5" s="99" t="s">
        <v>31</v>
      </c>
      <c r="H5" s="99" t="s">
        <v>42</v>
      </c>
      <c r="I5" s="99" t="s">
        <v>36</v>
      </c>
      <c r="J5" s="99" t="s">
        <v>50</v>
      </c>
      <c r="K5" s="99" t="s">
        <v>61</v>
      </c>
      <c r="L5" s="99" t="s">
        <v>14</v>
      </c>
      <c r="M5" s="100" t="s">
        <v>54</v>
      </c>
      <c r="P5" s="50" t="s">
        <v>2</v>
      </c>
      <c r="Q5" s="51"/>
      <c r="R5" s="47">
        <v>44500</v>
      </c>
      <c r="S5" s="90"/>
    </row>
    <row r="6" spans="2:26" ht="33" customHeight="1">
      <c r="B6" s="147" t="s">
        <v>25</v>
      </c>
      <c r="C6" s="148"/>
      <c r="D6" s="148"/>
      <c r="E6" s="150"/>
      <c r="F6" s="54" t="s">
        <v>57</v>
      </c>
      <c r="G6" s="54" t="s">
        <v>57</v>
      </c>
      <c r="H6" s="54" t="s">
        <v>13</v>
      </c>
      <c r="I6" s="54" t="s">
        <v>21</v>
      </c>
      <c r="J6" s="54" t="s">
        <v>13</v>
      </c>
      <c r="K6" s="54" t="s">
        <v>21</v>
      </c>
      <c r="L6" s="54" t="s">
        <v>21</v>
      </c>
      <c r="M6" s="55" t="s">
        <v>21</v>
      </c>
      <c r="P6" s="145" t="s">
        <v>3</v>
      </c>
      <c r="Q6" s="146"/>
      <c r="R6" s="89">
        <f>R5-R4+1</f>
        <v>1096</v>
      </c>
      <c r="S6" s="91">
        <f>R6/3</f>
        <v>365.33333333333331</v>
      </c>
      <c r="T6" s="85"/>
      <c r="U6" s="85"/>
    </row>
    <row r="7" spans="2:26" ht="28.2" customHeight="1">
      <c r="B7" s="107" t="s">
        <v>23</v>
      </c>
      <c r="C7" s="73">
        <v>0.1</v>
      </c>
      <c r="D7" s="77"/>
      <c r="E7" s="57" t="s">
        <v>71</v>
      </c>
      <c r="F7" s="59">
        <f>H7*3600*$C$10/$C$11/$C$9</f>
        <v>218.27289860724235</v>
      </c>
      <c r="G7" s="73">
        <v>0</v>
      </c>
      <c r="H7" s="72">
        <f>'Electricity Generation'!K4</f>
        <v>1299.502</v>
      </c>
      <c r="I7" s="72">
        <f>H7*$C$13</f>
        <v>628.95896799999991</v>
      </c>
      <c r="J7" s="112">
        <f>SUM('Electricity Generation'!G4:G5)</f>
        <v>0.34189999999999998</v>
      </c>
      <c r="K7" s="59">
        <f>((1-$C$7)*(F7-G7))*$C$8</f>
        <v>5500.4770449025073</v>
      </c>
      <c r="L7" s="72">
        <f>J7*$C$13*(1+0.2)</f>
        <v>0.19857551999999998</v>
      </c>
      <c r="M7" s="115">
        <f>ROUNDDOWN((K7-L7+I7),0)</f>
        <v>6129</v>
      </c>
      <c r="N7" s="114"/>
      <c r="P7" s="157" t="s">
        <v>40</v>
      </c>
      <c r="Q7" s="158"/>
      <c r="R7" s="95">
        <v>19399</v>
      </c>
      <c r="S7" s="85" t="s">
        <v>37</v>
      </c>
      <c r="T7" s="86"/>
      <c r="U7" s="86"/>
    </row>
    <row r="8" spans="2:26" ht="32.4" customHeight="1">
      <c r="B8" s="107" t="s">
        <v>24</v>
      </c>
      <c r="C8" s="73">
        <v>28</v>
      </c>
      <c r="D8" s="78" t="s">
        <v>56</v>
      </c>
      <c r="E8" s="57">
        <v>2019</v>
      </c>
      <c r="F8" s="59">
        <f>H8*3600*$C$10/$C$11/$C$9</f>
        <v>1238.7647356545961</v>
      </c>
      <c r="G8" s="73">
        <v>0</v>
      </c>
      <c r="H8" s="72">
        <f>'Electricity Generation'!K6</f>
        <v>7375.067</v>
      </c>
      <c r="I8" s="72">
        <f t="shared" ref="I8:I10" si="0">H8*$C$13</f>
        <v>3569.532428</v>
      </c>
      <c r="J8" s="112">
        <f>SUM('Electricity Generation'!G6:G17)</f>
        <v>4.5399999999999991</v>
      </c>
      <c r="K8" s="59">
        <f t="shared" ref="K8:K10" si="1">((1-$C$7)*(F8-G8))*$C$8</f>
        <v>31216.871338495825</v>
      </c>
      <c r="L8" s="72">
        <f t="shared" ref="L8:L10" si="2">J8*$C$13*(1+0.2)</f>
        <v>2.6368319999999992</v>
      </c>
      <c r="M8" s="115">
        <f t="shared" ref="M8:M9" si="3">ROUNDDOWN((K8-L8+I8),0)</f>
        <v>34783</v>
      </c>
      <c r="N8" s="114"/>
      <c r="P8" s="143" t="s">
        <v>39</v>
      </c>
      <c r="Q8" s="144"/>
      <c r="R8" s="84">
        <f>R7*((R5-R4+1)/365.333)</f>
        <v>58197.053099501005</v>
      </c>
      <c r="T8" s="85"/>
      <c r="U8" s="85"/>
    </row>
    <row r="9" spans="2:26" ht="33" customHeight="1">
      <c r="B9" s="108" t="s">
        <v>27</v>
      </c>
      <c r="C9" s="76">
        <v>0.4</v>
      </c>
      <c r="D9" s="78"/>
      <c r="E9" s="57">
        <v>2020</v>
      </c>
      <c r="F9" s="59">
        <f>H9*3600*$C$10/$C$11/$C$9</f>
        <v>1128.079466573816</v>
      </c>
      <c r="G9" s="73">
        <v>0</v>
      </c>
      <c r="H9" s="72">
        <f>'Electricity Generation'!K18</f>
        <v>6716.0949999999993</v>
      </c>
      <c r="I9" s="72">
        <f t="shared" si="0"/>
        <v>3250.5899799999997</v>
      </c>
      <c r="J9" s="112">
        <f>SUM('Electricity Generation'!G18:G29)</f>
        <v>3.0630000000000006</v>
      </c>
      <c r="K9" s="59">
        <f t="shared" si="1"/>
        <v>28427.602557660168</v>
      </c>
      <c r="L9" s="72">
        <f t="shared" si="2"/>
        <v>1.7789904000000001</v>
      </c>
      <c r="M9" s="115">
        <f t="shared" si="3"/>
        <v>31676</v>
      </c>
      <c r="N9" s="114"/>
      <c r="P9" s="157" t="s">
        <v>38</v>
      </c>
      <c r="Q9" s="158"/>
      <c r="R9" s="94">
        <f>3887</f>
        <v>3887</v>
      </c>
      <c r="S9" s="90" t="s">
        <v>13</v>
      </c>
      <c r="T9" s="85"/>
      <c r="U9" s="85"/>
    </row>
    <row r="10" spans="2:26" ht="46.5" customHeight="1">
      <c r="B10" s="108" t="s">
        <v>28</v>
      </c>
      <c r="C10" s="75">
        <v>6.7000000000000002E-4</v>
      </c>
      <c r="D10" s="78" t="s">
        <v>26</v>
      </c>
      <c r="E10" s="57" t="s">
        <v>70</v>
      </c>
      <c r="F10" s="59">
        <f>H10*3600*$C$10/$C$11/$C$9</f>
        <v>1051.429381754039</v>
      </c>
      <c r="G10" s="73">
        <v>0</v>
      </c>
      <c r="H10" s="72">
        <f>'Electricity Generation'!K30</f>
        <v>6259.7536989999999</v>
      </c>
      <c r="I10" s="72">
        <f t="shared" si="0"/>
        <v>3029.7207903159997</v>
      </c>
      <c r="J10" s="112">
        <f>SUM('Electricity Generation'!G30:G39)</f>
        <v>1.3669000000000002</v>
      </c>
      <c r="K10" s="59">
        <f t="shared" si="1"/>
        <v>26496.020420201785</v>
      </c>
      <c r="L10" s="72">
        <f t="shared" si="2"/>
        <v>0.79389552000000008</v>
      </c>
      <c r="M10" s="115">
        <f>ROUNDDOWN((K10-L10+I10),0)</f>
        <v>29524</v>
      </c>
      <c r="N10" s="114"/>
      <c r="P10" s="155" t="s">
        <v>41</v>
      </c>
      <c r="Q10" s="156"/>
      <c r="R10" s="93">
        <v>3887</v>
      </c>
      <c r="S10" s="85" t="s">
        <v>13</v>
      </c>
      <c r="T10" s="86"/>
      <c r="U10" s="86"/>
    </row>
    <row r="11" spans="2:26" ht="36" customHeight="1" thickBot="1">
      <c r="B11" s="108" t="s">
        <v>29</v>
      </c>
      <c r="C11" s="75">
        <v>35.9</v>
      </c>
      <c r="D11" s="101" t="s">
        <v>30</v>
      </c>
      <c r="E11" s="58" t="s">
        <v>12</v>
      </c>
      <c r="F11" s="60">
        <f t="shared" ref="F11" si="4">H11*3600*$C$10/$C$11/$C$9</f>
        <v>3636.5464825896934</v>
      </c>
      <c r="G11" s="74">
        <v>0</v>
      </c>
      <c r="H11" s="53">
        <f t="shared" ref="H11:L11" si="5">SUM(H7:H10)</f>
        <v>21650.417698999998</v>
      </c>
      <c r="I11" s="53">
        <f t="shared" si="5"/>
        <v>10478.802166316</v>
      </c>
      <c r="J11" s="113">
        <f t="shared" si="5"/>
        <v>9.3117999999999999</v>
      </c>
      <c r="K11" s="60">
        <f>SUM(K7:K10)</f>
        <v>91640.971361260279</v>
      </c>
      <c r="L11" s="60">
        <f t="shared" si="5"/>
        <v>5.4082934399999996</v>
      </c>
      <c r="M11" s="88">
        <f>SUM(M7:M10)</f>
        <v>102112</v>
      </c>
      <c r="N11" s="114"/>
      <c r="P11" s="159" t="s">
        <v>19</v>
      </c>
      <c r="Q11" s="160"/>
      <c r="R11" s="65">
        <f>L23</f>
        <v>58190</v>
      </c>
      <c r="S11" s="90"/>
    </row>
    <row r="12" spans="2:26" ht="28.8" customHeight="1" thickBot="1">
      <c r="B12" s="109" t="s">
        <v>51</v>
      </c>
      <c r="C12" s="97">
        <v>0.5</v>
      </c>
      <c r="D12" s="98"/>
      <c r="E12" s="80"/>
      <c r="F12" s="81"/>
      <c r="G12" s="81"/>
      <c r="H12" s="29"/>
      <c r="I12" s="82"/>
      <c r="J12" s="82"/>
      <c r="K12" s="82"/>
      <c r="L12" s="81"/>
      <c r="M12" s="83"/>
      <c r="N12" s="87"/>
      <c r="P12" s="161" t="s">
        <v>5</v>
      </c>
      <c r="Q12" s="162"/>
      <c r="R12" s="79">
        <f>(R11-R8)/R11</f>
        <v>-1.2120810278406785E-4</v>
      </c>
      <c r="S12" s="96">
        <f>(R9-R10)/H11</f>
        <v>0</v>
      </c>
    </row>
    <row r="13" spans="2:26" ht="33" customHeight="1" thickBot="1">
      <c r="B13" s="110" t="s">
        <v>52</v>
      </c>
      <c r="C13" s="104">
        <v>0.48399999999999999</v>
      </c>
      <c r="D13" s="105" t="s">
        <v>53</v>
      </c>
      <c r="F13" s="114"/>
      <c r="I13"/>
      <c r="J13"/>
      <c r="R13" s="119"/>
      <c r="S13" s="92"/>
      <c r="T13" s="27"/>
      <c r="U13" s="27"/>
    </row>
    <row r="14" spans="2:26" ht="28.2" customHeight="1">
      <c r="F14" s="114"/>
    </row>
    <row r="15" spans="2:26" ht="28.5" customHeight="1">
      <c r="E15" s="138" t="s">
        <v>64</v>
      </c>
      <c r="F15" s="138"/>
      <c r="G15" s="138"/>
      <c r="H15" s="138"/>
      <c r="I15" s="138"/>
      <c r="J15" s="138"/>
      <c r="K15" s="138"/>
      <c r="L15" s="138"/>
    </row>
    <row r="16" spans="2:26">
      <c r="E16" s="133"/>
      <c r="F16" s="123"/>
      <c r="G16" s="154" t="s">
        <v>66</v>
      </c>
      <c r="H16" s="154"/>
      <c r="I16" s="154"/>
      <c r="J16" s="154"/>
      <c r="K16" s="127"/>
      <c r="L16" s="127"/>
    </row>
    <row r="17" spans="5:14">
      <c r="E17" s="134">
        <v>43407</v>
      </c>
      <c r="F17" s="124">
        <v>43465</v>
      </c>
      <c r="G17" s="52"/>
      <c r="H17" s="121" t="s">
        <v>33</v>
      </c>
      <c r="I17" s="121" t="s">
        <v>34</v>
      </c>
      <c r="J17" s="137" t="s">
        <v>35</v>
      </c>
      <c r="K17" s="137"/>
      <c r="L17" s="137"/>
    </row>
    <row r="18" spans="5:14">
      <c r="E18" s="134"/>
      <c r="F18" s="124"/>
      <c r="G18" s="52"/>
      <c r="H18" s="121"/>
      <c r="I18" s="121"/>
      <c r="J18" s="121" t="s">
        <v>72</v>
      </c>
      <c r="K18" s="121" t="s">
        <v>73</v>
      </c>
      <c r="L18" s="121" t="s">
        <v>74</v>
      </c>
    </row>
    <row r="19" spans="5:14" ht="28.2">
      <c r="E19" s="133">
        <f>F17-E17+1</f>
        <v>59</v>
      </c>
      <c r="F19" s="125"/>
      <c r="G19" s="128" t="s">
        <v>71</v>
      </c>
      <c r="H19" s="122">
        <f>H7</f>
        <v>1299.502</v>
      </c>
      <c r="I19" s="120" t="s">
        <v>67</v>
      </c>
      <c r="J19" s="129">
        <f>19399*E19/365</f>
        <v>3135.7287671232875</v>
      </c>
      <c r="K19" s="136">
        <f>L7</f>
        <v>0.19857551999999998</v>
      </c>
      <c r="L19" s="172">
        <f>ROUNDDOWN((J19-K19),0)</f>
        <v>3135</v>
      </c>
      <c r="N19" s="114"/>
    </row>
    <row r="20" spans="5:14" ht="28.2">
      <c r="E20" s="134">
        <v>44197</v>
      </c>
      <c r="F20" s="126">
        <v>44502</v>
      </c>
      <c r="G20" s="128">
        <v>2019</v>
      </c>
      <c r="H20" s="122">
        <f t="shared" ref="H20:H21" si="6">H8</f>
        <v>7375.067</v>
      </c>
      <c r="I20" s="120" t="s">
        <v>62</v>
      </c>
      <c r="J20" s="129">
        <f>19399</f>
        <v>19399</v>
      </c>
      <c r="K20" s="136">
        <f t="shared" ref="K20:K23" si="7">L8</f>
        <v>2.6368319999999992</v>
      </c>
      <c r="L20" s="172">
        <f t="shared" ref="L20:L22" si="8">ROUNDDOWN((J20-K20),0)</f>
        <v>19396</v>
      </c>
    </row>
    <row r="21" spans="5:14" ht="43.5" customHeight="1">
      <c r="E21" s="135">
        <f>F20-E20+1</f>
        <v>306</v>
      </c>
      <c r="F21" s="125">
        <f>F20-E17+1</f>
        <v>1096</v>
      </c>
      <c r="G21" s="128">
        <v>2020</v>
      </c>
      <c r="H21" s="122">
        <f t="shared" si="6"/>
        <v>6716.0949999999993</v>
      </c>
      <c r="I21" s="120" t="s">
        <v>68</v>
      </c>
      <c r="J21" s="129">
        <v>19399</v>
      </c>
      <c r="K21" s="136">
        <f t="shared" si="7"/>
        <v>1.7789904000000001</v>
      </c>
      <c r="L21" s="172">
        <f t="shared" si="8"/>
        <v>19397</v>
      </c>
      <c r="N21" s="114"/>
    </row>
    <row r="22" spans="5:14" ht="28.2">
      <c r="E22" s="67"/>
      <c r="F22" s="125"/>
      <c r="G22" s="128" t="s">
        <v>70</v>
      </c>
      <c r="H22" s="122">
        <f>H10</f>
        <v>6259.7536989999999</v>
      </c>
      <c r="I22" s="120" t="s">
        <v>63</v>
      </c>
      <c r="J22" s="129">
        <f>19399*E21/365</f>
        <v>16263.271232876712</v>
      </c>
      <c r="K22" s="136">
        <f t="shared" si="7"/>
        <v>0.79389552000000008</v>
      </c>
      <c r="L22" s="172">
        <f t="shared" si="8"/>
        <v>16262</v>
      </c>
    </row>
    <row r="23" spans="5:14" ht="40.200000000000003">
      <c r="E23" s="81"/>
      <c r="F23" s="29"/>
      <c r="G23" s="130" t="s">
        <v>4</v>
      </c>
      <c r="H23" s="130">
        <f>SUM(H19:H22)</f>
        <v>21650.417698999998</v>
      </c>
      <c r="I23" s="131" t="s">
        <v>65</v>
      </c>
      <c r="J23" s="132">
        <f>SUM(J19:J22)</f>
        <v>58197</v>
      </c>
      <c r="K23" s="136">
        <f t="shared" si="7"/>
        <v>5.4082934399999996</v>
      </c>
      <c r="L23" s="172">
        <f>SUM(L19:L22)</f>
        <v>58190</v>
      </c>
      <c r="M23" s="114"/>
      <c r="N23" s="114"/>
    </row>
  </sheetData>
  <mergeCells count="16">
    <mergeCell ref="J17:L17"/>
    <mergeCell ref="E15:L15"/>
    <mergeCell ref="C2:D2"/>
    <mergeCell ref="P3:Q3"/>
    <mergeCell ref="P8:Q8"/>
    <mergeCell ref="P6:Q6"/>
    <mergeCell ref="B6:D6"/>
    <mergeCell ref="E4:E6"/>
    <mergeCell ref="E3:G3"/>
    <mergeCell ref="H3:K3"/>
    <mergeCell ref="G16:J16"/>
    <mergeCell ref="P10:Q10"/>
    <mergeCell ref="P7:Q7"/>
    <mergeCell ref="P9:Q9"/>
    <mergeCell ref="P11:Q11"/>
    <mergeCell ref="P12:Q12"/>
  </mergeCells>
  <phoneticPr fontId="17" type="noConversion"/>
  <pageMargins left="0.75" right="0.75" top="1" bottom="1" header="0.5" footer="0.5"/>
  <pageSetup paperSize="9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3074" r:id="rId4">
          <objectPr defaultSize="0" autoPict="0" r:id="rId5">
            <anchor moveWithCells="1" sizeWithCells="1">
              <from>
                <xdr:col>7</xdr:col>
                <xdr:colOff>182880</xdr:colOff>
                <xdr:row>0</xdr:row>
                <xdr:rowOff>167640</xdr:rowOff>
              </from>
              <to>
                <xdr:col>11</xdr:col>
                <xdr:colOff>891540</xdr:colOff>
                <xdr:row>0</xdr:row>
                <xdr:rowOff>441960</xdr:rowOff>
              </to>
            </anchor>
          </objectPr>
        </oleObject>
      </mc:Choice>
      <mc:Fallback>
        <oleObject progId="Equation.3" shapeId="3074" r:id="rId4"/>
      </mc:Fallback>
    </mc:AlternateContent>
    <mc:AlternateContent xmlns:mc="http://schemas.openxmlformats.org/markup-compatibility/2006">
      <mc:Choice Requires="x14">
        <oleObject progId="Equation.3" shapeId="3076" r:id="rId6">
          <objectPr defaultSize="0" autoPict="0" r:id="rId7">
            <anchor moveWithCells="1" sizeWithCells="1">
              <from>
                <xdr:col>7</xdr:col>
                <xdr:colOff>160020</xdr:colOff>
                <xdr:row>0</xdr:row>
                <xdr:rowOff>495300</xdr:rowOff>
              </from>
              <to>
                <xdr:col>10</xdr:col>
                <xdr:colOff>411480</xdr:colOff>
                <xdr:row>1</xdr:row>
                <xdr:rowOff>137160</xdr:rowOff>
              </to>
            </anchor>
          </objectPr>
        </oleObject>
      </mc:Choice>
      <mc:Fallback>
        <oleObject progId="Equation.3" shapeId="3076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55"/>
  <sheetViews>
    <sheetView showGridLines="0" topLeftCell="B10" zoomScale="83" zoomScaleNormal="83" workbookViewId="0">
      <selection activeCell="H25" sqref="H25"/>
    </sheetView>
  </sheetViews>
  <sheetFormatPr defaultColWidth="10" defaultRowHeight="14.4"/>
  <cols>
    <col min="2" max="2" width="12.109375" customWidth="1"/>
    <col min="3" max="3" width="10.88671875" customWidth="1"/>
    <col min="4" max="4" width="13.33203125" bestFit="1" customWidth="1"/>
    <col min="5" max="5" width="14.44140625" bestFit="1" customWidth="1"/>
    <col min="6" max="6" width="14.5546875" bestFit="1" customWidth="1"/>
    <col min="7" max="7" width="14.44140625" customWidth="1"/>
    <col min="8" max="9" width="15.109375" customWidth="1"/>
    <col min="10" max="10" width="42.5546875" customWidth="1"/>
    <col min="11" max="11" width="17.6640625" customWidth="1"/>
    <col min="12" max="12" width="10.44140625" bestFit="1" customWidth="1"/>
    <col min="18" max="18" width="10.109375" customWidth="1"/>
  </cols>
  <sheetData>
    <row r="2" spans="2:13">
      <c r="B2" s="1"/>
      <c r="C2" s="3"/>
      <c r="D2" s="3"/>
      <c r="E2" s="3"/>
      <c r="F2" s="3"/>
      <c r="G2" s="3"/>
      <c r="H2" s="3"/>
      <c r="I2" s="66"/>
    </row>
    <row r="3" spans="2:13" ht="72">
      <c r="B3" s="1"/>
      <c r="C3" s="10" t="s">
        <v>0</v>
      </c>
      <c r="D3" s="10" t="s">
        <v>7</v>
      </c>
      <c r="E3" s="10" t="s">
        <v>8</v>
      </c>
      <c r="F3" s="11" t="s">
        <v>60</v>
      </c>
      <c r="G3" s="11" t="s">
        <v>59</v>
      </c>
      <c r="H3" s="11" t="s">
        <v>10</v>
      </c>
      <c r="I3" s="11" t="s">
        <v>58</v>
      </c>
      <c r="J3" s="11" t="s">
        <v>9</v>
      </c>
      <c r="K3" s="11" t="s">
        <v>11</v>
      </c>
      <c r="L3" s="11" t="s">
        <v>6</v>
      </c>
    </row>
    <row r="4" spans="2:13">
      <c r="B4" s="1"/>
      <c r="C4" s="4">
        <v>43405</v>
      </c>
      <c r="D4" s="12">
        <f>'ER Calculation'!E17</f>
        <v>43407</v>
      </c>
      <c r="E4" s="12">
        <v>43434</v>
      </c>
      <c r="F4" s="14">
        <f>669.191*(E4-D4)/30</f>
        <v>602.27189999999996</v>
      </c>
      <c r="G4" s="14">
        <f>0.191*(E4-D4)/30</f>
        <v>0.1719</v>
      </c>
      <c r="H4" s="5">
        <f>F4-G4</f>
        <v>602.09999999999991</v>
      </c>
      <c r="I4" s="71">
        <f>(669.191-0.191)*(E4-D4)/30</f>
        <v>602.1</v>
      </c>
      <c r="J4" s="9">
        <f>MIN(H4,I4)</f>
        <v>602.09999999999991</v>
      </c>
      <c r="K4" s="163">
        <f>SUM(J4:J5)</f>
        <v>1299.502</v>
      </c>
      <c r="L4" s="70">
        <f>H4-I4</f>
        <v>0</v>
      </c>
    </row>
    <row r="5" spans="2:13">
      <c r="B5" s="1"/>
      <c r="C5" s="4">
        <v>43435</v>
      </c>
      <c r="D5" s="12">
        <v>43435</v>
      </c>
      <c r="E5" s="12">
        <v>43465</v>
      </c>
      <c r="F5" s="14">
        <v>697.572</v>
      </c>
      <c r="G5" s="14">
        <v>0.17</v>
      </c>
      <c r="H5" s="5">
        <f t="shared" ref="H5:H25" si="0">F5-G5</f>
        <v>697.40200000000004</v>
      </c>
      <c r="I5" s="71">
        <f>(697689.6-169.9)/1000</f>
        <v>697.51969999999994</v>
      </c>
      <c r="J5" s="9">
        <f t="shared" ref="J5:J40" si="1">MIN(H5,I5)</f>
        <v>697.40200000000004</v>
      </c>
      <c r="K5" s="164"/>
      <c r="L5" s="70">
        <f>H5-I5</f>
        <v>-0.11769999999989977</v>
      </c>
    </row>
    <row r="6" spans="2:13">
      <c r="B6" s="1"/>
      <c r="C6" s="4">
        <v>43466</v>
      </c>
      <c r="D6" s="12">
        <v>43466</v>
      </c>
      <c r="E6" s="12">
        <v>43496</v>
      </c>
      <c r="F6" s="14">
        <v>695.86699999999996</v>
      </c>
      <c r="G6" s="14">
        <v>7.8E-2</v>
      </c>
      <c r="H6" s="5">
        <f t="shared" si="0"/>
        <v>695.78899999999999</v>
      </c>
      <c r="I6" s="71">
        <f>(695983.6-78.5)/1000</f>
        <v>695.90509999999995</v>
      </c>
      <c r="J6" s="9">
        <f t="shared" si="1"/>
        <v>695.78899999999999</v>
      </c>
      <c r="K6" s="163">
        <f>SUM(J6:J17)</f>
        <v>7375.067</v>
      </c>
      <c r="L6" s="70">
        <f t="shared" ref="L6:L39" si="2">H6-I6</f>
        <v>-0.11609999999996035</v>
      </c>
    </row>
    <row r="7" spans="2:13">
      <c r="B7" s="1"/>
      <c r="C7" s="4">
        <v>43497</v>
      </c>
      <c r="D7" s="12">
        <v>43497</v>
      </c>
      <c r="E7" s="12">
        <v>43524</v>
      </c>
      <c r="F7" s="15">
        <v>404.03500000000003</v>
      </c>
      <c r="G7" s="15">
        <v>2.246</v>
      </c>
      <c r="H7" s="5">
        <f t="shared" si="0"/>
        <v>401.78900000000004</v>
      </c>
      <c r="I7" s="71">
        <f>(404102.7-2246.7)/1000</f>
        <v>401.85599999999999</v>
      </c>
      <c r="J7" s="9">
        <f t="shared" si="1"/>
        <v>401.78900000000004</v>
      </c>
      <c r="K7" s="165"/>
      <c r="L7" s="70">
        <f t="shared" si="2"/>
        <v>-6.6999999999950433E-2</v>
      </c>
    </row>
    <row r="8" spans="2:13">
      <c r="B8" s="1"/>
      <c r="C8" s="4">
        <v>43525</v>
      </c>
      <c r="D8" s="12">
        <v>43525</v>
      </c>
      <c r="E8" s="12">
        <v>43555</v>
      </c>
      <c r="F8" s="15">
        <v>703.73900000000003</v>
      </c>
      <c r="G8" s="15">
        <v>4.2000000000000003E-2</v>
      </c>
      <c r="H8" s="5">
        <f t="shared" si="0"/>
        <v>703.697</v>
      </c>
      <c r="I8" s="71">
        <f>(703857.7-41.5)/1000</f>
        <v>703.81619999999998</v>
      </c>
      <c r="J8" s="9">
        <f t="shared" si="1"/>
        <v>703.697</v>
      </c>
      <c r="K8" s="165"/>
      <c r="L8" s="70">
        <f t="shared" si="2"/>
        <v>-0.11919999999997799</v>
      </c>
    </row>
    <row r="9" spans="2:13">
      <c r="B9" s="1"/>
      <c r="C9" s="4">
        <v>43556</v>
      </c>
      <c r="D9" s="12">
        <v>43556</v>
      </c>
      <c r="E9" s="12">
        <v>43585</v>
      </c>
      <c r="F9" s="15">
        <v>646.62800000000004</v>
      </c>
      <c r="G9" s="15">
        <v>3.5000000000000003E-2</v>
      </c>
      <c r="H9" s="5">
        <f t="shared" si="0"/>
        <v>646.59300000000007</v>
      </c>
      <c r="I9" s="71">
        <f>(646731.8-34.4)/1000</f>
        <v>646.69740000000002</v>
      </c>
      <c r="J9" s="9">
        <f t="shared" si="1"/>
        <v>646.59300000000007</v>
      </c>
      <c r="K9" s="165"/>
      <c r="L9" s="70">
        <f t="shared" si="2"/>
        <v>-0.10439999999994143</v>
      </c>
    </row>
    <row r="10" spans="2:13">
      <c r="B10" s="1"/>
      <c r="C10" s="4">
        <v>43586</v>
      </c>
      <c r="D10" s="12">
        <v>43586</v>
      </c>
      <c r="E10" s="12">
        <v>43616</v>
      </c>
      <c r="F10" s="15">
        <v>642.97199999999998</v>
      </c>
      <c r="G10" s="15">
        <v>0.17</v>
      </c>
      <c r="H10" s="5">
        <f t="shared" si="0"/>
        <v>642.80200000000002</v>
      </c>
      <c r="I10" s="71">
        <f>(643072-169.7)/1000</f>
        <v>642.90230000000008</v>
      </c>
      <c r="J10" s="9">
        <f t="shared" si="1"/>
        <v>642.80200000000002</v>
      </c>
      <c r="K10" s="165"/>
      <c r="L10" s="70">
        <f t="shared" si="2"/>
        <v>-0.10030000000006112</v>
      </c>
    </row>
    <row r="11" spans="2:13">
      <c r="B11" s="1"/>
      <c r="C11" s="4">
        <v>43617</v>
      </c>
      <c r="D11" s="12">
        <v>43617</v>
      </c>
      <c r="E11" s="12">
        <v>43646</v>
      </c>
      <c r="F11" s="15">
        <v>645.10599999999999</v>
      </c>
      <c r="G11" s="15">
        <v>0.15</v>
      </c>
      <c r="H11" s="5">
        <f t="shared" si="0"/>
        <v>644.95600000000002</v>
      </c>
      <c r="I11" s="71">
        <f>(645210.4-149.6)/1000</f>
        <v>645.06080000000009</v>
      </c>
      <c r="J11" s="9">
        <f t="shared" si="1"/>
        <v>644.95600000000002</v>
      </c>
      <c r="K11" s="165"/>
      <c r="L11" s="70">
        <f t="shared" si="2"/>
        <v>-0.10480000000006839</v>
      </c>
    </row>
    <row r="12" spans="2:13">
      <c r="B12" s="1"/>
      <c r="C12" s="4">
        <v>43647</v>
      </c>
      <c r="D12" s="12">
        <v>43647</v>
      </c>
      <c r="E12" s="12">
        <v>43677</v>
      </c>
      <c r="F12" s="15">
        <v>681.7</v>
      </c>
      <c r="G12" s="15">
        <v>0.114</v>
      </c>
      <c r="H12" s="5">
        <f t="shared" si="0"/>
        <v>681.58600000000001</v>
      </c>
      <c r="I12" s="71">
        <f>(681811.6-113.4)/1000</f>
        <v>681.69819999999993</v>
      </c>
      <c r="J12" s="9">
        <f t="shared" si="1"/>
        <v>681.58600000000001</v>
      </c>
      <c r="K12" s="165"/>
      <c r="L12" s="70">
        <f t="shared" si="2"/>
        <v>-0.11219999999991614</v>
      </c>
    </row>
    <row r="13" spans="2:13">
      <c r="B13" s="2"/>
      <c r="C13" s="4">
        <v>43678</v>
      </c>
      <c r="D13" s="12">
        <v>43678</v>
      </c>
      <c r="E13" s="12">
        <v>43708</v>
      </c>
      <c r="F13" s="15">
        <v>639.98199999999997</v>
      </c>
      <c r="G13" s="15">
        <v>0.20699999999999999</v>
      </c>
      <c r="H13" s="5">
        <f t="shared" si="0"/>
        <v>639.77499999999998</v>
      </c>
      <c r="I13" s="71">
        <f>(640080.9-206.1)/1000</f>
        <v>639.87480000000005</v>
      </c>
      <c r="J13" s="9">
        <f t="shared" si="1"/>
        <v>639.77499999999998</v>
      </c>
      <c r="K13" s="165"/>
      <c r="L13" s="70">
        <f t="shared" si="2"/>
        <v>-9.9800000000072941E-2</v>
      </c>
      <c r="M13" s="7"/>
    </row>
    <row r="14" spans="2:13">
      <c r="B14" s="2"/>
      <c r="C14" s="4">
        <v>43709</v>
      </c>
      <c r="D14" s="12">
        <v>43709</v>
      </c>
      <c r="E14" s="12">
        <v>43738</v>
      </c>
      <c r="F14" s="15">
        <v>606.19299999999998</v>
      </c>
      <c r="G14" s="15">
        <v>0.185</v>
      </c>
      <c r="H14" s="5">
        <f t="shared" si="0"/>
        <v>606.00800000000004</v>
      </c>
      <c r="I14" s="71">
        <f>(606284.8-184.5)/1000</f>
        <v>606.10030000000006</v>
      </c>
      <c r="J14" s="9">
        <f t="shared" si="1"/>
        <v>606.00800000000004</v>
      </c>
      <c r="K14" s="165"/>
      <c r="L14" s="70">
        <f t="shared" si="2"/>
        <v>-9.2300000000022919E-2</v>
      </c>
      <c r="M14" s="6"/>
    </row>
    <row r="15" spans="2:13">
      <c r="B15" s="2"/>
      <c r="C15" s="4">
        <v>43739</v>
      </c>
      <c r="D15" s="12">
        <v>43739</v>
      </c>
      <c r="E15" s="12">
        <v>43769</v>
      </c>
      <c r="F15" s="15">
        <v>598.42100000000005</v>
      </c>
      <c r="G15" s="15">
        <v>0.22500000000000001</v>
      </c>
      <c r="H15" s="5">
        <f t="shared" si="0"/>
        <v>598.19600000000003</v>
      </c>
      <c r="I15" s="71">
        <f>(598507.9-223.9)/1000</f>
        <v>598.28399999999999</v>
      </c>
      <c r="J15" s="9">
        <f t="shared" si="1"/>
        <v>598.19600000000003</v>
      </c>
      <c r="K15" s="165"/>
      <c r="L15" s="70">
        <f t="shared" si="2"/>
        <v>-8.7999999999965439E-2</v>
      </c>
      <c r="M15" s="6"/>
    </row>
    <row r="16" spans="2:13">
      <c r="B16" s="2"/>
      <c r="C16" s="4">
        <v>43770</v>
      </c>
      <c r="D16" s="12">
        <v>43770</v>
      </c>
      <c r="E16" s="12">
        <v>43799</v>
      </c>
      <c r="F16" s="15">
        <v>579.07100000000003</v>
      </c>
      <c r="G16" s="15">
        <v>0.33100000000000002</v>
      </c>
      <c r="H16" s="5">
        <f t="shared" si="0"/>
        <v>578.74</v>
      </c>
      <c r="I16" s="71">
        <f>(579164.7-328)/1000</f>
        <v>578.83669999999995</v>
      </c>
      <c r="J16" s="9">
        <f t="shared" si="1"/>
        <v>578.74</v>
      </c>
      <c r="K16" s="165"/>
      <c r="L16" s="70">
        <f t="shared" si="2"/>
        <v>-9.669999999994161E-2</v>
      </c>
    </row>
    <row r="17" spans="2:12">
      <c r="B17" s="2"/>
      <c r="C17" s="4">
        <v>43800</v>
      </c>
      <c r="D17" s="12">
        <v>43800</v>
      </c>
      <c r="E17" s="12">
        <v>43830</v>
      </c>
      <c r="F17" s="15">
        <v>535.89300000000003</v>
      </c>
      <c r="G17" s="15">
        <v>0.75700000000000001</v>
      </c>
      <c r="H17" s="5">
        <f t="shared" si="0"/>
        <v>535.13600000000008</v>
      </c>
      <c r="I17" s="71">
        <f>(536006.5-757.2)/1000</f>
        <v>535.24930000000006</v>
      </c>
      <c r="J17" s="9">
        <f t="shared" si="1"/>
        <v>535.13600000000008</v>
      </c>
      <c r="K17" s="164"/>
      <c r="L17" s="70">
        <f t="shared" si="2"/>
        <v>-0.11329999999998108</v>
      </c>
    </row>
    <row r="18" spans="2:12">
      <c r="B18" s="2"/>
      <c r="C18" s="4">
        <v>43831</v>
      </c>
      <c r="D18" s="12">
        <v>43831</v>
      </c>
      <c r="E18" s="12">
        <v>43861</v>
      </c>
      <c r="F18" s="15">
        <v>479.64699999999999</v>
      </c>
      <c r="G18" s="15">
        <v>1.2450000000000001</v>
      </c>
      <c r="H18" s="5">
        <f t="shared" si="0"/>
        <v>478.40199999999999</v>
      </c>
      <c r="I18" s="71">
        <f>(479647-1244.9)/1000</f>
        <v>478.40209999999996</v>
      </c>
      <c r="J18" s="9">
        <f t="shared" si="1"/>
        <v>478.40199999999999</v>
      </c>
      <c r="K18" s="163">
        <f>SUM(J18:J29)</f>
        <v>6716.0949999999993</v>
      </c>
      <c r="L18" s="70">
        <f t="shared" si="2"/>
        <v>-9.9999999974897946E-5</v>
      </c>
    </row>
    <row r="19" spans="2:12">
      <c r="B19" s="2"/>
      <c r="C19" s="4">
        <v>43862</v>
      </c>
      <c r="D19" s="12">
        <v>43862</v>
      </c>
      <c r="E19" s="12">
        <v>43890</v>
      </c>
      <c r="F19" s="15">
        <v>547.96699999999998</v>
      </c>
      <c r="G19" s="15">
        <v>6.8000000000000005E-2</v>
      </c>
      <c r="H19" s="5">
        <f t="shared" si="0"/>
        <v>547.899</v>
      </c>
      <c r="I19" s="71">
        <f>(548045-68.2)/1000</f>
        <v>547.97680000000003</v>
      </c>
      <c r="J19" s="9">
        <f t="shared" si="1"/>
        <v>547.899</v>
      </c>
      <c r="K19" s="165"/>
      <c r="L19" s="70">
        <f t="shared" si="2"/>
        <v>-7.7800000000024738E-2</v>
      </c>
    </row>
    <row r="20" spans="2:12">
      <c r="B20" s="2"/>
      <c r="C20" s="4">
        <v>43891</v>
      </c>
      <c r="D20" s="12">
        <v>43891</v>
      </c>
      <c r="E20" s="12">
        <v>43921</v>
      </c>
      <c r="F20" s="15">
        <v>584.548</v>
      </c>
      <c r="G20" s="15">
        <v>0.14799999999999999</v>
      </c>
      <c r="H20" s="5">
        <f t="shared" si="0"/>
        <v>584.4</v>
      </c>
      <c r="I20" s="71">
        <f>(584631.1-148.3)/1000</f>
        <v>584.48279999999988</v>
      </c>
      <c r="J20" s="9">
        <f t="shared" si="1"/>
        <v>584.4</v>
      </c>
      <c r="K20" s="165"/>
      <c r="L20" s="70">
        <f t="shared" si="2"/>
        <v>-8.2799999999906504E-2</v>
      </c>
    </row>
    <row r="21" spans="2:12">
      <c r="C21" s="4">
        <v>43922</v>
      </c>
      <c r="D21" s="12">
        <v>43922</v>
      </c>
      <c r="E21" s="12">
        <v>43951</v>
      </c>
      <c r="F21" s="15">
        <v>547.93700000000001</v>
      </c>
      <c r="G21" s="15">
        <v>0.106</v>
      </c>
      <c r="H21" s="5">
        <f t="shared" si="0"/>
        <v>547.83100000000002</v>
      </c>
      <c r="I21" s="71">
        <f>(548012.7-105.7)/1000</f>
        <v>547.90700000000004</v>
      </c>
      <c r="J21" s="9">
        <f t="shared" si="1"/>
        <v>547.83100000000002</v>
      </c>
      <c r="K21" s="165"/>
      <c r="L21" s="70">
        <f t="shared" si="2"/>
        <v>-7.6000000000021828E-2</v>
      </c>
    </row>
    <row r="22" spans="2:12">
      <c r="C22" s="4">
        <v>43952</v>
      </c>
      <c r="D22" s="12">
        <v>43952</v>
      </c>
      <c r="E22" s="12">
        <v>43982</v>
      </c>
      <c r="F22" s="15">
        <v>564.00099999999998</v>
      </c>
      <c r="G22" s="15">
        <v>0.318</v>
      </c>
      <c r="H22" s="5">
        <f t="shared" si="0"/>
        <v>563.68299999999999</v>
      </c>
      <c r="I22" s="71">
        <f>(564078.9-318)/1000</f>
        <v>563.76089999999999</v>
      </c>
      <c r="J22" s="9">
        <f t="shared" si="1"/>
        <v>563.68299999999999</v>
      </c>
      <c r="K22" s="165"/>
      <c r="L22" s="70">
        <f t="shared" si="2"/>
        <v>-7.7899999999999636E-2</v>
      </c>
    </row>
    <row r="23" spans="2:12">
      <c r="C23" s="4">
        <v>43983</v>
      </c>
      <c r="D23" s="12">
        <v>43983</v>
      </c>
      <c r="E23" s="12">
        <v>44012</v>
      </c>
      <c r="F23" s="15">
        <v>568.07299999999998</v>
      </c>
      <c r="G23" s="15">
        <v>0.45400000000000001</v>
      </c>
      <c r="H23" s="5">
        <f t="shared" si="0"/>
        <v>567.61900000000003</v>
      </c>
      <c r="I23" s="71">
        <f>(568155.6-454.1)/1000</f>
        <v>567.70150000000001</v>
      </c>
      <c r="J23" s="9">
        <f t="shared" si="1"/>
        <v>567.61900000000003</v>
      </c>
      <c r="K23" s="165"/>
      <c r="L23" s="70">
        <f t="shared" si="2"/>
        <v>-8.249999999998181E-2</v>
      </c>
    </row>
    <row r="24" spans="2:12">
      <c r="C24" s="4">
        <v>44013</v>
      </c>
      <c r="D24" s="12">
        <v>44013</v>
      </c>
      <c r="E24" s="12">
        <v>44043</v>
      </c>
      <c r="F24" s="15">
        <v>619.35699999999997</v>
      </c>
      <c r="G24" s="15">
        <v>0.129</v>
      </c>
      <c r="H24" s="5">
        <f t="shared" si="0"/>
        <v>619.22799999999995</v>
      </c>
      <c r="I24" s="71">
        <f>(619450.8-128.699)/1000</f>
        <v>619.32210099999998</v>
      </c>
      <c r="J24" s="9">
        <f t="shared" si="1"/>
        <v>619.22799999999995</v>
      </c>
      <c r="K24" s="165"/>
      <c r="L24" s="70">
        <f t="shared" si="2"/>
        <v>-9.4101000000023305E-2</v>
      </c>
    </row>
    <row r="25" spans="2:12">
      <c r="C25" s="4">
        <v>44044</v>
      </c>
      <c r="D25" s="12">
        <v>44044</v>
      </c>
      <c r="E25" s="12">
        <v>44074</v>
      </c>
      <c r="F25" s="15">
        <v>631.47400000000005</v>
      </c>
      <c r="G25" s="15">
        <v>0.13600000000000001</v>
      </c>
      <c r="H25" s="5">
        <f t="shared" si="0"/>
        <v>631.33800000000008</v>
      </c>
      <c r="I25" s="71">
        <f>(631571.1-135.701)/1000</f>
        <v>631.43539899999996</v>
      </c>
      <c r="J25" s="9">
        <f t="shared" si="1"/>
        <v>631.33800000000008</v>
      </c>
      <c r="K25" s="165"/>
      <c r="L25" s="70">
        <f t="shared" si="2"/>
        <v>-9.7398999999882108E-2</v>
      </c>
    </row>
    <row r="26" spans="2:12">
      <c r="C26" s="4">
        <v>44075</v>
      </c>
      <c r="D26" s="12">
        <v>44075</v>
      </c>
      <c r="E26" s="12">
        <v>44104</v>
      </c>
      <c r="F26" s="15">
        <v>561.73800000000006</v>
      </c>
      <c r="G26" s="15">
        <v>8.5999999999999993E-2</v>
      </c>
      <c r="H26" s="5">
        <f t="shared" ref="H26:H40" si="3">F26-G26</f>
        <v>561.65200000000004</v>
      </c>
      <c r="I26" s="71">
        <f>(561817.8-85.9)/1000</f>
        <v>561.7319</v>
      </c>
      <c r="J26" s="9">
        <f t="shared" si="1"/>
        <v>561.65200000000004</v>
      </c>
      <c r="K26" s="165"/>
      <c r="L26" s="70">
        <f t="shared" si="2"/>
        <v>-7.9899999999952342E-2</v>
      </c>
    </row>
    <row r="27" spans="2:12">
      <c r="C27" s="4">
        <v>44105</v>
      </c>
      <c r="D27" s="12">
        <v>44105</v>
      </c>
      <c r="E27" s="12">
        <v>44135</v>
      </c>
      <c r="F27" s="15">
        <v>537.92100000000005</v>
      </c>
      <c r="G27" s="15">
        <v>0.115</v>
      </c>
      <c r="H27" s="5">
        <f t="shared" si="3"/>
        <v>537.80600000000004</v>
      </c>
      <c r="I27" s="71">
        <f>(537990.7-115.2)/1000</f>
        <v>537.87549999999999</v>
      </c>
      <c r="J27" s="9">
        <f t="shared" si="1"/>
        <v>537.80600000000004</v>
      </c>
      <c r="K27" s="165"/>
      <c r="L27" s="70">
        <f t="shared" si="2"/>
        <v>-6.9499999999948159E-2</v>
      </c>
    </row>
    <row r="28" spans="2:12">
      <c r="C28" s="4">
        <v>44136</v>
      </c>
      <c r="D28" s="12">
        <v>44136</v>
      </c>
      <c r="E28" s="12">
        <v>44165</v>
      </c>
      <c r="F28" s="15">
        <v>528.76199999999994</v>
      </c>
      <c r="G28" s="15">
        <v>0.22</v>
      </c>
      <c r="H28" s="5">
        <f t="shared" si="3"/>
        <v>528.54199999999992</v>
      </c>
      <c r="I28" s="71">
        <f>(528832.4-219.9)/1000</f>
        <v>528.61249999999995</v>
      </c>
      <c r="J28" s="9">
        <f t="shared" si="1"/>
        <v>528.54199999999992</v>
      </c>
      <c r="K28" s="165"/>
      <c r="L28" s="70">
        <f t="shared" si="2"/>
        <v>-7.0500000000038199E-2</v>
      </c>
    </row>
    <row r="29" spans="2:12">
      <c r="C29" s="4">
        <v>44166</v>
      </c>
      <c r="D29" s="12">
        <v>44166</v>
      </c>
      <c r="E29" s="12">
        <v>44196</v>
      </c>
      <c r="F29" s="15">
        <v>547.73299999999995</v>
      </c>
      <c r="G29" s="15">
        <v>3.7999999999999999E-2</v>
      </c>
      <c r="H29" s="5">
        <f t="shared" si="3"/>
        <v>547.69499999999994</v>
      </c>
      <c r="I29" s="71">
        <f>(547807.4-37.799)/1000</f>
        <v>547.76960100000008</v>
      </c>
      <c r="J29" s="9">
        <f t="shared" si="1"/>
        <v>547.69499999999994</v>
      </c>
      <c r="K29" s="164"/>
      <c r="L29" s="70">
        <f t="shared" si="2"/>
        <v>-7.4601000000143358E-2</v>
      </c>
    </row>
    <row r="30" spans="2:12">
      <c r="C30" s="4">
        <v>44197</v>
      </c>
      <c r="D30" s="12">
        <v>44197</v>
      </c>
      <c r="E30" s="12">
        <v>44227</v>
      </c>
      <c r="F30" s="15">
        <v>570.89499999999998</v>
      </c>
      <c r="G30" s="15">
        <v>0.06</v>
      </c>
      <c r="H30" s="5">
        <f t="shared" si="3"/>
        <v>570.83500000000004</v>
      </c>
      <c r="I30" s="71">
        <f>(570895.1-60.501)/1000</f>
        <v>570.83459899999991</v>
      </c>
      <c r="J30" s="9">
        <f t="shared" si="1"/>
        <v>570.83459899999991</v>
      </c>
      <c r="K30" s="163">
        <f>SUM(J30:J40)</f>
        <v>6259.7536989999999</v>
      </c>
      <c r="L30" s="70">
        <f t="shared" si="2"/>
        <v>4.010000001244407E-4</v>
      </c>
    </row>
    <row r="31" spans="2:12">
      <c r="C31" s="4">
        <v>44228</v>
      </c>
      <c r="D31" s="12">
        <v>44228</v>
      </c>
      <c r="E31" s="12">
        <v>44255</v>
      </c>
      <c r="F31" s="15">
        <v>509.12200000000001</v>
      </c>
      <c r="G31" s="15">
        <v>0.189</v>
      </c>
      <c r="H31" s="5">
        <f t="shared" si="3"/>
        <v>508.93299999999999</v>
      </c>
      <c r="I31" s="71">
        <f>(509191.7-188.9)/1000</f>
        <v>509.00279999999998</v>
      </c>
      <c r="J31" s="9">
        <f t="shared" si="1"/>
        <v>508.93299999999999</v>
      </c>
      <c r="K31" s="165"/>
      <c r="L31" s="70">
        <f t="shared" si="2"/>
        <v>-6.9799999999986539E-2</v>
      </c>
    </row>
    <row r="32" spans="2:12">
      <c r="C32" s="4">
        <v>44256</v>
      </c>
      <c r="D32" s="12">
        <v>44256</v>
      </c>
      <c r="E32" s="12">
        <v>44286</v>
      </c>
      <c r="F32" s="15">
        <v>545.596</v>
      </c>
      <c r="G32" s="15">
        <v>3.9E-2</v>
      </c>
      <c r="H32" s="5">
        <f t="shared" si="3"/>
        <v>545.55700000000002</v>
      </c>
      <c r="I32" s="71">
        <f>(545667.7-38.7)/1000</f>
        <v>545.62900000000002</v>
      </c>
      <c r="J32" s="9">
        <f t="shared" si="1"/>
        <v>545.55700000000002</v>
      </c>
      <c r="K32" s="165"/>
      <c r="L32" s="70">
        <f t="shared" si="2"/>
        <v>-7.2000000000002728E-2</v>
      </c>
    </row>
    <row r="33" spans="3:12">
      <c r="C33" s="4">
        <v>44287</v>
      </c>
      <c r="D33" s="12">
        <v>44287</v>
      </c>
      <c r="E33" s="12">
        <v>44316</v>
      </c>
      <c r="F33" s="15">
        <v>533.553</v>
      </c>
      <c r="G33" s="15">
        <v>0.06</v>
      </c>
      <c r="H33" s="5">
        <f t="shared" si="3"/>
        <v>533.49300000000005</v>
      </c>
      <c r="I33" s="71">
        <f>(533624-59.8)/1000</f>
        <v>533.56419999999991</v>
      </c>
      <c r="J33" s="9">
        <f t="shared" si="1"/>
        <v>533.49300000000005</v>
      </c>
      <c r="K33" s="165"/>
      <c r="L33" s="70">
        <f t="shared" si="2"/>
        <v>-7.1199999999862484E-2</v>
      </c>
    </row>
    <row r="34" spans="3:12">
      <c r="C34" s="4">
        <v>44317</v>
      </c>
      <c r="D34" s="12">
        <v>44317</v>
      </c>
      <c r="E34" s="12">
        <v>44347</v>
      </c>
      <c r="F34" s="15">
        <v>579.34500000000003</v>
      </c>
      <c r="G34" s="15">
        <v>0.09</v>
      </c>
      <c r="H34" s="5">
        <f t="shared" si="3"/>
        <v>579.255</v>
      </c>
      <c r="I34" s="71">
        <f>(579425.3-89.7)/1000</f>
        <v>579.33560000000011</v>
      </c>
      <c r="J34" s="9">
        <f t="shared" si="1"/>
        <v>579.255</v>
      </c>
      <c r="K34" s="165"/>
      <c r="L34" s="70">
        <f t="shared" si="2"/>
        <v>-8.0600000000117689E-2</v>
      </c>
    </row>
    <row r="35" spans="3:12">
      <c r="C35" s="4">
        <v>44348</v>
      </c>
      <c r="D35" s="12">
        <v>44348</v>
      </c>
      <c r="E35" s="12">
        <v>44377</v>
      </c>
      <c r="F35" s="15">
        <v>523.65700000000004</v>
      </c>
      <c r="G35" s="15">
        <v>0.108</v>
      </c>
      <c r="H35" s="5">
        <f t="shared" si="3"/>
        <v>523.54900000000009</v>
      </c>
      <c r="I35" s="71">
        <f>(523731.8-108.099)/1000</f>
        <v>523.62370099999998</v>
      </c>
      <c r="J35" s="9">
        <f t="shared" si="1"/>
        <v>523.54900000000009</v>
      </c>
      <c r="K35" s="165"/>
      <c r="L35" s="70">
        <f t="shared" si="2"/>
        <v>-7.4700999999890882E-2</v>
      </c>
    </row>
    <row r="36" spans="3:12">
      <c r="C36" s="4">
        <v>44378</v>
      </c>
      <c r="D36" s="12">
        <v>44378</v>
      </c>
      <c r="E36" s="12">
        <v>44408</v>
      </c>
      <c r="F36" s="15">
        <v>534.76300000000003</v>
      </c>
      <c r="G36" s="15">
        <v>0.34100000000000003</v>
      </c>
      <c r="H36" s="5">
        <f t="shared" si="3"/>
        <v>534.42200000000003</v>
      </c>
      <c r="I36" s="71">
        <f>(534837.8-341)/1000</f>
        <v>534.49680000000001</v>
      </c>
      <c r="J36" s="9">
        <f>MIN(H36,I36)</f>
        <v>534.42200000000003</v>
      </c>
      <c r="K36" s="165"/>
      <c r="L36" s="70">
        <f t="shared" si="2"/>
        <v>-7.4799999999981992E-2</v>
      </c>
    </row>
    <row r="37" spans="3:12">
      <c r="C37" s="4">
        <v>44409</v>
      </c>
      <c r="D37" s="12">
        <v>44409</v>
      </c>
      <c r="E37" s="12">
        <v>44439</v>
      </c>
      <c r="F37" s="15">
        <v>577.36800000000005</v>
      </c>
      <c r="G37" s="15">
        <v>0.23699999999999999</v>
      </c>
      <c r="H37" s="5">
        <f t="shared" si="3"/>
        <v>577.13100000000009</v>
      </c>
      <c r="I37" s="71">
        <f>(577450.6-236.701)/1000</f>
        <v>577.21389899999997</v>
      </c>
      <c r="J37" s="9">
        <f t="shared" si="1"/>
        <v>577.13100000000009</v>
      </c>
      <c r="K37" s="165"/>
      <c r="L37" s="70">
        <f t="shared" si="2"/>
        <v>-8.2898999999883927E-2</v>
      </c>
    </row>
    <row r="38" spans="3:12">
      <c r="C38" s="4">
        <v>44440</v>
      </c>
      <c r="D38" s="12">
        <v>44440</v>
      </c>
      <c r="E38" s="12">
        <v>44469</v>
      </c>
      <c r="F38" s="25">
        <v>608.27099999999996</v>
      </c>
      <c r="G38" s="15">
        <v>0.1167</v>
      </c>
      <c r="H38" s="71">
        <f t="shared" si="3"/>
        <v>608.15429999999992</v>
      </c>
      <c r="I38" s="71">
        <f>(608271.6-116.7)/1000</f>
        <v>608.1549</v>
      </c>
      <c r="J38" s="9">
        <f t="shared" si="1"/>
        <v>608.15429999999992</v>
      </c>
      <c r="K38" s="165"/>
      <c r="L38" s="70">
        <f t="shared" si="2"/>
        <v>-6.0000000007676135E-4</v>
      </c>
    </row>
    <row r="39" spans="3:12">
      <c r="C39" s="4">
        <v>44470</v>
      </c>
      <c r="D39" s="12">
        <v>44470</v>
      </c>
      <c r="E39" s="12">
        <v>44500</v>
      </c>
      <c r="F39" s="25">
        <v>679.55</v>
      </c>
      <c r="G39" s="15">
        <v>0.12620000000000001</v>
      </c>
      <c r="H39" s="71">
        <f t="shared" si="3"/>
        <v>679.42379999999991</v>
      </c>
      <c r="I39" s="71">
        <f>(679573.3-126.2)/1000</f>
        <v>679.44710000000009</v>
      </c>
      <c r="J39" s="9">
        <f t="shared" si="1"/>
        <v>679.42379999999991</v>
      </c>
      <c r="K39" s="165"/>
      <c r="L39" s="70">
        <f t="shared" si="2"/>
        <v>-2.3300000000176624E-2</v>
      </c>
    </row>
    <row r="40" spans="3:12">
      <c r="C40" s="4">
        <v>44501</v>
      </c>
      <c r="D40" s="12">
        <v>44501</v>
      </c>
      <c r="E40" s="12">
        <v>44502</v>
      </c>
      <c r="F40" s="25">
        <f>679573.3/1000</f>
        <v>679.57330000000002</v>
      </c>
      <c r="G40" s="15">
        <f>126.2/1000</f>
        <v>0.12620000000000001</v>
      </c>
      <c r="H40" s="71">
        <f t="shared" si="3"/>
        <v>679.44709999999998</v>
      </c>
      <c r="I40" s="71">
        <f>(599.204-0.203)</f>
        <v>599.00099999999998</v>
      </c>
      <c r="J40" s="9">
        <f t="shared" si="1"/>
        <v>599.00099999999998</v>
      </c>
      <c r="K40" s="164"/>
      <c r="L40" s="70">
        <f>H40-I40</f>
        <v>80.446100000000001</v>
      </c>
    </row>
    <row r="41" spans="3:12">
      <c r="C41" s="8" t="s">
        <v>4</v>
      </c>
      <c r="D41" s="13"/>
      <c r="E41" s="13"/>
      <c r="F41" s="22">
        <f>SUM(F3:F40)</f>
        <v>21740.302200000002</v>
      </c>
      <c r="G41" s="22">
        <f>SUM(G3:G40)</f>
        <v>9.4380000000000006</v>
      </c>
      <c r="H41" s="22">
        <f>SUM(H3:H40)</f>
        <v>21730.8642</v>
      </c>
      <c r="I41" s="22">
        <f>SUM(I4:I40)</f>
        <v>21653.182499999999</v>
      </c>
      <c r="J41" s="22">
        <f>SUM(J3:J39)</f>
        <v>21051.416698999998</v>
      </c>
      <c r="K41" s="22">
        <f>SUM(K4:K39)</f>
        <v>21650.417698999998</v>
      </c>
      <c r="L41" s="45">
        <f>H41-I41</f>
        <v>77.681700000001001</v>
      </c>
    </row>
    <row r="53" spans="3:12">
      <c r="C53" s="16"/>
      <c r="D53" s="17"/>
      <c r="E53" s="17"/>
      <c r="F53" s="18"/>
      <c r="G53" s="18"/>
      <c r="H53" s="19"/>
      <c r="I53" s="19"/>
      <c r="J53" s="20"/>
      <c r="K53" s="20"/>
      <c r="L53" s="21"/>
    </row>
    <row r="55" spans="3:12">
      <c r="J55" s="24" t="e">
        <f>74565+#REF!</f>
        <v>#REF!</v>
      </c>
      <c r="K55" s="24"/>
    </row>
  </sheetData>
  <mergeCells count="4">
    <mergeCell ref="K4:K5"/>
    <mergeCell ref="K6:K17"/>
    <mergeCell ref="K18:K29"/>
    <mergeCell ref="K30:K40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396A1-23F8-4C9E-B27D-CBB0CF4FAC3A}">
  <dimension ref="B2:L44"/>
  <sheetViews>
    <sheetView topLeftCell="B1" zoomScaleNormal="100" workbookViewId="0">
      <selection activeCell="D34" sqref="D34"/>
    </sheetView>
  </sheetViews>
  <sheetFormatPr defaultRowHeight="14.4"/>
  <cols>
    <col min="1" max="1" width="10.109375" customWidth="1"/>
    <col min="2" max="2" width="11.88671875" customWidth="1"/>
    <col min="3" max="3" width="11.5546875" customWidth="1"/>
    <col min="4" max="4" width="11.77734375" customWidth="1"/>
    <col min="5" max="5" width="15.5546875" style="42" customWidth="1"/>
    <col min="6" max="6" width="19.44140625" customWidth="1"/>
    <col min="7" max="7" width="12.77734375" bestFit="1" customWidth="1"/>
    <col min="9" max="9" width="10.6640625" customWidth="1"/>
    <col min="10" max="10" width="11.33203125" customWidth="1"/>
    <col min="11" max="11" width="11.44140625" customWidth="1"/>
    <col min="12" max="12" width="11" customWidth="1"/>
  </cols>
  <sheetData>
    <row r="2" spans="2:12">
      <c r="B2" s="171" t="s">
        <v>0</v>
      </c>
      <c r="C2" s="171" t="s">
        <v>7</v>
      </c>
      <c r="D2" s="171" t="s">
        <v>8</v>
      </c>
      <c r="E2" s="30" t="s">
        <v>15</v>
      </c>
      <c r="F2" s="30" t="s">
        <v>17</v>
      </c>
      <c r="H2" s="35"/>
      <c r="I2" s="36"/>
      <c r="J2" s="37"/>
      <c r="K2" s="37"/>
      <c r="L2" s="37"/>
    </row>
    <row r="3" spans="2:12" ht="15.6">
      <c r="B3" s="171"/>
      <c r="C3" s="171"/>
      <c r="D3" s="171"/>
      <c r="E3" s="30" t="s">
        <v>16</v>
      </c>
      <c r="F3" s="30" t="s">
        <v>16</v>
      </c>
      <c r="H3" s="35"/>
      <c r="I3" s="36"/>
      <c r="J3" s="36"/>
      <c r="K3" s="36"/>
      <c r="L3" s="36"/>
    </row>
    <row r="4" spans="2:12">
      <c r="B4" s="33">
        <v>43405</v>
      </c>
      <c r="C4" s="34">
        <v>43407</v>
      </c>
      <c r="D4" s="34">
        <v>43434</v>
      </c>
      <c r="E4" s="41">
        <f>510624*(D4-C4)/30</f>
        <v>459561.6</v>
      </c>
      <c r="F4" s="166">
        <f>SUM(E4:E5)</f>
        <v>987206.4</v>
      </c>
      <c r="H4" s="38"/>
      <c r="I4" s="39"/>
      <c r="J4" s="40"/>
      <c r="K4" s="40"/>
      <c r="L4" s="40"/>
    </row>
    <row r="5" spans="2:12">
      <c r="B5" s="31">
        <v>43435</v>
      </c>
      <c r="C5" s="32">
        <v>43435</v>
      </c>
      <c r="D5" s="32">
        <v>43465</v>
      </c>
      <c r="E5" s="41">
        <v>527644.80000000005</v>
      </c>
      <c r="F5" s="167"/>
      <c r="H5" s="38"/>
      <c r="I5" s="39"/>
      <c r="J5" s="40"/>
      <c r="K5" s="40"/>
      <c r="L5" s="40"/>
    </row>
    <row r="6" spans="2:12">
      <c r="B6" s="116">
        <v>43466</v>
      </c>
      <c r="C6" s="117">
        <v>43466</v>
      </c>
      <c r="D6" s="117">
        <v>43496</v>
      </c>
      <c r="E6" s="118">
        <v>527644.80000000005</v>
      </c>
      <c r="F6" s="166">
        <f>SUM(E6:E17)</f>
        <v>5717623.6800000006</v>
      </c>
      <c r="H6" s="38"/>
      <c r="I6" s="39"/>
      <c r="J6" s="40"/>
      <c r="K6" s="40"/>
      <c r="L6" s="40"/>
    </row>
    <row r="7" spans="2:12">
      <c r="B7" s="116">
        <v>43497</v>
      </c>
      <c r="C7" s="117">
        <v>43497</v>
      </c>
      <c r="D7" s="117">
        <v>43524</v>
      </c>
      <c r="E7" s="118">
        <v>336510.71999999997</v>
      </c>
      <c r="F7" s="167"/>
      <c r="H7" s="38"/>
      <c r="I7" s="39"/>
      <c r="J7" s="40"/>
      <c r="K7" s="40"/>
      <c r="L7" s="40"/>
    </row>
    <row r="8" spans="2:12">
      <c r="B8" s="116">
        <v>43525</v>
      </c>
      <c r="C8" s="117">
        <v>43525</v>
      </c>
      <c r="D8" s="117">
        <v>43555</v>
      </c>
      <c r="E8" s="118">
        <v>535947.84</v>
      </c>
      <c r="F8" s="167"/>
      <c r="H8" s="38"/>
      <c r="I8" s="39"/>
      <c r="J8" s="40"/>
      <c r="K8" s="40"/>
      <c r="L8" s="40"/>
    </row>
    <row r="9" spans="2:12">
      <c r="B9" s="116">
        <v>43556</v>
      </c>
      <c r="C9" s="117">
        <v>43556</v>
      </c>
      <c r="D9" s="117">
        <v>43585</v>
      </c>
      <c r="E9" s="118">
        <v>495331.2</v>
      </c>
      <c r="F9" s="167"/>
      <c r="H9" s="38"/>
      <c r="I9" s="39"/>
      <c r="J9" s="40"/>
      <c r="K9" s="40"/>
      <c r="L9" s="40"/>
    </row>
    <row r="10" spans="2:12">
      <c r="B10" s="116">
        <v>43586</v>
      </c>
      <c r="C10" s="117">
        <v>43586</v>
      </c>
      <c r="D10" s="117">
        <v>43616</v>
      </c>
      <c r="E10" s="118">
        <v>482379.84</v>
      </c>
      <c r="F10" s="167"/>
      <c r="H10" s="38"/>
      <c r="I10" s="39"/>
      <c r="J10" s="40"/>
      <c r="K10" s="40"/>
      <c r="L10" s="40"/>
    </row>
    <row r="11" spans="2:12">
      <c r="B11" s="116">
        <v>43617</v>
      </c>
      <c r="C11" s="117">
        <v>43617</v>
      </c>
      <c r="D11" s="117">
        <v>43646</v>
      </c>
      <c r="E11" s="118">
        <v>495331.2</v>
      </c>
      <c r="F11" s="167"/>
      <c r="H11" s="38"/>
      <c r="I11" s="39"/>
      <c r="J11" s="40"/>
      <c r="K11" s="40"/>
      <c r="L11" s="40"/>
    </row>
    <row r="12" spans="2:12">
      <c r="B12" s="116">
        <v>43647</v>
      </c>
      <c r="C12" s="117">
        <v>43647</v>
      </c>
      <c r="D12" s="117">
        <v>43677</v>
      </c>
      <c r="E12" s="118">
        <v>516931.2</v>
      </c>
      <c r="F12" s="167"/>
      <c r="H12" s="38"/>
      <c r="I12" s="39"/>
      <c r="J12" s="40"/>
      <c r="K12" s="40"/>
      <c r="L12" s="40"/>
    </row>
    <row r="13" spans="2:12">
      <c r="B13" s="116">
        <v>43678</v>
      </c>
      <c r="C13" s="117">
        <v>43678</v>
      </c>
      <c r="D13" s="117">
        <v>43708</v>
      </c>
      <c r="E13" s="118">
        <v>498450.24</v>
      </c>
      <c r="F13" s="167"/>
      <c r="H13" s="38"/>
      <c r="I13" s="39"/>
      <c r="J13" s="40"/>
      <c r="K13" s="40"/>
      <c r="L13" s="40"/>
    </row>
    <row r="14" spans="2:12">
      <c r="B14" s="116">
        <v>43709</v>
      </c>
      <c r="C14" s="117">
        <v>43709</v>
      </c>
      <c r="D14" s="117">
        <v>43738</v>
      </c>
      <c r="E14" s="118">
        <v>475372.79999999999</v>
      </c>
      <c r="F14" s="167"/>
      <c r="H14" s="38"/>
      <c r="I14" s="40"/>
      <c r="J14" s="40"/>
      <c r="K14" s="40"/>
      <c r="L14" s="39"/>
    </row>
    <row r="15" spans="2:12">
      <c r="B15" s="116">
        <v>43739</v>
      </c>
      <c r="C15" s="117">
        <v>43739</v>
      </c>
      <c r="D15" s="117">
        <v>43769</v>
      </c>
      <c r="E15" s="118">
        <v>471398.40000000002</v>
      </c>
      <c r="F15" s="167"/>
      <c r="H15" s="38"/>
      <c r="I15" s="40"/>
      <c r="J15" s="40"/>
      <c r="K15" s="40"/>
      <c r="L15" s="39"/>
    </row>
    <row r="16" spans="2:12">
      <c r="B16" s="116">
        <v>43770</v>
      </c>
      <c r="C16" s="117">
        <v>43770</v>
      </c>
      <c r="D16" s="117">
        <v>43799</v>
      </c>
      <c r="E16" s="118">
        <v>456192</v>
      </c>
      <c r="F16" s="167"/>
      <c r="H16" s="38"/>
      <c r="I16" s="39"/>
      <c r="J16" s="39"/>
      <c r="K16" s="39"/>
      <c r="L16" s="39"/>
    </row>
    <row r="17" spans="2:12">
      <c r="B17" s="116">
        <v>43800</v>
      </c>
      <c r="C17" s="117">
        <v>43800</v>
      </c>
      <c r="D17" s="117">
        <v>43830</v>
      </c>
      <c r="E17" s="118">
        <v>426133.44</v>
      </c>
      <c r="F17" s="167"/>
      <c r="H17" s="40"/>
      <c r="I17" s="40"/>
      <c r="J17" s="40"/>
      <c r="K17" s="40"/>
      <c r="L17" s="40"/>
    </row>
    <row r="18" spans="2:12">
      <c r="B18" s="116">
        <v>43831</v>
      </c>
      <c r="C18" s="117">
        <v>43831</v>
      </c>
      <c r="D18" s="117">
        <v>43861</v>
      </c>
      <c r="E18" s="118">
        <v>396135.36</v>
      </c>
      <c r="F18" s="166">
        <f>SUM(E18:E29)</f>
        <v>5277752.6399999997</v>
      </c>
    </row>
    <row r="19" spans="2:12">
      <c r="B19" s="31">
        <v>43862</v>
      </c>
      <c r="C19" s="32">
        <v>43862</v>
      </c>
      <c r="D19" s="32">
        <v>43890</v>
      </c>
      <c r="E19" s="41">
        <v>415860.47999999998</v>
      </c>
      <c r="F19" s="167"/>
    </row>
    <row r="20" spans="2:12">
      <c r="B20" s="31">
        <v>43891</v>
      </c>
      <c r="C20" s="32">
        <v>43891</v>
      </c>
      <c r="D20" s="32">
        <v>43921</v>
      </c>
      <c r="E20" s="41">
        <v>462024</v>
      </c>
      <c r="F20" s="167"/>
    </row>
    <row r="21" spans="2:12">
      <c r="B21" s="31">
        <v>43922</v>
      </c>
      <c r="C21" s="32">
        <v>43922</v>
      </c>
      <c r="D21" s="32">
        <v>43951</v>
      </c>
      <c r="E21" s="41">
        <v>433382.40000000002</v>
      </c>
      <c r="F21" s="167"/>
    </row>
    <row r="22" spans="2:12">
      <c r="B22" s="31">
        <v>43952</v>
      </c>
      <c r="C22" s="32">
        <v>43952</v>
      </c>
      <c r="D22" s="32">
        <v>43982</v>
      </c>
      <c r="E22" s="41">
        <v>447828.47999999998</v>
      </c>
      <c r="F22" s="167"/>
    </row>
    <row r="23" spans="2:12">
      <c r="B23" s="31">
        <v>43983</v>
      </c>
      <c r="C23" s="32">
        <v>43983</v>
      </c>
      <c r="D23" s="32">
        <v>44012</v>
      </c>
      <c r="E23" s="41">
        <v>449625.59999999998</v>
      </c>
      <c r="F23" s="167"/>
    </row>
    <row r="24" spans="2:12">
      <c r="B24" s="31">
        <v>44013</v>
      </c>
      <c r="C24" s="32">
        <v>44013</v>
      </c>
      <c r="D24" s="32">
        <v>44043</v>
      </c>
      <c r="E24" s="41">
        <v>471398.40000000002</v>
      </c>
      <c r="F24" s="167"/>
    </row>
    <row r="25" spans="2:12">
      <c r="B25" s="31">
        <v>44044</v>
      </c>
      <c r="C25" s="32">
        <v>44044</v>
      </c>
      <c r="D25" s="32">
        <v>44074</v>
      </c>
      <c r="E25" s="41">
        <v>479701.44</v>
      </c>
      <c r="F25" s="167"/>
    </row>
    <row r="26" spans="2:12">
      <c r="B26" s="31">
        <v>44075</v>
      </c>
      <c r="C26" s="32">
        <v>44075</v>
      </c>
      <c r="D26" s="32">
        <v>44104</v>
      </c>
      <c r="E26" s="41">
        <v>445564.8</v>
      </c>
      <c r="F26" s="167"/>
    </row>
    <row r="27" spans="2:12">
      <c r="B27" s="31">
        <v>44105</v>
      </c>
      <c r="C27" s="32">
        <v>44105</v>
      </c>
      <c r="D27" s="32">
        <v>44135</v>
      </c>
      <c r="E27" s="41">
        <v>426133.44</v>
      </c>
      <c r="F27" s="167"/>
    </row>
    <row r="28" spans="2:12">
      <c r="B28" s="31">
        <v>44136</v>
      </c>
      <c r="C28" s="32">
        <v>44136</v>
      </c>
      <c r="D28" s="32">
        <v>44165</v>
      </c>
      <c r="E28" s="41">
        <v>418608</v>
      </c>
      <c r="F28" s="167"/>
    </row>
    <row r="29" spans="2:12">
      <c r="B29" s="31">
        <v>44166</v>
      </c>
      <c r="C29" s="32">
        <v>44166</v>
      </c>
      <c r="D29" s="32">
        <v>44196</v>
      </c>
      <c r="E29" s="41">
        <v>431490.24</v>
      </c>
      <c r="F29" s="167"/>
    </row>
    <row r="30" spans="2:12">
      <c r="B30" s="31">
        <v>44197</v>
      </c>
      <c r="C30" s="32">
        <v>44197</v>
      </c>
      <c r="D30" s="32">
        <v>44227</v>
      </c>
      <c r="E30" s="41">
        <v>447828.47999999998</v>
      </c>
      <c r="F30" s="168">
        <f>SUM(E30:E40)</f>
        <v>4472707.5024657547</v>
      </c>
    </row>
    <row r="31" spans="2:12">
      <c r="B31" s="31">
        <v>44228</v>
      </c>
      <c r="C31" s="32">
        <v>44228</v>
      </c>
      <c r="D31" s="32">
        <v>44255</v>
      </c>
      <c r="E31" s="41">
        <v>418936.32000000001</v>
      </c>
      <c r="F31" s="169"/>
    </row>
    <row r="32" spans="2:12">
      <c r="B32" s="31">
        <v>44256</v>
      </c>
      <c r="C32" s="32">
        <v>44256</v>
      </c>
      <c r="D32" s="32">
        <v>44286</v>
      </c>
      <c r="E32" s="41">
        <v>435775.68</v>
      </c>
      <c r="F32" s="169"/>
    </row>
    <row r="33" spans="2:7">
      <c r="B33" s="31">
        <v>44287</v>
      </c>
      <c r="C33" s="32">
        <v>44287</v>
      </c>
      <c r="D33" s="32">
        <v>44316</v>
      </c>
      <c r="E33" s="41">
        <v>423532.79999999999</v>
      </c>
      <c r="F33" s="169"/>
    </row>
    <row r="34" spans="2:7">
      <c r="B34" s="31">
        <v>44317</v>
      </c>
      <c r="C34" s="32">
        <v>44317</v>
      </c>
      <c r="D34" s="32">
        <v>44347</v>
      </c>
      <c r="E34" s="41">
        <v>460416.96</v>
      </c>
      <c r="F34" s="169"/>
    </row>
    <row r="35" spans="2:7">
      <c r="B35" s="31">
        <v>44348</v>
      </c>
      <c r="C35" s="32">
        <v>44348</v>
      </c>
      <c r="D35" s="32">
        <v>44377</v>
      </c>
      <c r="E35" s="41">
        <v>417571.2</v>
      </c>
      <c r="F35" s="169"/>
    </row>
    <row r="36" spans="2:7">
      <c r="B36" s="31">
        <v>44378</v>
      </c>
      <c r="C36" s="32">
        <v>44378</v>
      </c>
      <c r="D36" s="32">
        <v>44408</v>
      </c>
      <c r="E36" s="41">
        <v>431490.24</v>
      </c>
      <c r="F36" s="169"/>
    </row>
    <row r="37" spans="2:7">
      <c r="B37" s="31">
        <v>44409</v>
      </c>
      <c r="C37" s="32">
        <v>44409</v>
      </c>
      <c r="D37" s="32">
        <v>44439</v>
      </c>
      <c r="E37" s="41">
        <v>460416.96</v>
      </c>
      <c r="F37" s="169"/>
    </row>
    <row r="38" spans="2:7">
      <c r="B38" s="31">
        <v>44440</v>
      </c>
      <c r="C38" s="32">
        <v>44440</v>
      </c>
      <c r="D38" s="32">
        <v>44469</v>
      </c>
      <c r="E38" s="41">
        <v>466819.2</v>
      </c>
      <c r="F38" s="169"/>
    </row>
    <row r="39" spans="2:7">
      <c r="B39" s="31">
        <v>44470</v>
      </c>
      <c r="C39" s="32">
        <v>44470</v>
      </c>
      <c r="D39" s="32">
        <v>44500</v>
      </c>
      <c r="E39" s="41">
        <v>508628.16</v>
      </c>
      <c r="F39" s="169"/>
    </row>
    <row r="40" spans="2:7">
      <c r="B40" s="31">
        <v>44501</v>
      </c>
      <c r="C40" s="32">
        <v>44501</v>
      </c>
      <c r="D40" s="32">
        <v>44502</v>
      </c>
      <c r="E40" s="41">
        <f>471398.4*(D40-C40)/365</f>
        <v>1291.5024657534248</v>
      </c>
      <c r="F40" s="170"/>
    </row>
    <row r="41" spans="2:7">
      <c r="B41" s="8" t="s">
        <v>4</v>
      </c>
      <c r="C41" s="23"/>
      <c r="D41" s="23"/>
      <c r="E41" s="44">
        <f>SUM(E4:E40)</f>
        <v>16455290.222465757</v>
      </c>
      <c r="F41" s="43">
        <f>SUM(F4:F40)</f>
        <v>16455290.222465755</v>
      </c>
      <c r="G41" s="111">
        <f>F41*0.5*0.0007168</f>
        <v>5897.5760157317263</v>
      </c>
    </row>
    <row r="42" spans="2:7">
      <c r="G42" s="111">
        <f>F41/2</f>
        <v>8227645.1112328777</v>
      </c>
    </row>
    <row r="43" spans="2:7">
      <c r="G43" s="111">
        <f>G42*0.02</f>
        <v>164552.90222465756</v>
      </c>
    </row>
    <row r="44" spans="2:7">
      <c r="G44" s="111">
        <f>G43*0.98*3</f>
        <v>483785.5325404933</v>
      </c>
    </row>
  </sheetData>
  <mergeCells count="7">
    <mergeCell ref="F18:F29"/>
    <mergeCell ref="F30:F40"/>
    <mergeCell ref="B2:B3"/>
    <mergeCell ref="C2:C3"/>
    <mergeCell ref="D2:D3"/>
    <mergeCell ref="F4:F5"/>
    <mergeCell ref="F6:F17"/>
  </mergeCells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ER Calculation</vt:lpstr>
      <vt:lpstr>Electricity Generation</vt:lpstr>
      <vt:lpstr>Flowmeter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RMX1911</dc:creator>
  <cp:lastModifiedBy>Admin</cp:lastModifiedBy>
  <dcterms:created xsi:type="dcterms:W3CDTF">2006-09-15T18:30:00Z</dcterms:created>
  <dcterms:modified xsi:type="dcterms:W3CDTF">2022-08-18T12:19:20Z</dcterms:modified>
</cp:coreProperties>
</file>