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ocumenttasks/documenttask1.xml" ContentType="application/vnd.ms-excel.documenttask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/>
  <mc:AlternateContent xmlns:mc="http://schemas.openxmlformats.org/markup-compatibility/2006">
    <mc:Choice Requires="x15">
      <x15ac:absPath xmlns:x15ac="http://schemas.microsoft.com/office/spreadsheetml/2010/11/ac" url="https://boomitra-my.sharepoint.com/personal/admin_boomitra_com/Documents/Carbon Project Development/PDDs/Kenya/Grasslands/Validation Docs/PRR Round 3/ER Sheets/"/>
    </mc:Choice>
  </mc:AlternateContent>
  <xr:revisionPtr revIDLastSave="35" documentId="13_ncr:1_{EADC0345-3318-CE4C-86C3-993FD7EA8994}" xr6:coauthVersionLast="47" xr6:coauthVersionMax="47" xr10:uidLastSave="{FBD2C18F-4845-7C45-84A5-630F469A6636}"/>
  <bookViews>
    <workbookView xWindow="0" yWindow="500" windowWidth="28800" windowHeight="16300" activeTab="1" xr2:uid="{00000000-000D-0000-FFFF-FFFF00000000}"/>
  </bookViews>
  <sheets>
    <sheet name="Summary" sheetId="2" r:id="rId1"/>
    <sheet name="ER Projection" sheetId="3" r:id="rId2"/>
    <sheet name="rothc_yearly_carbon_stock_predi" sheetId="1" r:id="rId3"/>
    <sheet name="Uncertainty calculation" sheetId="7" r:id="rId4"/>
  </sheets>
  <definedNames>
    <definedName name="_xlnm._FilterDatabase" localSheetId="2" hidden="1">rothc_yearly_carbon_stock_predi!$A$1:$AU$1216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" i="3" l="1"/>
  <c r="E24" i="3"/>
  <c r="G24" i="3"/>
  <c r="C2" i="1"/>
  <c r="AL14" i="1" l="1"/>
  <c r="C4" i="7"/>
  <c r="H2" i="7" s="1"/>
  <c r="I2" i="7" l="1"/>
  <c r="G2" i="7"/>
  <c r="G5" i="3"/>
  <c r="C4" i="1" l="1"/>
  <c r="C3" i="1"/>
  <c r="I2" i="1" l="1"/>
  <c r="P2" i="1"/>
  <c r="Q2" i="1"/>
  <c r="Z2" i="1"/>
  <c r="AA2" i="1"/>
  <c r="AB2" i="1"/>
  <c r="AC2" i="1"/>
  <c r="AD2" i="1"/>
  <c r="AE2" i="1"/>
  <c r="I3" i="1"/>
  <c r="P3" i="1"/>
  <c r="Q3" i="1"/>
  <c r="Z3" i="1"/>
  <c r="AA3" i="1"/>
  <c r="AB3" i="1"/>
  <c r="AC3" i="1"/>
  <c r="AD3" i="1"/>
  <c r="AE3" i="1"/>
  <c r="I4" i="1"/>
  <c r="P4" i="1"/>
  <c r="Q4" i="1"/>
  <c r="Z4" i="1"/>
  <c r="AA4" i="1"/>
  <c r="AB4" i="1"/>
  <c r="AC4" i="1"/>
  <c r="AD4" i="1"/>
  <c r="AE4" i="1"/>
  <c r="AF3" i="1" l="1"/>
  <c r="AI3" i="1" s="1"/>
  <c r="AL3" i="1" s="1"/>
  <c r="AG2" i="1"/>
  <c r="AJ2" i="1" s="1"/>
  <c r="AM2" i="1" s="1"/>
  <c r="AH2" i="1"/>
  <c r="AK2" i="1" s="1"/>
  <c r="AN2" i="1" s="1"/>
  <c r="AH4" i="1"/>
  <c r="AK4" i="1" s="1"/>
  <c r="AN4" i="1" s="1"/>
  <c r="AF4" i="1"/>
  <c r="AI4" i="1" s="1"/>
  <c r="AL4" i="1" s="1"/>
  <c r="AG3" i="1"/>
  <c r="AJ3" i="1" s="1"/>
  <c r="AM3" i="1" s="1"/>
  <c r="AF2" i="1"/>
  <c r="AI2" i="1" s="1"/>
  <c r="AL2" i="1" s="1"/>
  <c r="AG4" i="1"/>
  <c r="AJ4" i="1" s="1"/>
  <c r="AM4" i="1" s="1"/>
  <c r="AH3" i="1"/>
  <c r="AK3" i="1" s="1"/>
  <c r="AN3" i="1" s="1"/>
  <c r="C2" i="7"/>
  <c r="AL12" i="1" l="1"/>
  <c r="Y7" i="1"/>
  <c r="X7" i="1"/>
  <c r="W7" i="1"/>
  <c r="V7" i="1"/>
  <c r="B7" i="1"/>
  <c r="F4" i="3" l="1"/>
  <c r="B8" i="1"/>
  <c r="J2" i="7" l="1"/>
  <c r="AE7" i="1"/>
  <c r="G7" i="3" s="1"/>
  <c r="AD7" i="1"/>
  <c r="G6" i="3" s="1"/>
  <c r="AA7" i="1"/>
  <c r="H6" i="3" s="1"/>
  <c r="AC7" i="1"/>
  <c r="Z7" i="1"/>
  <c r="H5" i="3" s="1"/>
  <c r="AB7" i="1"/>
  <c r="H7" i="3" s="1"/>
  <c r="G8" i="3" l="1"/>
  <c r="I4" i="3" l="1"/>
  <c r="J4" i="3" s="1"/>
  <c r="K4" i="3" s="1"/>
  <c r="D27" i="3"/>
  <c r="C27" i="3"/>
  <c r="D24" i="3"/>
  <c r="C5" i="3"/>
  <c r="D5" i="3" s="1"/>
  <c r="C6" i="3" s="1"/>
  <c r="F5" i="3" l="1"/>
  <c r="F6" i="3" s="1"/>
  <c r="F7" i="3" s="1"/>
  <c r="F8" i="3" s="1"/>
  <c r="F9" i="3" s="1"/>
  <c r="F10" i="3" s="1"/>
  <c r="F11" i="3" s="1"/>
  <c r="F12" i="3" s="1"/>
  <c r="F13" i="3" s="1"/>
  <c r="F14" i="3" s="1"/>
  <c r="F15" i="3" s="1"/>
  <c r="F16" i="3" s="1"/>
  <c r="F17" i="3" s="1"/>
  <c r="F18" i="3" s="1"/>
  <c r="F19" i="3" s="1"/>
  <c r="F20" i="3" s="1"/>
  <c r="F21" i="3" s="1"/>
  <c r="F22" i="3" s="1"/>
  <c r="F23" i="3" s="1"/>
  <c r="F24" i="3" s="1"/>
  <c r="D6" i="3"/>
  <c r="C7" i="3" s="1"/>
  <c r="D7" i="3" l="1"/>
  <c r="C8" i="3" s="1"/>
  <c r="D8" i="3" l="1"/>
  <c r="C9" i="3" s="1"/>
  <c r="D9" i="3" l="1"/>
  <c r="C10" i="3" s="1"/>
  <c r="D10" i="3" l="1"/>
  <c r="C11" i="3" s="1"/>
  <c r="D11" i="3" l="1"/>
  <c r="C12" i="3" s="1"/>
  <c r="D12" i="3" l="1"/>
  <c r="C13" i="3" s="1"/>
  <c r="D13" i="3" l="1"/>
  <c r="C14" i="3" s="1"/>
  <c r="D14" i="3" l="1"/>
  <c r="C15" i="3" s="1"/>
  <c r="D15" i="3" l="1"/>
  <c r="C16" i="3" s="1"/>
  <c r="D16" i="3" l="1"/>
  <c r="C17" i="3" s="1"/>
  <c r="D17" i="3" l="1"/>
  <c r="C18" i="3" s="1"/>
  <c r="D18" i="3" l="1"/>
  <c r="C19" i="3" s="1"/>
  <c r="D19" i="3" l="1"/>
  <c r="C20" i="3" s="1"/>
  <c r="D20" i="3" l="1"/>
  <c r="C21" i="3" s="1"/>
  <c r="D21" i="3" l="1"/>
  <c r="C22" i="3" s="1"/>
  <c r="D22" i="3" l="1"/>
  <c r="C23" i="3" s="1"/>
  <c r="D23" i="3" l="1"/>
  <c r="C24" i="3" s="1"/>
  <c r="AF7" i="1" l="1"/>
  <c r="AJ7" i="1"/>
  <c r="AK7" i="1"/>
  <c r="AG7" i="1"/>
  <c r="AH7" i="1"/>
  <c r="AN7" i="1"/>
  <c r="AN9" i="1" s="1"/>
  <c r="AM7" i="1"/>
  <c r="AM9" i="1" s="1"/>
  <c r="H10" i="3"/>
  <c r="H15" i="3"/>
  <c r="H18" i="3"/>
  <c r="H14" i="3"/>
  <c r="H23" i="3"/>
  <c r="H16" i="3"/>
  <c r="H9" i="3"/>
  <c r="H8" i="3"/>
  <c r="H20" i="3"/>
  <c r="H22" i="3"/>
  <c r="H17" i="3"/>
  <c r="H13" i="3"/>
  <c r="H11" i="3"/>
  <c r="H19" i="3"/>
  <c r="H21" i="3"/>
  <c r="H12" i="3"/>
  <c r="AI7" i="1" l="1"/>
  <c r="AL7" i="1"/>
  <c r="AL9" i="1" s="1"/>
  <c r="AN12" i="1"/>
  <c r="AN14" i="1" s="1"/>
  <c r="AN16" i="1" s="1"/>
  <c r="AM12" i="1"/>
  <c r="AM14" i="1" s="1"/>
  <c r="H27" i="3"/>
  <c r="H28" i="3" s="1"/>
  <c r="G9" i="3"/>
  <c r="I7" i="3" l="1"/>
  <c r="J7" i="3" s="1"/>
  <c r="K7" i="3" s="1"/>
  <c r="AM16" i="1"/>
  <c r="I6" i="3"/>
  <c r="J6" i="3" s="1"/>
  <c r="K6" i="3" s="1"/>
  <c r="G10" i="3"/>
  <c r="AL16" i="1" l="1"/>
  <c r="I5" i="3"/>
  <c r="J5" i="3" s="1"/>
  <c r="G11" i="3"/>
  <c r="I11" i="3" l="1"/>
  <c r="K5" i="3"/>
  <c r="I8" i="3"/>
  <c r="J8" i="3" s="1"/>
  <c r="K8" i="3" s="1"/>
  <c r="I9" i="3"/>
  <c r="J9" i="3" s="1"/>
  <c r="I10" i="3"/>
  <c r="J10" i="3" s="1"/>
  <c r="K10" i="3" s="1"/>
  <c r="G12" i="3"/>
  <c r="I12" i="3" s="1"/>
  <c r="K9" i="3" l="1"/>
  <c r="G13" i="3"/>
  <c r="I13" i="3" s="1"/>
  <c r="J12" i="3"/>
  <c r="K12" i="3" s="1"/>
  <c r="J11" i="3"/>
  <c r="K11" i="3" l="1"/>
  <c r="G14" i="3"/>
  <c r="I14" i="3" s="1"/>
  <c r="J13" i="3" l="1"/>
  <c r="G15" i="3"/>
  <c r="I15" i="3" s="1"/>
  <c r="J14" i="3"/>
  <c r="K14" i="3" s="1"/>
  <c r="G16" i="3" l="1"/>
  <c r="I16" i="3" s="1"/>
  <c r="K13" i="3"/>
  <c r="J15" i="3" l="1"/>
  <c r="K15" i="3" s="1"/>
  <c r="J16" i="3"/>
  <c r="K16" i="3" s="1"/>
  <c r="G17" i="3"/>
  <c r="I17" i="3" s="1"/>
  <c r="J17" i="3" l="1"/>
  <c r="K17" i="3" s="1"/>
  <c r="G18" i="3"/>
  <c r="I18" i="3" s="1"/>
  <c r="J18" i="3" l="1"/>
  <c r="K18" i="3" s="1"/>
  <c r="G19" i="3"/>
  <c r="I19" i="3" s="1"/>
  <c r="G20" i="3" l="1"/>
  <c r="I20" i="3" s="1"/>
  <c r="J19" i="3"/>
  <c r="K19" i="3" s="1"/>
  <c r="G21" i="3" l="1"/>
  <c r="I21" i="3" s="1"/>
  <c r="J20" i="3"/>
  <c r="K20" i="3" s="1"/>
  <c r="G22" i="3" l="1"/>
  <c r="I22" i="3" s="1"/>
  <c r="J21" i="3"/>
  <c r="K21" i="3" s="1"/>
  <c r="G23" i="3" l="1"/>
  <c r="I23" i="3" s="1"/>
  <c r="J22" i="3"/>
  <c r="K22" i="3" s="1"/>
  <c r="I24" i="3" l="1"/>
  <c r="J23" i="3"/>
  <c r="K23" i="3" s="1"/>
  <c r="G27" i="3" l="1"/>
  <c r="G28" i="3" s="1"/>
  <c r="J24" i="3" l="1"/>
  <c r="I27" i="3"/>
  <c r="I28" i="3" s="1"/>
  <c r="C9" i="2" s="1"/>
  <c r="K24" i="3" l="1"/>
  <c r="K27" i="3" s="1"/>
  <c r="K28" i="3" s="1"/>
  <c r="C11" i="2" s="1"/>
  <c r="J27" i="3"/>
  <c r="J28" i="3" s="1"/>
  <c r="C10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tc={9835FE25-3635-D74F-BE78-C08EF31E54C3}</author>
    <author>tc={45473CFC-25AA-0B40-8A7A-290B6CC3FBCF}</author>
    <author>tc={75A1DB19-25C7-8141-B7D1-8C0DAF5914B3}</author>
    <author>tc={8820FE33-D210-2A41-8C97-C7A3388FEDB9}</author>
    <author>tc={866D4AD8-D23E-0C4D-BA3B-92D9608A463B}</author>
    <author>tc={EA8E5BAD-38B9-8540-8A49-D59C0A3AB7C6}</author>
    <author>tc={36A157F9-E58F-3C4E-9718-19D8CDFD4ED4}</author>
    <author>tc={505E1955-209C-A14C-986F-CE60CC6E2D7A}</author>
    <author>tc={9BF91847-834E-3F43-86FF-28665001294D}</author>
    <author>tc={99FA1F2D-DB74-CD47-802F-601C101A5749}</author>
    <author>tc={C3B0CAE7-D8DA-4640-9379-0FC61E4790A7}</author>
    <author>tc={017EEDCD-5DEF-4D40-A6AB-6B5BFCBBF266}</author>
    <author>tc={8554A86F-666D-1447-AE39-084E9EEB04E5}</author>
  </authors>
  <commentList>
    <comment ref="J1" authorId="0" shapeId="0" xr:uid="{9835FE25-3635-D74F-BE78-C08EF31E54C3}">
      <text>
        <t>[Threaded comment]
Your version of Excel allows you to read this threaded comment; however, any edits to it will get removed if the file is opened in a newer version of Excel. Learn more: https://go.microsoft.com/fwlink/?linkid=870924
Comment:
    Beginning SOCwt% for the monitoring period. Determined as detailed in the ATBD</t>
      </text>
    </comment>
    <comment ref="K1" authorId="1" shapeId="0" xr:uid="{45473CFC-25AA-0B40-8A7A-290B6CC3FBCF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Final SOCwt% for the monitoring period on the project site. Determined as detailed in the ATBD. </t>
      </text>
    </comment>
    <comment ref="N1" authorId="2" shapeId="0" xr:uid="{75A1DB19-25C7-8141-B7D1-8C0DAF5914B3}">
      <text>
        <t>[Threaded comment]
Your version of Excel allows you to read this threaded comment; however, any edits to it will get removed if the file is opened in a newer version of Excel. Learn more: https://go.microsoft.com/fwlink/?linkid=870924
Comment:
    Bulk density is calculated based on the methodology given in the ATBD</t>
      </text>
    </comment>
    <comment ref="P1" authorId="3" shapeId="0" xr:uid="{8820FE33-D210-2A41-8C97-C7A3388FEDB9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[Tasks]
There is a task anchored to this comment that cannot be viewed in your client.
Comment:
    Tons C/ha = SOCwt% / 100 * bulk_density(tons/m3) * 10000(m2/ha)  * 0.30(m soil depth
Reply:
    @David Clark kindly check this should be tons per acre not per hectare. </t>
      </text>
    </comment>
    <comment ref="R1" authorId="4" shapeId="0" xr:uid="{866D4AD8-D23E-0C4D-BA3B-92D9608A463B}">
      <text>
        <t>[Threaded comment]
Your version of Excel allows you to read this threaded comment; however, any edits to it will get removed if the file is opened in a newer version of Excel. Learn more: https://go.microsoft.com/fwlink/?linkid=870924
Comment:
    For monitoring period 1, this is simply the starting SOC on the project site. Same as column R</t>
      </text>
    </comment>
    <comment ref="S1" authorId="5" shapeId="0" xr:uid="{EA8E5BAD-38B9-8540-8A49-D59C0A3AB7C6}">
      <text>
        <t>[Threaded comment]
Your version of Excel allows you to read this threaded comment; however, any edits to it will get removed if the file is opened in a newer version of Excel. Learn more: https://go.microsoft.com/fwlink/?linkid=870924
Comment:
    RothC output for baseline model in 2020. Eq 2 of VM42v1</t>
      </text>
    </comment>
    <comment ref="V1" authorId="6" shapeId="0" xr:uid="{36A157F9-E58F-3C4E-9718-19D8CDFD4ED4}">
      <text>
        <t>[Threaded comment]
Your version of Excel allows you to read this threaded comment; however, any edits to it will get removed if the file is opened in a newer version of Excel. Learn more: https://go.microsoft.com/fwlink/?linkid=870924
Comment:
    For monitoring period 1, this is simply the starting SOC on the project site. Same as column R</t>
      </text>
    </comment>
    <comment ref="W1" authorId="7" shapeId="0" xr:uid="{505E1955-209C-A14C-986F-CE60CC6E2D7A}">
      <text>
        <t>[Threaded comment]
Your version of Excel allows you to read this threaded comment; however, any edits to it will get removed if the file is opened in a newer version of Excel. Learn more: https://go.microsoft.com/fwlink/?linkid=870924
Comment:
    RothC output for 2020 for project scenario model. Eq 2 of vm42v1</t>
      </text>
    </comment>
    <comment ref="AF1" authorId="8" shapeId="0" xr:uid="{9BF91847-834E-3F43-86FF-28665001294D}">
      <text>
        <t>[Threaded comment]
Your version of Excel allows you to read this threaded comment; however, any edits to it will get removed if the file is opened in a newer version of Excel. Learn more: https://go.microsoft.com/fwlink/?linkid=870924
Comment:
    Eq 33 of VM42v1: (Project 2020-Project 2019)- (Baseline 2019-Baseline 2019)</t>
      </text>
    </comment>
    <comment ref="AI1" authorId="9" shapeId="0" xr:uid="{99FA1F2D-DB74-CD47-802F-601C101A5749}">
      <text>
        <t>[Threaded comment]
Your version of Excel allows you to read this threaded comment; however, any edits to it will get removed if the file is opened in a newer version of Excel. Learn more: https://go.microsoft.com/fwlink/?linkid=870924
Comment:
    Multiplied the soil carbon change by 44/12 to convert soil carbon to CO2e</t>
      </text>
    </comment>
    <comment ref="AL1" authorId="10" shapeId="0" xr:uid="{C3B0CAE7-D8DA-4640-9379-0FC61E4790A7}">
      <text>
        <t>[Threaded comment]
Your version of Excel allows you to read this threaded comment; however, any edits to it will get removed if the file is opened in a newer version of Excel. Learn more: https://go.microsoft.com/fwlink/?linkid=870924
Comment:
    Multiplied the CO2e removal per hectare by the number of hectares to get the total removal</t>
      </text>
    </comment>
    <comment ref="AL12" authorId="11" shapeId="0" xr:uid="{017EEDCD-5DEF-4D40-A6AB-6B5BFCBBF266}">
      <text>
        <t>[Threaded comment]
Your version of Excel allows you to read this threaded comment; however, any edits to it will get removed if the file is opened in a newer version of Excel. Learn more: https://go.microsoft.com/fwlink/?linkid=870924
Comment:
    Areal averaged deltaCO2_2019, equivalent to output of Eq32 of VM42v1, in this project</t>
      </text>
    </comment>
    <comment ref="AL14" authorId="12" shapeId="0" xr:uid="{8554A86F-666D-1447-AE39-084E9EEB04E5}">
      <text>
        <t>[Threaded comment]
Your version of Excel allows you to read this threaded comment; however, any edits to it will get removed if the file is opened in a newer version of Excel. Learn more: https://go.microsoft.com/fwlink/?linkid=870924
Comment:
    Eq 31 in VM42v1 - final net removals with uncertainty deduction removed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tc={7923C897-3C18-5F4D-9C05-562F997F6919}</author>
  </authors>
  <commentList>
    <comment ref="G1" authorId="0" shapeId="0" xr:uid="{7923C897-3C18-5F4D-9C05-562F997F6919}">
      <text>
        <t>[Threaded comment]
Your version of Excel allows you to read this threaded comment; however, any edits to it will get removed if the file is opened in a newer version of Excel. Learn more: https://go.microsoft.com/fwlink/?linkid=870924
Comment:
    Eq. 65 of VM42 v2</t>
      </text>
    </comment>
  </commentList>
</comments>
</file>

<file path=xl/sharedStrings.xml><?xml version="1.0" encoding="utf-8"?>
<sst xmlns="http://schemas.openxmlformats.org/spreadsheetml/2006/main" count="130" uniqueCount="118">
  <si>
    <t>Project Name</t>
  </si>
  <si>
    <t>Boomitra Carbon Farming in East Africa through Soil Enrichment</t>
  </si>
  <si>
    <t>VCS ID</t>
  </si>
  <si>
    <t>Version of ER Sheet</t>
  </si>
  <si>
    <t xml:space="preserve">From </t>
  </si>
  <si>
    <t>To</t>
  </si>
  <si>
    <t>Crediting Period</t>
  </si>
  <si>
    <t>No of Crediting Years</t>
  </si>
  <si>
    <t>Average Overall ER reductions (Project - Baseline) (tCO2e)</t>
  </si>
  <si>
    <r>
      <t>tCO</t>
    </r>
    <r>
      <rPr>
        <vertAlign val="subscript"/>
        <sz val="12"/>
        <color theme="1"/>
        <rFont val="Calibri (Body)"/>
      </rPr>
      <t>2e</t>
    </r>
  </si>
  <si>
    <t>Average Buffer Credits (tCO2e)</t>
  </si>
  <si>
    <t>Annual Average Emission</t>
  </si>
  <si>
    <t>Buffer</t>
  </si>
  <si>
    <t>as per NPRR</t>
  </si>
  <si>
    <t>Year</t>
  </si>
  <si>
    <t>Start Date</t>
  </si>
  <si>
    <t>End Date</t>
  </si>
  <si>
    <t>Area in hectares</t>
  </si>
  <si>
    <r>
      <t>ER Estimated at project level (tCO</t>
    </r>
    <r>
      <rPr>
        <b/>
        <vertAlign val="subscript"/>
        <sz val="12"/>
        <color theme="1"/>
        <rFont val="Calibri (Body)"/>
      </rPr>
      <t>2e</t>
    </r>
    <r>
      <rPr>
        <b/>
        <sz val="12"/>
        <color theme="1"/>
        <rFont val="Aptos Narrow"/>
        <family val="2"/>
        <scheme val="minor"/>
      </rPr>
      <t>)</t>
    </r>
  </si>
  <si>
    <r>
      <t>Baseline ER reductions  (tCO</t>
    </r>
    <r>
      <rPr>
        <b/>
        <vertAlign val="subscript"/>
        <sz val="12"/>
        <color theme="1"/>
        <rFont val="Calibri (Body)"/>
      </rPr>
      <t>2e</t>
    </r>
    <r>
      <rPr>
        <b/>
        <sz val="12"/>
        <color theme="1"/>
        <rFont val="Aptos Narrow"/>
        <family val="2"/>
        <scheme val="minor"/>
      </rPr>
      <t>)</t>
    </r>
  </si>
  <si>
    <r>
      <t>Net Emissions reductions (Project - Baseline) (tCO</t>
    </r>
    <r>
      <rPr>
        <b/>
        <vertAlign val="subscript"/>
        <sz val="12"/>
        <color theme="1"/>
        <rFont val="Calibri (Body)"/>
      </rPr>
      <t>2e</t>
    </r>
    <r>
      <rPr>
        <b/>
        <sz val="12"/>
        <color theme="1"/>
        <rFont val="Aptos Narrow"/>
        <family val="2"/>
        <scheme val="minor"/>
      </rPr>
      <t>)</t>
    </r>
  </si>
  <si>
    <r>
      <t>Buffer  (tCO</t>
    </r>
    <r>
      <rPr>
        <b/>
        <vertAlign val="subscript"/>
        <sz val="12"/>
        <color theme="1"/>
        <rFont val="Calibri (Body)"/>
      </rPr>
      <t>2e</t>
    </r>
    <r>
      <rPr>
        <b/>
        <sz val="12"/>
        <color theme="1"/>
        <rFont val="Aptos Narrow"/>
        <family val="2"/>
        <scheme val="minor"/>
      </rPr>
      <t>)</t>
    </r>
  </si>
  <si>
    <r>
      <t>Net Emission Removals (tCO</t>
    </r>
    <r>
      <rPr>
        <b/>
        <vertAlign val="subscript"/>
        <sz val="12"/>
        <color theme="1"/>
        <rFont val="Calibri (Body)"/>
      </rPr>
      <t>2e</t>
    </r>
    <r>
      <rPr>
        <b/>
        <sz val="12"/>
        <color theme="1"/>
        <rFont val="Aptos Narrow"/>
        <family val="2"/>
        <scheme val="minor"/>
      </rPr>
      <t>)</t>
    </r>
  </si>
  <si>
    <t>the numbers reported here are after uncertainity deductions</t>
  </si>
  <si>
    <t>Number of years (Crediting period)</t>
  </si>
  <si>
    <t>Total</t>
  </si>
  <si>
    <t>Average</t>
  </si>
  <si>
    <t>Farm ID</t>
  </si>
  <si>
    <t>Area (ha)</t>
  </si>
  <si>
    <t>Area fraction</t>
  </si>
  <si>
    <t>Soil Type</t>
  </si>
  <si>
    <t>Latitude</t>
  </si>
  <si>
    <t>Longitude</t>
  </si>
  <si>
    <t>Monitoring period start year</t>
  </si>
  <si>
    <t>Monitoring period end year</t>
  </si>
  <si>
    <t>Number of monitored years</t>
  </si>
  <si>
    <t>Project site soc start (wt%)</t>
  </si>
  <si>
    <t>Project site soc end (wt%)</t>
  </si>
  <si>
    <t>Sample date 1</t>
  </si>
  <si>
    <t>Sample date 2</t>
  </si>
  <si>
    <t>Bulk density start</t>
  </si>
  <si>
    <t>Bulk density end</t>
  </si>
  <si>
    <t>Project site carbon tons/ha start</t>
  </si>
  <si>
    <t>Project site carbon tons/ha end</t>
  </si>
  <si>
    <t>Baseline carbon tons/ha 2019</t>
  </si>
  <si>
    <t>Baseline carbon tons/ha 2020</t>
  </si>
  <si>
    <t>Baseline carbon tons/ha 2021</t>
  </si>
  <si>
    <t>Baseline carbon tons/ha 2022</t>
  </si>
  <si>
    <t>Project carbon tons/ha 2019</t>
  </si>
  <si>
    <t>Project carbon tons/ha 2020</t>
  </si>
  <si>
    <t>Project carbon tons/ha 2021</t>
  </si>
  <si>
    <t>Project carbon tons/ha 2022</t>
  </si>
  <si>
    <t>Baseline carbon change 2019-2020 (tons)</t>
  </si>
  <si>
    <t>Baseline carbon change 2020-2021 (tons)</t>
  </si>
  <si>
    <t>Baseline carbon change 2021-2022 (tons)</t>
  </si>
  <si>
    <t>Project carbon change 2019-2020 (tons)</t>
  </si>
  <si>
    <t>Project carbon change 2020-2021 (tons)</t>
  </si>
  <si>
    <t>Project carbon change 2021-2022 (tons)</t>
  </si>
  <si>
    <t>Net carbon stock increase 2019-2020 (tons)</t>
  </si>
  <si>
    <t>Net carbon stock increase 2020-2021 (tons)</t>
  </si>
  <si>
    <t>Net carbon stock increase 2021-2022 (tons)</t>
  </si>
  <si>
    <t>Net CO2 removal, 2020 vintage (tons CO2e)</t>
  </si>
  <si>
    <t>Net CO2 removal, 2021 vintage (tons CO2e)</t>
  </si>
  <si>
    <t>Net CO2 removal, 2022 vintage (tons CO2e)</t>
  </si>
  <si>
    <t>Total net CO2 removal 2020 vintage (tons CO2e)</t>
  </si>
  <si>
    <t>Total net CO2 removal 2021 vintage (tons CO2e)</t>
  </si>
  <si>
    <t>Total net CO2 removal 2022 vintage (tons CO2e)</t>
  </si>
  <si>
    <t>Total Area Hectares</t>
  </si>
  <si>
    <t>Total Area Acres</t>
  </si>
  <si>
    <t>areal averaged CO2</t>
  </si>
  <si>
    <t>2020 Vintage</t>
  </si>
  <si>
    <t>2021 Vintage</t>
  </si>
  <si>
    <t>2022 Vintage</t>
  </si>
  <si>
    <t>Tons ER_t, tons CO2e</t>
  </si>
  <si>
    <t>Description</t>
  </si>
  <si>
    <t>Value</t>
  </si>
  <si>
    <t>Source</t>
  </si>
  <si>
    <t>Uncertainty deduction in 2020 vintage</t>
  </si>
  <si>
    <t>Uncertainty deduction in 2021 vintage</t>
  </si>
  <si>
    <t>Uncertainty deduction in 2022 vintage</t>
  </si>
  <si>
    <t>AVERAGE Uncertainty Deduction</t>
  </si>
  <si>
    <t>no of polygons</t>
  </si>
  <si>
    <t>number of years</t>
  </si>
  <si>
    <t>Kasanga</t>
  </si>
  <si>
    <t>Lisa</t>
  </si>
  <si>
    <t>Mulinge</t>
  </si>
  <si>
    <t>Clay Loam</t>
  </si>
  <si>
    <t>0.66 significance value</t>
  </si>
  <si>
    <t>s*bsl</t>
  </si>
  <si>
    <t>ton CO2e/ha</t>
  </si>
  <si>
    <t>RothC model prediction error of baseline scenario</t>
  </si>
  <si>
    <t>s*proj</t>
  </si>
  <si>
    <t>RothC model prediction error of project scenario</t>
  </si>
  <si>
    <t>s_i_2020</t>
  </si>
  <si>
    <t>s_i_2021</t>
  </si>
  <si>
    <t>s_i_2022</t>
  </si>
  <si>
    <t>s_2020</t>
  </si>
  <si>
    <t>s_2021</t>
  </si>
  <si>
    <t>s_2022</t>
  </si>
  <si>
    <t>Units</t>
  </si>
  <si>
    <t>polygons</t>
  </si>
  <si>
    <t>years</t>
  </si>
  <si>
    <t>non-dimensional</t>
  </si>
  <si>
    <t>End-to-end calculation spreadsheet: 'Final Results'!C30</t>
  </si>
  <si>
    <t>End-to-end calculation spreadsheet: 'Final Results'!C31</t>
  </si>
  <si>
    <t>End-to-end calculation spreadsheet: 'Final Results'!C32</t>
  </si>
  <si>
    <t>End-to-end calculation spreadsheet: 'Final Results'!C33</t>
  </si>
  <si>
    <t>End-to-end calculation spreadsheet: 'Final Results'!C34</t>
  </si>
  <si>
    <t>End-to-end calculation spreadsheet: 'Final Results'!C35</t>
  </si>
  <si>
    <t>End-to-end calculation spreadsheet: 'Final Results'!C36</t>
  </si>
  <si>
    <t>End-to-end calculation spreadsheet: 'Final Results'!C37</t>
  </si>
  <si>
    <t>Total Error of sample unit in the 2021 vintage year - sum of RothC prediction errors and the propagated remote sensing error</t>
  </si>
  <si>
    <t>Total Error of sample unit in the 2020 vintage year - sum of RothC prediction errors and the propagated remote sensing error</t>
  </si>
  <si>
    <t>Total Error of sample unit in the 2022 vintage year - sum of RothC prediction errors and the propagated remote sensing error</t>
  </si>
  <si>
    <t>Combined error across all sample units, 2020 vintage</t>
  </si>
  <si>
    <t>Combined error across all sample units, 2021 vintage</t>
  </si>
  <si>
    <t>Combined error across all sample units, 2022 vintage</t>
  </si>
  <si>
    <t xml:space="preserve">Note: the uncertainty deductions calculated here use the combined error calculated for a single ranch given in the end-to-end example spreadsheet. The full calculation requires the same erorr analysis to be done for all ranches and combined.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</si>
</sst>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"/>
    <numFmt numFmtId="165" formatCode="_(* #,##0_);_(* \(#,##0\);_(* &quot;-&quot;??_);_(@_)"/>
    <numFmt numFmtId="166" formatCode="[$-409]d\-mmm\-yy;@"/>
    <numFmt numFmtId="167" formatCode="0.000"/>
  </numFmts>
  <fonts count="23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vertAlign val="subscript"/>
      <sz val="12"/>
      <color theme="1"/>
      <name val="Calibri (Body)"/>
    </font>
    <font>
      <b/>
      <vertAlign val="subscript"/>
      <sz val="12"/>
      <color theme="1"/>
      <name val="Calibri (Body)"/>
    </font>
    <font>
      <b/>
      <sz val="12"/>
      <color theme="1"/>
      <name val="Aptos Narrow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D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5">
    <xf numFmtId="0" fontId="0" fillId="0" borderId="0" xfId="0"/>
    <xf numFmtId="0" fontId="18" fillId="0" borderId="0" xfId="0" applyFont="1"/>
    <xf numFmtId="0" fontId="0" fillId="34" borderId="10" xfId="0" applyFill="1" applyBorder="1" applyAlignment="1">
      <alignment horizontal="center"/>
    </xf>
    <xf numFmtId="43" fontId="0" fillId="34" borderId="10" xfId="1" applyFont="1" applyFill="1" applyBorder="1"/>
    <xf numFmtId="0" fontId="18" fillId="0" borderId="10" xfId="0" applyFont="1" applyBorder="1"/>
    <xf numFmtId="0" fontId="19" fillId="33" borderId="10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6" fillId="35" borderId="11" xfId="0" applyFont="1" applyFill="1" applyBorder="1" applyAlignment="1">
      <alignment horizontal="left" vertical="center"/>
    </xf>
    <xf numFmtId="0" fontId="16" fillId="35" borderId="14" xfId="0" applyFont="1" applyFill="1" applyBorder="1" applyAlignment="1">
      <alignment horizontal="left" vertical="center"/>
    </xf>
    <xf numFmtId="0" fontId="16" fillId="35" borderId="16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6" fillId="0" borderId="0" xfId="0" applyFont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5" fontId="0" fillId="36" borderId="10" xfId="0" applyNumberFormat="1" applyFill="1" applyBorder="1" applyAlignment="1">
      <alignment horizontal="center"/>
    </xf>
    <xf numFmtId="15" fontId="0" fillId="36" borderId="15" xfId="0" applyNumberFormat="1" applyFill="1" applyBorder="1" applyAlignment="1">
      <alignment horizontal="center"/>
    </xf>
    <xf numFmtId="0" fontId="16" fillId="35" borderId="14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16" fillId="35" borderId="19" xfId="0" applyFont="1" applyFill="1" applyBorder="1" applyAlignment="1">
      <alignment horizontal="left" vertical="center" wrapText="1"/>
    </xf>
    <xf numFmtId="165" fontId="0" fillId="0" borderId="20" xfId="1" applyNumberFormat="1" applyFont="1" applyBorder="1" applyAlignment="1">
      <alignment horizontal="center" vertical="center"/>
    </xf>
    <xf numFmtId="165" fontId="0" fillId="0" borderId="17" xfId="1" applyNumberFormat="1" applyFont="1" applyBorder="1"/>
    <xf numFmtId="165" fontId="0" fillId="0" borderId="0" xfId="0" applyNumberFormat="1"/>
    <xf numFmtId="0" fontId="0" fillId="36" borderId="10" xfId="0" applyFill="1" applyBorder="1" applyAlignment="1">
      <alignment horizontal="center" vertical="center"/>
    </xf>
    <xf numFmtId="0" fontId="16" fillId="37" borderId="10" xfId="0" applyFont="1" applyFill="1" applyBorder="1" applyAlignment="1">
      <alignment horizontal="center" vertical="center" wrapText="1"/>
    </xf>
    <xf numFmtId="0" fontId="16" fillId="38" borderId="10" xfId="0" applyFont="1" applyFill="1" applyBorder="1" applyAlignment="1">
      <alignment horizontal="center" vertical="center" wrapText="1"/>
    </xf>
    <xf numFmtId="166" fontId="0" fillId="0" borderId="10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43" fontId="0" fillId="0" borderId="10" xfId="0" applyNumberFormat="1" applyBorder="1"/>
    <xf numFmtId="165" fontId="0" fillId="0" borderId="10" xfId="0" applyNumberFormat="1" applyBorder="1"/>
    <xf numFmtId="165" fontId="0" fillId="39" borderId="10" xfId="0" applyNumberFormat="1" applyFill="1" applyBorder="1"/>
    <xf numFmtId="165" fontId="0" fillId="39" borderId="10" xfId="1" applyNumberFormat="1" applyFont="1" applyFill="1" applyBorder="1"/>
    <xf numFmtId="165" fontId="0" fillId="0" borderId="10" xfId="1" applyNumberFormat="1" applyFont="1" applyBorder="1"/>
    <xf numFmtId="166" fontId="0" fillId="37" borderId="10" xfId="0" applyNumberFormat="1" applyFill="1" applyBorder="1" applyAlignment="1">
      <alignment horizontal="center" vertical="center"/>
    </xf>
    <xf numFmtId="165" fontId="0" fillId="37" borderId="10" xfId="1" applyNumberFormat="1" applyFont="1" applyFill="1" applyBorder="1" applyAlignment="1">
      <alignment horizontal="center" vertical="center"/>
    </xf>
    <xf numFmtId="165" fontId="16" fillId="37" borderId="10" xfId="1" applyNumberFormat="1" applyFont="1" applyFill="1" applyBorder="1" applyAlignment="1">
      <alignment horizontal="center" vertical="center"/>
    </xf>
    <xf numFmtId="43" fontId="16" fillId="37" borderId="10" xfId="1" applyFont="1" applyFill="1" applyBorder="1" applyAlignment="1">
      <alignment horizontal="center" vertical="center"/>
    </xf>
    <xf numFmtId="0" fontId="16" fillId="39" borderId="10" xfId="0" applyFont="1" applyFill="1" applyBorder="1" applyAlignment="1">
      <alignment horizontal="center" vertical="center"/>
    </xf>
    <xf numFmtId="43" fontId="16" fillId="39" borderId="10" xfId="1" applyFont="1" applyFill="1" applyBorder="1" applyAlignment="1">
      <alignment vertical="center"/>
    </xf>
    <xf numFmtId="0" fontId="0" fillId="34" borderId="10" xfId="0" applyFill="1" applyBorder="1" applyAlignment="1">
      <alignment horizontal="left"/>
    </xf>
    <xf numFmtId="9" fontId="0" fillId="39" borderId="10" xfId="2" applyFont="1" applyFill="1" applyBorder="1" applyAlignment="1">
      <alignment horizontal="left"/>
    </xf>
    <xf numFmtId="0" fontId="0" fillId="0" borderId="10" xfId="0" applyBorder="1"/>
    <xf numFmtId="10" fontId="0" fillId="0" borderId="10" xfId="2" applyNumberFormat="1" applyFont="1" applyBorder="1"/>
    <xf numFmtId="43" fontId="18" fillId="36" borderId="10" xfId="1" applyFont="1" applyFill="1" applyBorder="1"/>
    <xf numFmtId="43" fontId="18" fillId="0" borderId="0" xfId="1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22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0" xfId="0" applyFont="1" applyBorder="1" applyAlignment="1">
      <alignment horizontal="center"/>
    </xf>
    <xf numFmtId="43" fontId="0" fillId="0" borderId="0" xfId="0" applyNumberFormat="1"/>
    <xf numFmtId="43" fontId="18" fillId="0" borderId="0" xfId="0" applyNumberFormat="1" applyFont="1"/>
    <xf numFmtId="0" fontId="0" fillId="0" borderId="0" xfId="0" quotePrefix="1"/>
    <xf numFmtId="0" fontId="18" fillId="36" borderId="10" xfId="0" applyFont="1" applyFill="1" applyBorder="1" applyAlignment="1">
      <alignment horizontal="right" wrapText="1"/>
    </xf>
    <xf numFmtId="0" fontId="18" fillId="0" borderId="0" xfId="0" applyFont="1" applyAlignment="1">
      <alignment horizontal="right" wrapText="1"/>
    </xf>
    <xf numFmtId="0" fontId="18" fillId="0" borderId="0" xfId="0" applyFont="1" applyAlignment="1">
      <alignment wrapText="1"/>
    </xf>
    <xf numFmtId="14" fontId="0" fillId="0" borderId="0" xfId="0" applyNumberFormat="1"/>
    <xf numFmtId="167" fontId="0" fillId="0" borderId="10" xfId="0" applyNumberFormat="1" applyBorder="1"/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5" xfId="0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6" fillId="0" borderId="10" xfId="0" applyFont="1" applyBorder="1" applyAlignment="1">
      <alignment horizontal="center"/>
    </xf>
    <xf numFmtId="0" fontId="16" fillId="0" borderId="24" xfId="0" applyFont="1" applyBorder="1" applyAlignment="1">
      <alignment horizontal="center"/>
    </xf>
    <xf numFmtId="0" fontId="16" fillId="0" borderId="25" xfId="0" applyFont="1" applyBorder="1" applyAlignment="1">
      <alignment horizontal="center"/>
    </xf>
    <xf numFmtId="0" fontId="16" fillId="38" borderId="26" xfId="0" applyFont="1" applyFill="1" applyBorder="1" applyAlignment="1">
      <alignment horizontal="center" vertical="center" wrapText="1"/>
    </xf>
    <xf numFmtId="0" fontId="16" fillId="38" borderId="0" xfId="0" applyFont="1" applyFill="1" applyAlignment="1">
      <alignment horizontal="center" vertical="center" wrapText="1"/>
    </xf>
    <xf numFmtId="0" fontId="0" fillId="33" borderId="0" xfId="0" applyFill="1" applyAlignment="1">
      <alignment horizontal="left" wrapText="1"/>
    </xf>
  </cellXfs>
  <cellStyles count="44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te" xfId="17" builtinId="10" customBuiltin="1"/>
    <cellStyle name="Output" xfId="12" builtinId="21" customBuiltin="1"/>
    <cellStyle name="Per cent" xfId="2" builtinId="5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colors>
    <mruColors>
      <color rgb="FFFFD5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ocumenttasks/documenttask1.xml><?xml version="1.0" encoding="utf-8"?>
<Tasks xmlns="http://schemas.microsoft.com/office/tasks/2019/documenttasks">
  <Task id="{8FB5F7ED-1C48-3A42-B1E7-CD3A4EF24127}">
    <Anchor>
      <Comment id="{8820FE33-D210-2A41-8C97-C7A3388FEDB9}"/>
    </Anchor>
    <History>
      <Event time="2024-06-18T04:18:22.89" id="{DB691EFA-2B5D-3345-AEDF-9372AA5773B8}">
        <Attribution userId="S::chethan@boomitra.com::8b8fce3c-a5e2-4095-a12f-e193800a8f28" userName="Chethan T.R." userProvider="AD"/>
        <Anchor>
          <Comment id="{F04E20B7-20AF-0D4F-B571-E7207C923CCB}"/>
        </Anchor>
        <Create/>
      </Event>
      <Event time="2024-06-18T04:18:22.89" id="{EB4605BC-C8EE-C246-9AE6-4F7316EAEAF8}">
        <Attribution userId="S::chethan@boomitra.com::8b8fce3c-a5e2-4095-a12f-e193800a8f28" userName="Chethan T.R." userProvider="AD"/>
        <Anchor>
          <Comment id="{F04E20B7-20AF-0D4F-B571-E7207C923CCB}"/>
        </Anchor>
        <Assign userId="S::david@boomitra.com::82aacfc6-25ae-4167-a549-fe34e16760ac" userName="David Clark" userProvider="AD"/>
      </Event>
      <Event time="2024-06-18T04:18:22.89" id="{12B94AEC-16E9-1349-A2DE-F25DACB6B12E}">
        <Attribution userId="S::chethan@boomitra.com::8b8fce3c-a5e2-4095-a12f-e193800a8f28" userName="Chethan T.R." userProvider="AD"/>
        <Anchor>
          <Comment id="{F04E20B7-20AF-0D4F-B571-E7207C923CCB}"/>
        </Anchor>
        <SetTitle title="@David Clark kindly check this should be tons per acre not per hectare. "/>
      </Event>
    </History>
  </Task>
</Tasks>
</file>

<file path=xl/persons/person.xml><?xml version="1.0" encoding="utf-8"?>
<personList xmlns="http://schemas.microsoft.com/office/spreadsheetml/2018/threadedcomments" xmlns:x="http://schemas.openxmlformats.org/spreadsheetml/2006/main">
  <person displayName="chethan" id="{F2F9B88B-0EDF-4C4C-A44B-EEAF485AEC0F}" userId="chethan" providerId="None"/>
  <person displayName="David Clark" id="{253E3959-A1BF-3242-92BC-7555DA361E6F}" userId="david@boomitra.com" providerId="PeoplePicker"/>
  <person displayName="David Clark" id="{C681F535-6F69-3948-B1E9-B8FA24B70651}" userId="S::david@boomitra.com::82aacfc6-25ae-4167-a549-fe34e16760ac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1" dT="2024-06-07T22:52:16.94" personId="{C681F535-6F69-3948-B1E9-B8FA24B70651}" id="{9835FE25-3635-D74F-BE78-C08EF31E54C3}">
    <text>Beginning SOCwt% for the monitoring period. Determined as detailed in the ATBD</text>
  </threadedComment>
  <threadedComment ref="K1" dT="2024-06-07T22:52:57.22" personId="{C681F535-6F69-3948-B1E9-B8FA24B70651}" id="{45473CFC-25AA-0B40-8A7A-290B6CC3FBCF}">
    <text xml:space="preserve">Final SOCwt% for the monitoring period on the project site. Determined as detailed in the ATBD. </text>
  </threadedComment>
  <threadedComment ref="N1" dT="2024-06-07T22:53:36.91" personId="{C681F535-6F69-3948-B1E9-B8FA24B70651}" id="{75A1DB19-25C7-8141-B7D1-8C0DAF5914B3}">
    <text>Bulk density is calculated based on the methodology given in the ATBD</text>
  </threadedComment>
  <threadedComment ref="P1" dT="2024-06-07T22:56:53.26" personId="{C681F535-6F69-3948-B1E9-B8FA24B70651}" id="{8820FE33-D210-2A41-8C97-C7A3388FEDB9}">
    <text>Tons C/ha = SOCwt% / 100 * bulk_density(tons/m3) * 10000(m2/ha)  * 0.30(m soil depth</text>
  </threadedComment>
  <threadedComment ref="P1" dT="2024-06-18T04:18:22.98" personId="{F2F9B88B-0EDF-4C4C-A44B-EEAF485AEC0F}" id="{F04E20B7-20AF-0D4F-B571-E7207C923CCB}" parentId="{8820FE33-D210-2A41-8C97-C7A3388FEDB9}">
    <text xml:space="preserve">@David Clark kindly check this should be tons per acre not per hectare. </text>
    <mentions>
      <mention mentionpersonId="{253E3959-A1BF-3242-92BC-7555DA361E6F}" mentionId="{C3A2DD0F-485A-8C42-AC49-ACBC35E725FE}" startIndex="0" length="12"/>
    </mentions>
  </threadedComment>
  <threadedComment ref="R1" dT="2024-06-07T22:58:22.78" personId="{C681F535-6F69-3948-B1E9-B8FA24B70651}" id="{866D4AD8-D23E-0C4D-BA3B-92D9608A463B}">
    <text>For monitoring period 1, this is simply the starting SOC on the project site. Same as column R</text>
  </threadedComment>
  <threadedComment ref="S1" dT="2024-06-07T22:59:29.31" personId="{C681F535-6F69-3948-B1E9-B8FA24B70651}" id="{EA8E5BAD-38B9-8540-8A49-D59C0A3AB7C6}">
    <text>RothC output for baseline model in 2020. Eq 2 of VM42v1</text>
  </threadedComment>
  <threadedComment ref="V1" dT="2024-06-07T23:00:27.65" personId="{C681F535-6F69-3948-B1E9-B8FA24B70651}" id="{36A157F9-E58F-3C4E-9718-19D8CDFD4ED4}">
    <text>For monitoring period 1, this is simply the starting SOC on the project site. Same as column R</text>
  </threadedComment>
  <threadedComment ref="W1" dT="2024-06-07T23:01:04.02" personId="{C681F535-6F69-3948-B1E9-B8FA24B70651}" id="{505E1955-209C-A14C-986F-CE60CC6E2D7A}">
    <text>RothC output for 2020 for project scenario model. Eq 2 of vm42v1</text>
  </threadedComment>
  <threadedComment ref="AF1" dT="2024-06-07T23:04:38.15" personId="{C681F535-6F69-3948-B1E9-B8FA24B70651}" id="{9BF91847-834E-3F43-86FF-28665001294D}">
    <text>Eq 33 of VM42v1: (Project 2020-Project 2019)- (Baseline 2019-Baseline 2019)</text>
  </threadedComment>
  <threadedComment ref="AI1" dT="2024-06-07T23:07:27.67" personId="{C681F535-6F69-3948-B1E9-B8FA24B70651}" id="{99FA1F2D-DB74-CD47-802F-601C101A5749}">
    <text>Multiplied the soil carbon change by 44/12 to convert soil carbon to CO2e</text>
  </threadedComment>
  <threadedComment ref="AL1" dT="2024-06-07T23:08:53.98" personId="{C681F535-6F69-3948-B1E9-B8FA24B70651}" id="{C3B0CAE7-D8DA-4640-9379-0FC61E4790A7}">
    <text>Multiplied the CO2e removal per hectare by the number of hectares to get the total removal</text>
  </threadedComment>
  <threadedComment ref="AL12" dT="2024-06-07T23:17:24.06" personId="{C681F535-6F69-3948-B1E9-B8FA24B70651}" id="{017EEDCD-5DEF-4D40-A6AB-6B5BFCBBF266}">
    <text>Areal averaged deltaCO2_2019, equivalent to output of Eq32 of VM42v1, in this project</text>
  </threadedComment>
  <threadedComment ref="AL14" dT="2024-06-07T23:18:25.95" personId="{C681F535-6F69-3948-B1E9-B8FA24B70651}" id="{8554A86F-666D-1447-AE39-084E9EEB04E5}">
    <text>Eq 31 in VM42v1 - final net removals with uncertainty deduction removed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G1" dT="2024-06-07T23:13:45.32" personId="{C681F535-6F69-3948-B1E9-B8FA24B70651}" id="{7923C897-3C18-5F4D-9C05-562F997F6919}">
    <text>Eq. 65 of VM42 v2</text>
  </threadedComment>
</ThreadedComments>
</file>

<file path=xl/worksheets/_rels/sheet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Relationship Id="rId4" Type="http://schemas.microsoft.com/office/2019/04/relationships/documenttask" Target="../documenttasks/documenttask1.xml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4C961-AC3F-5543-B190-F10D527156EF}">
  <dimension ref="A1:G14"/>
  <sheetViews>
    <sheetView workbookViewId="0">
      <selection activeCell="D21" sqref="D21"/>
    </sheetView>
  </sheetViews>
  <sheetFormatPr baseColWidth="10" defaultColWidth="11" defaultRowHeight="16" x14ac:dyDescent="0.2"/>
  <cols>
    <col min="2" max="2" width="16.33203125" customWidth="1"/>
    <col min="3" max="3" width="15.83203125" customWidth="1"/>
    <col min="4" max="4" width="20.5" customWidth="1"/>
    <col min="5" max="5" width="4.83203125" customWidth="1"/>
    <col min="6" max="6" width="7" customWidth="1"/>
    <col min="7" max="7" width="7.83203125" customWidth="1"/>
  </cols>
  <sheetData>
    <row r="1" spans="1:7" ht="17" thickBot="1" x14ac:dyDescent="0.25"/>
    <row r="2" spans="1:7" ht="39" customHeight="1" x14ac:dyDescent="0.2">
      <c r="B2" s="7" t="s">
        <v>0</v>
      </c>
      <c r="C2" s="58" t="s">
        <v>1</v>
      </c>
      <c r="D2" s="58"/>
      <c r="E2" s="58"/>
      <c r="F2" s="58"/>
      <c r="G2" s="59"/>
    </row>
    <row r="3" spans="1:7" x14ac:dyDescent="0.2">
      <c r="B3" s="8" t="s">
        <v>2</v>
      </c>
      <c r="C3" s="60">
        <v>3774</v>
      </c>
      <c r="D3" s="60"/>
      <c r="E3" s="60"/>
      <c r="F3" s="60"/>
      <c r="G3" s="61"/>
    </row>
    <row r="4" spans="1:7" ht="35" thickBot="1" x14ac:dyDescent="0.25">
      <c r="B4" s="9" t="s">
        <v>3</v>
      </c>
      <c r="C4" s="62">
        <v>2</v>
      </c>
      <c r="D4" s="62"/>
      <c r="E4" s="62"/>
      <c r="F4" s="62"/>
      <c r="G4" s="63"/>
    </row>
    <row r="5" spans="1:7" ht="17" thickBot="1" x14ac:dyDescent="0.25">
      <c r="A5" s="10"/>
      <c r="B5" s="11"/>
      <c r="C5" s="10"/>
      <c r="D5" s="10"/>
      <c r="E5" s="10"/>
      <c r="F5" s="10"/>
      <c r="G5" s="10"/>
    </row>
    <row r="6" spans="1:7" x14ac:dyDescent="0.2">
      <c r="B6" s="7"/>
      <c r="C6" s="12" t="s">
        <v>4</v>
      </c>
      <c r="D6" s="13" t="s">
        <v>5</v>
      </c>
    </row>
    <row r="7" spans="1:7" x14ac:dyDescent="0.2">
      <c r="B7" s="8" t="s">
        <v>6</v>
      </c>
      <c r="C7" s="14">
        <v>43475</v>
      </c>
      <c r="D7" s="15">
        <v>50779</v>
      </c>
    </row>
    <row r="8" spans="1:7" ht="34" x14ac:dyDescent="0.2">
      <c r="B8" s="16" t="s">
        <v>7</v>
      </c>
      <c r="C8" s="64">
        <v>20</v>
      </c>
      <c r="D8" s="65"/>
    </row>
    <row r="9" spans="1:7" ht="68" x14ac:dyDescent="0.2">
      <c r="B9" s="18" t="s">
        <v>8</v>
      </c>
      <c r="C9" s="19">
        <f>'ER Projection'!I28</f>
        <v>5494.2273674296357</v>
      </c>
      <c r="D9" s="66" t="s">
        <v>9</v>
      </c>
    </row>
    <row r="10" spans="1:7" ht="34" x14ac:dyDescent="0.2">
      <c r="B10" s="18" t="s">
        <v>10</v>
      </c>
      <c r="C10" s="19">
        <f>'ER Projection'!J28</f>
        <v>824.8</v>
      </c>
      <c r="D10" s="67"/>
    </row>
    <row r="11" spans="1:7" ht="35" thickBot="1" x14ac:dyDescent="0.25">
      <c r="B11" s="9" t="s">
        <v>11</v>
      </c>
      <c r="C11" s="20">
        <f>'ER Projection'!K28</f>
        <v>4669</v>
      </c>
      <c r="D11" s="68"/>
    </row>
    <row r="14" spans="1:7" x14ac:dyDescent="0.2">
      <c r="C14" s="21"/>
    </row>
  </sheetData>
  <mergeCells count="5">
    <mergeCell ref="C2:G2"/>
    <mergeCell ref="C3:G3"/>
    <mergeCell ref="C4:G4"/>
    <mergeCell ref="C8:D8"/>
    <mergeCell ref="D9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EB009-A515-714D-9A56-4B044FF6A0E2}">
  <dimension ref="B1:O38"/>
  <sheetViews>
    <sheetView tabSelected="1" zoomScaleNormal="100" workbookViewId="0">
      <pane ySplit="3" topLeftCell="A4" activePane="bottomLeft" state="frozen"/>
      <selection pane="bottomLeft" activeCell="I2" sqref="I2"/>
    </sheetView>
  </sheetViews>
  <sheetFormatPr baseColWidth="10" defaultColWidth="11.1640625" defaultRowHeight="16" x14ac:dyDescent="0.2"/>
  <cols>
    <col min="2" max="2" width="14.1640625" bestFit="1" customWidth="1"/>
    <col min="3" max="3" width="14.33203125" customWidth="1"/>
    <col min="4" max="4" width="13.83203125" customWidth="1"/>
    <col min="6" max="6" width="12" bestFit="1" customWidth="1"/>
    <col min="7" max="7" width="18.1640625" bestFit="1" customWidth="1"/>
    <col min="8" max="8" width="18.83203125" bestFit="1" customWidth="1"/>
    <col min="9" max="9" width="18.1640625" bestFit="1" customWidth="1"/>
    <col min="10" max="10" width="17.1640625" bestFit="1" customWidth="1"/>
    <col min="11" max="11" width="18.1640625" bestFit="1" customWidth="1"/>
  </cols>
  <sheetData>
    <row r="1" spans="2:15" x14ac:dyDescent="0.2">
      <c r="B1" s="22" t="s">
        <v>6</v>
      </c>
      <c r="C1" s="14">
        <v>43475</v>
      </c>
      <c r="D1" s="15">
        <v>50779</v>
      </c>
      <c r="H1" s="38" t="s">
        <v>12</v>
      </c>
      <c r="I1" s="39">
        <v>0.15</v>
      </c>
      <c r="J1" s="38" t="s">
        <v>13</v>
      </c>
    </row>
    <row r="3" spans="2:15" ht="53" x14ac:dyDescent="0.2">
      <c r="B3" s="23" t="s">
        <v>14</v>
      </c>
      <c r="C3" s="23" t="s">
        <v>15</v>
      </c>
      <c r="D3" s="23" t="s">
        <v>16</v>
      </c>
      <c r="E3" s="23"/>
      <c r="F3" s="23" t="s">
        <v>17</v>
      </c>
      <c r="G3" s="23" t="s">
        <v>18</v>
      </c>
      <c r="H3" s="23" t="s">
        <v>19</v>
      </c>
      <c r="I3" s="24" t="s">
        <v>20</v>
      </c>
      <c r="J3" s="23" t="s">
        <v>21</v>
      </c>
      <c r="K3" s="23" t="s">
        <v>22</v>
      </c>
    </row>
    <row r="4" spans="2:15" x14ac:dyDescent="0.2">
      <c r="B4" s="17">
        <v>2019</v>
      </c>
      <c r="C4" s="25">
        <v>43475</v>
      </c>
      <c r="D4" s="25">
        <v>43830</v>
      </c>
      <c r="E4" s="26"/>
      <c r="F4" s="27">
        <f>rothc_yearly_carbon_stock_predi!B7</f>
        <v>9032.8060035800008</v>
      </c>
      <c r="G4" s="28">
        <v>0</v>
      </c>
      <c r="H4" s="27">
        <v>0</v>
      </c>
      <c r="I4" s="29">
        <f>G4-H4</f>
        <v>0</v>
      </c>
      <c r="J4" s="30">
        <f t="shared" ref="J4:J24" si="0">ROUNDUP(I4*$I$1,0)</f>
        <v>0</v>
      </c>
      <c r="K4" s="29">
        <f>ROUNDDOWN(I4-J4,0)</f>
        <v>0</v>
      </c>
    </row>
    <row r="5" spans="2:15" x14ac:dyDescent="0.2">
      <c r="B5" s="17">
        <v>2020</v>
      </c>
      <c r="C5" s="25">
        <f>D4+1</f>
        <v>43831</v>
      </c>
      <c r="D5" s="25">
        <f>EDATE(C5,12)-1</f>
        <v>44196</v>
      </c>
      <c r="E5" s="26"/>
      <c r="F5" s="27">
        <f>F4</f>
        <v>9032.8060035800008</v>
      </c>
      <c r="G5" s="27">
        <f>rothc_yearly_carbon_stock_predi!AC7*(44/12)</f>
        <v>15742.455955556205</v>
      </c>
      <c r="H5" s="27">
        <f>rothc_yearly_carbon_stock_predi!Z7*(44/12)</f>
        <v>-481.79086305458685</v>
      </c>
      <c r="I5" s="29">
        <f>(G5-H5)*(1-'Uncertainty calculation'!G2)</f>
        <v>6171.392081268752</v>
      </c>
      <c r="J5" s="30">
        <f>ROUNDUP(I5*$I$1,0)</f>
        <v>926</v>
      </c>
      <c r="K5" s="29">
        <f t="shared" ref="K5:K24" si="1">ROUNDDOWN(I5-J5,0)</f>
        <v>5245</v>
      </c>
      <c r="L5" s="72" t="s">
        <v>23</v>
      </c>
      <c r="M5" s="73"/>
      <c r="N5" s="73"/>
      <c r="O5" s="73"/>
    </row>
    <row r="6" spans="2:15" x14ac:dyDescent="0.2">
      <c r="B6" s="17">
        <v>2021</v>
      </c>
      <c r="C6" s="25">
        <f t="shared" ref="C6:C24" si="2">D5+1</f>
        <v>44197</v>
      </c>
      <c r="D6" s="25">
        <f t="shared" ref="D6:D23" si="3">EDATE(C6,12)-1</f>
        <v>44561</v>
      </c>
      <c r="E6" s="26"/>
      <c r="F6" s="27">
        <f t="shared" ref="F6:F24" si="4">F5</f>
        <v>9032.8060035800008</v>
      </c>
      <c r="G6" s="27">
        <f>rothc_yearly_carbon_stock_predi!AD7*(44/12)</f>
        <v>25079.534360371901</v>
      </c>
      <c r="H6" s="27">
        <f>rothc_yearly_carbon_stock_predi!AA7*(44/12)</f>
        <v>8893.4884660196094</v>
      </c>
      <c r="I6" s="29">
        <f>(G6-H6)*(1-'Uncertainty calculation'!H2)</f>
        <v>6130.7408066782436</v>
      </c>
      <c r="J6" s="30">
        <f t="shared" si="0"/>
        <v>920</v>
      </c>
      <c r="K6" s="29">
        <f t="shared" si="1"/>
        <v>5210</v>
      </c>
      <c r="L6" s="72"/>
      <c r="M6" s="73"/>
      <c r="N6" s="73"/>
      <c r="O6" s="73"/>
    </row>
    <row r="7" spans="2:15" x14ac:dyDescent="0.2">
      <c r="B7" s="17">
        <v>2022</v>
      </c>
      <c r="C7" s="25">
        <f t="shared" si="2"/>
        <v>44562</v>
      </c>
      <c r="D7" s="25">
        <f t="shared" si="3"/>
        <v>44926</v>
      </c>
      <c r="E7" s="26"/>
      <c r="F7" s="27">
        <f t="shared" si="4"/>
        <v>9032.8060035800008</v>
      </c>
      <c r="G7" s="27">
        <f>rothc_yearly_carbon_stock_predi!AE7*(44/12)</f>
        <v>36135.410107536904</v>
      </c>
      <c r="H7" s="27">
        <f>rothc_yearly_carbon_stock_predi!AB7*(44/12)</f>
        <v>21117.433710228175</v>
      </c>
      <c r="I7" s="29">
        <f>(G7-H7)*(1-'Uncertainty calculation'!I2)</f>
        <v>5056.6688703085847</v>
      </c>
      <c r="J7" s="30">
        <f t="shared" si="0"/>
        <v>759</v>
      </c>
      <c r="K7" s="29">
        <f t="shared" si="1"/>
        <v>4297</v>
      </c>
    </row>
    <row r="8" spans="2:15" x14ac:dyDescent="0.2">
      <c r="B8" s="17">
        <v>2023</v>
      </c>
      <c r="C8" s="25">
        <f t="shared" si="2"/>
        <v>44927</v>
      </c>
      <c r="D8" s="25">
        <f t="shared" si="3"/>
        <v>45291</v>
      </c>
      <c r="E8" s="26"/>
      <c r="F8" s="27">
        <f t="shared" si="4"/>
        <v>9032.8060035800008</v>
      </c>
      <c r="G8" s="27">
        <f>AVERAGE($G$5:$G$7)</f>
        <v>25652.466807821667</v>
      </c>
      <c r="H8" s="27">
        <f t="shared" ref="H8:H23" si="5">AVERAGE($H$5:$H$7)</f>
        <v>9843.0437710643982</v>
      </c>
      <c r="I8" s="29">
        <f>(G8-H8)*(1-'Uncertainty calculation'!$J$2)</f>
        <v>5774.9482114352022</v>
      </c>
      <c r="J8" s="30">
        <f t="shared" si="0"/>
        <v>867</v>
      </c>
      <c r="K8" s="29">
        <f t="shared" si="1"/>
        <v>4907</v>
      </c>
    </row>
    <row r="9" spans="2:15" x14ac:dyDescent="0.2">
      <c r="B9" s="17">
        <v>2024</v>
      </c>
      <c r="C9" s="25">
        <f t="shared" si="2"/>
        <v>45292</v>
      </c>
      <c r="D9" s="25">
        <f t="shared" si="3"/>
        <v>45657</v>
      </c>
      <c r="E9" s="26"/>
      <c r="F9" s="27">
        <f t="shared" si="4"/>
        <v>9032.8060035800008</v>
      </c>
      <c r="G9" s="27">
        <f t="shared" ref="G9:G23" si="6">G8</f>
        <v>25652.466807821667</v>
      </c>
      <c r="H9" s="27">
        <f t="shared" si="5"/>
        <v>9843.0437710643982</v>
      </c>
      <c r="I9" s="29">
        <f>(G9-H9)*(1-'Uncertainty calculation'!$J$2)</f>
        <v>5774.9482114352022</v>
      </c>
      <c r="J9" s="30">
        <f t="shared" si="0"/>
        <v>867</v>
      </c>
      <c r="K9" s="29">
        <f t="shared" si="1"/>
        <v>4907</v>
      </c>
    </row>
    <row r="10" spans="2:15" x14ac:dyDescent="0.2">
      <c r="B10" s="17">
        <v>2025</v>
      </c>
      <c r="C10" s="25">
        <f t="shared" si="2"/>
        <v>45658</v>
      </c>
      <c r="D10" s="25">
        <f t="shared" si="3"/>
        <v>46022</v>
      </c>
      <c r="E10" s="26"/>
      <c r="F10" s="27">
        <f t="shared" si="4"/>
        <v>9032.8060035800008</v>
      </c>
      <c r="G10" s="27">
        <f t="shared" si="6"/>
        <v>25652.466807821667</v>
      </c>
      <c r="H10" s="27">
        <f t="shared" si="5"/>
        <v>9843.0437710643982</v>
      </c>
      <c r="I10" s="29">
        <f>(G10-H10)*(1-'Uncertainty calculation'!$J$2)</f>
        <v>5774.9482114352022</v>
      </c>
      <c r="J10" s="30">
        <f t="shared" si="0"/>
        <v>867</v>
      </c>
      <c r="K10" s="29">
        <f t="shared" si="1"/>
        <v>4907</v>
      </c>
    </row>
    <row r="11" spans="2:15" x14ac:dyDescent="0.2">
      <c r="B11" s="17">
        <v>2026</v>
      </c>
      <c r="C11" s="25">
        <f t="shared" si="2"/>
        <v>46023</v>
      </c>
      <c r="D11" s="25">
        <f t="shared" si="3"/>
        <v>46387</v>
      </c>
      <c r="E11" s="26"/>
      <c r="F11" s="27">
        <f t="shared" si="4"/>
        <v>9032.8060035800008</v>
      </c>
      <c r="G11" s="27">
        <f t="shared" si="6"/>
        <v>25652.466807821667</v>
      </c>
      <c r="H11" s="27">
        <f t="shared" si="5"/>
        <v>9843.0437710643982</v>
      </c>
      <c r="I11" s="29">
        <f>(G11-H11)*(1-'Uncertainty calculation'!$J$2)</f>
        <v>5774.9482114352022</v>
      </c>
      <c r="J11" s="30">
        <f t="shared" si="0"/>
        <v>867</v>
      </c>
      <c r="K11" s="29">
        <f t="shared" si="1"/>
        <v>4907</v>
      </c>
    </row>
    <row r="12" spans="2:15" x14ac:dyDescent="0.2">
      <c r="B12" s="17">
        <v>2027</v>
      </c>
      <c r="C12" s="25">
        <f t="shared" si="2"/>
        <v>46388</v>
      </c>
      <c r="D12" s="25">
        <f t="shared" si="3"/>
        <v>46752</v>
      </c>
      <c r="E12" s="26"/>
      <c r="F12" s="27">
        <f t="shared" si="4"/>
        <v>9032.8060035800008</v>
      </c>
      <c r="G12" s="27">
        <f t="shared" si="6"/>
        <v>25652.466807821667</v>
      </c>
      <c r="H12" s="27">
        <f t="shared" si="5"/>
        <v>9843.0437710643982</v>
      </c>
      <c r="I12" s="29">
        <f>(G12-H12)*(1-'Uncertainty calculation'!$J$2)</f>
        <v>5774.9482114352022</v>
      </c>
      <c r="J12" s="30">
        <f t="shared" si="0"/>
        <v>867</v>
      </c>
      <c r="K12" s="29">
        <f t="shared" si="1"/>
        <v>4907</v>
      </c>
    </row>
    <row r="13" spans="2:15" x14ac:dyDescent="0.2">
      <c r="B13" s="17">
        <v>2028</v>
      </c>
      <c r="C13" s="25">
        <f t="shared" si="2"/>
        <v>46753</v>
      </c>
      <c r="D13" s="25">
        <f t="shared" si="3"/>
        <v>47118</v>
      </c>
      <c r="E13" s="26"/>
      <c r="F13" s="27">
        <f t="shared" si="4"/>
        <v>9032.8060035800008</v>
      </c>
      <c r="G13" s="27">
        <f t="shared" si="6"/>
        <v>25652.466807821667</v>
      </c>
      <c r="H13" s="27">
        <f t="shared" si="5"/>
        <v>9843.0437710643982</v>
      </c>
      <c r="I13" s="29">
        <f>(G13-H13)*(1-'Uncertainty calculation'!$J$2)</f>
        <v>5774.9482114352022</v>
      </c>
      <c r="J13" s="30">
        <f t="shared" si="0"/>
        <v>867</v>
      </c>
      <c r="K13" s="29">
        <f t="shared" si="1"/>
        <v>4907</v>
      </c>
    </row>
    <row r="14" spans="2:15" x14ac:dyDescent="0.2">
      <c r="B14" s="17">
        <v>2029</v>
      </c>
      <c r="C14" s="25">
        <f t="shared" si="2"/>
        <v>47119</v>
      </c>
      <c r="D14" s="25">
        <f t="shared" si="3"/>
        <v>47483</v>
      </c>
      <c r="E14" s="26"/>
      <c r="F14" s="27">
        <f t="shared" si="4"/>
        <v>9032.8060035800008</v>
      </c>
      <c r="G14" s="27">
        <f t="shared" si="6"/>
        <v>25652.466807821667</v>
      </c>
      <c r="H14" s="27">
        <f t="shared" si="5"/>
        <v>9843.0437710643982</v>
      </c>
      <c r="I14" s="29">
        <f>(G14-H14)*(1-'Uncertainty calculation'!$J$2)</f>
        <v>5774.9482114352022</v>
      </c>
      <c r="J14" s="30">
        <f t="shared" si="0"/>
        <v>867</v>
      </c>
      <c r="K14" s="29">
        <f t="shared" si="1"/>
        <v>4907</v>
      </c>
    </row>
    <row r="15" spans="2:15" x14ac:dyDescent="0.2">
      <c r="B15" s="17">
        <v>2030</v>
      </c>
      <c r="C15" s="25">
        <f t="shared" si="2"/>
        <v>47484</v>
      </c>
      <c r="D15" s="25">
        <f t="shared" si="3"/>
        <v>47848</v>
      </c>
      <c r="E15" s="26"/>
      <c r="F15" s="27">
        <f t="shared" si="4"/>
        <v>9032.8060035800008</v>
      </c>
      <c r="G15" s="27">
        <f t="shared" si="6"/>
        <v>25652.466807821667</v>
      </c>
      <c r="H15" s="27">
        <f t="shared" si="5"/>
        <v>9843.0437710643982</v>
      </c>
      <c r="I15" s="29">
        <f>(G15-H15)*(1-'Uncertainty calculation'!$J$2)</f>
        <v>5774.9482114352022</v>
      </c>
      <c r="J15" s="30">
        <f t="shared" si="0"/>
        <v>867</v>
      </c>
      <c r="K15" s="29">
        <f t="shared" si="1"/>
        <v>4907</v>
      </c>
    </row>
    <row r="16" spans="2:15" x14ac:dyDescent="0.2">
      <c r="B16" s="17">
        <v>2031</v>
      </c>
      <c r="C16" s="25">
        <f t="shared" si="2"/>
        <v>47849</v>
      </c>
      <c r="D16" s="25">
        <f t="shared" si="3"/>
        <v>48213</v>
      </c>
      <c r="E16" s="26"/>
      <c r="F16" s="27">
        <f t="shared" si="4"/>
        <v>9032.8060035800008</v>
      </c>
      <c r="G16" s="27">
        <f t="shared" si="6"/>
        <v>25652.466807821667</v>
      </c>
      <c r="H16" s="27">
        <f t="shared" si="5"/>
        <v>9843.0437710643982</v>
      </c>
      <c r="I16" s="29">
        <f>(G16-H16)*(1-'Uncertainty calculation'!$J$2)</f>
        <v>5774.9482114352022</v>
      </c>
      <c r="J16" s="30">
        <f t="shared" si="0"/>
        <v>867</v>
      </c>
      <c r="K16" s="29">
        <f t="shared" si="1"/>
        <v>4907</v>
      </c>
    </row>
    <row r="17" spans="2:11" x14ac:dyDescent="0.2">
      <c r="B17" s="17">
        <v>2032</v>
      </c>
      <c r="C17" s="25">
        <f t="shared" si="2"/>
        <v>48214</v>
      </c>
      <c r="D17" s="25">
        <f t="shared" si="3"/>
        <v>48579</v>
      </c>
      <c r="E17" s="26"/>
      <c r="F17" s="27">
        <f t="shared" si="4"/>
        <v>9032.8060035800008</v>
      </c>
      <c r="G17" s="27">
        <f t="shared" si="6"/>
        <v>25652.466807821667</v>
      </c>
      <c r="H17" s="27">
        <f t="shared" si="5"/>
        <v>9843.0437710643982</v>
      </c>
      <c r="I17" s="29">
        <f>(G17-H17)*(1-'Uncertainty calculation'!$J$2)</f>
        <v>5774.9482114352022</v>
      </c>
      <c r="J17" s="30">
        <f t="shared" si="0"/>
        <v>867</v>
      </c>
      <c r="K17" s="29">
        <f t="shared" si="1"/>
        <v>4907</v>
      </c>
    </row>
    <row r="18" spans="2:11" x14ac:dyDescent="0.2">
      <c r="B18" s="17">
        <v>2033</v>
      </c>
      <c r="C18" s="25">
        <f t="shared" si="2"/>
        <v>48580</v>
      </c>
      <c r="D18" s="25">
        <f t="shared" si="3"/>
        <v>48944</v>
      </c>
      <c r="E18" s="26"/>
      <c r="F18" s="27">
        <f t="shared" si="4"/>
        <v>9032.8060035800008</v>
      </c>
      <c r="G18" s="27">
        <f t="shared" si="6"/>
        <v>25652.466807821667</v>
      </c>
      <c r="H18" s="27">
        <f t="shared" si="5"/>
        <v>9843.0437710643982</v>
      </c>
      <c r="I18" s="29">
        <f>(G18-H18)*(1-'Uncertainty calculation'!$J$2)</f>
        <v>5774.9482114352022</v>
      </c>
      <c r="J18" s="30">
        <f t="shared" si="0"/>
        <v>867</v>
      </c>
      <c r="K18" s="29">
        <f t="shared" si="1"/>
        <v>4907</v>
      </c>
    </row>
    <row r="19" spans="2:11" x14ac:dyDescent="0.2">
      <c r="B19" s="17">
        <v>2034</v>
      </c>
      <c r="C19" s="25">
        <f t="shared" si="2"/>
        <v>48945</v>
      </c>
      <c r="D19" s="25">
        <f t="shared" si="3"/>
        <v>49309</v>
      </c>
      <c r="E19" s="26"/>
      <c r="F19" s="27">
        <f t="shared" si="4"/>
        <v>9032.8060035800008</v>
      </c>
      <c r="G19" s="27">
        <f t="shared" si="6"/>
        <v>25652.466807821667</v>
      </c>
      <c r="H19" s="27">
        <f t="shared" si="5"/>
        <v>9843.0437710643982</v>
      </c>
      <c r="I19" s="29">
        <f>(G19-H19)*(1-'Uncertainty calculation'!$J$2)</f>
        <v>5774.9482114352022</v>
      </c>
      <c r="J19" s="30">
        <f t="shared" si="0"/>
        <v>867</v>
      </c>
      <c r="K19" s="29">
        <f t="shared" si="1"/>
        <v>4907</v>
      </c>
    </row>
    <row r="20" spans="2:11" x14ac:dyDescent="0.2">
      <c r="B20" s="17">
        <v>2035</v>
      </c>
      <c r="C20" s="25">
        <f t="shared" si="2"/>
        <v>49310</v>
      </c>
      <c r="D20" s="25">
        <f t="shared" si="3"/>
        <v>49674</v>
      </c>
      <c r="E20" s="26"/>
      <c r="F20" s="27">
        <f t="shared" si="4"/>
        <v>9032.8060035800008</v>
      </c>
      <c r="G20" s="27">
        <f t="shared" si="6"/>
        <v>25652.466807821667</v>
      </c>
      <c r="H20" s="27">
        <f t="shared" si="5"/>
        <v>9843.0437710643982</v>
      </c>
      <c r="I20" s="29">
        <f>(G20-H20)*(1-'Uncertainty calculation'!$J$2)</f>
        <v>5774.9482114352022</v>
      </c>
      <c r="J20" s="30">
        <f t="shared" si="0"/>
        <v>867</v>
      </c>
      <c r="K20" s="29">
        <f t="shared" si="1"/>
        <v>4907</v>
      </c>
    </row>
    <row r="21" spans="2:11" x14ac:dyDescent="0.2">
      <c r="B21" s="17">
        <v>2036</v>
      </c>
      <c r="C21" s="25">
        <f t="shared" si="2"/>
        <v>49675</v>
      </c>
      <c r="D21" s="25">
        <f t="shared" si="3"/>
        <v>50040</v>
      </c>
      <c r="E21" s="26"/>
      <c r="F21" s="27">
        <f t="shared" si="4"/>
        <v>9032.8060035800008</v>
      </c>
      <c r="G21" s="27">
        <f t="shared" si="6"/>
        <v>25652.466807821667</v>
      </c>
      <c r="H21" s="27">
        <f t="shared" si="5"/>
        <v>9843.0437710643982</v>
      </c>
      <c r="I21" s="29">
        <f>(G21-H21)*(1-'Uncertainty calculation'!$J$2)</f>
        <v>5774.9482114352022</v>
      </c>
      <c r="J21" s="30">
        <f t="shared" si="0"/>
        <v>867</v>
      </c>
      <c r="K21" s="29">
        <f t="shared" si="1"/>
        <v>4907</v>
      </c>
    </row>
    <row r="22" spans="2:11" x14ac:dyDescent="0.2">
      <c r="B22" s="17">
        <v>2037</v>
      </c>
      <c r="C22" s="25">
        <f t="shared" si="2"/>
        <v>50041</v>
      </c>
      <c r="D22" s="25">
        <f t="shared" si="3"/>
        <v>50405</v>
      </c>
      <c r="E22" s="26"/>
      <c r="F22" s="27">
        <f t="shared" si="4"/>
        <v>9032.8060035800008</v>
      </c>
      <c r="G22" s="27">
        <f t="shared" si="6"/>
        <v>25652.466807821667</v>
      </c>
      <c r="H22" s="27">
        <f t="shared" si="5"/>
        <v>9843.0437710643982</v>
      </c>
      <c r="I22" s="29">
        <f>(G22-H22)*(1-'Uncertainty calculation'!$J$2)</f>
        <v>5774.9482114352022</v>
      </c>
      <c r="J22" s="30">
        <f t="shared" si="0"/>
        <v>867</v>
      </c>
      <c r="K22" s="29">
        <f t="shared" si="1"/>
        <v>4907</v>
      </c>
    </row>
    <row r="23" spans="2:11" x14ac:dyDescent="0.2">
      <c r="B23" s="17">
        <v>2038</v>
      </c>
      <c r="C23" s="25">
        <f t="shared" si="2"/>
        <v>50406</v>
      </c>
      <c r="D23" s="25">
        <f t="shared" si="3"/>
        <v>50770</v>
      </c>
      <c r="E23" s="26"/>
      <c r="F23" s="27">
        <f t="shared" si="4"/>
        <v>9032.8060035800008</v>
      </c>
      <c r="G23" s="27">
        <f t="shared" si="6"/>
        <v>25652.466807821667</v>
      </c>
      <c r="H23" s="27">
        <f t="shared" si="5"/>
        <v>9843.0437710643982</v>
      </c>
      <c r="I23" s="29">
        <f>(G23-H23)*(1-'Uncertainty calculation'!$J$2)</f>
        <v>5774.9482114352022</v>
      </c>
      <c r="J23" s="30">
        <f t="shared" si="0"/>
        <v>867</v>
      </c>
      <c r="K23" s="29">
        <f t="shared" si="1"/>
        <v>4907</v>
      </c>
    </row>
    <row r="24" spans="2:11" x14ac:dyDescent="0.2">
      <c r="B24" s="17">
        <v>2039</v>
      </c>
      <c r="C24" s="25">
        <f t="shared" si="2"/>
        <v>50771</v>
      </c>
      <c r="D24" s="25">
        <f>D1</f>
        <v>50779</v>
      </c>
      <c r="E24" s="26">
        <f>DATEDIF(C24,D24,"D")</f>
        <v>8</v>
      </c>
      <c r="F24" s="27">
        <f t="shared" si="4"/>
        <v>9032.8060035800008</v>
      </c>
      <c r="G24" s="27">
        <f>(G23/365)*E24</f>
        <v>562.24584784266665</v>
      </c>
      <c r="H24" s="27">
        <f>(H23/365)*E24</f>
        <v>215.73794566716489</v>
      </c>
      <c r="I24" s="29">
        <f>(G24-H24)*(1-'Uncertainty calculation'!$J$2)</f>
        <v>126.57420737392222</v>
      </c>
      <c r="J24" s="30">
        <f t="shared" si="0"/>
        <v>19</v>
      </c>
      <c r="K24" s="29">
        <f t="shared" si="1"/>
        <v>107</v>
      </c>
    </row>
    <row r="25" spans="2:11" x14ac:dyDescent="0.2">
      <c r="B25" s="17"/>
      <c r="C25" s="25"/>
      <c r="D25" s="25"/>
      <c r="E25" s="26"/>
      <c r="F25" s="31"/>
      <c r="G25" s="28"/>
      <c r="H25" s="28"/>
      <c r="I25" s="28"/>
      <c r="J25" s="31"/>
      <c r="K25" s="28"/>
    </row>
    <row r="26" spans="2:11" x14ac:dyDescent="0.2">
      <c r="B26" s="69" t="s">
        <v>24</v>
      </c>
      <c r="C26" s="69"/>
      <c r="D26" s="69"/>
      <c r="E26" s="69"/>
      <c r="F26" s="69"/>
      <c r="G26" s="70">
        <v>20</v>
      </c>
      <c r="H26" s="70"/>
      <c r="I26" s="70"/>
      <c r="J26" s="70"/>
      <c r="K26" s="71"/>
    </row>
    <row r="27" spans="2:11" ht="34" x14ac:dyDescent="0.2">
      <c r="B27" s="23" t="s">
        <v>6</v>
      </c>
      <c r="C27" s="32">
        <f>C1</f>
        <v>43475</v>
      </c>
      <c r="D27" s="32">
        <f>D1</f>
        <v>50779</v>
      </c>
      <c r="E27" s="33"/>
      <c r="F27" s="34" t="s">
        <v>25</v>
      </c>
      <c r="G27" s="35">
        <f>SUM(G4:G24)</f>
        <v>487959.11519645422</v>
      </c>
      <c r="H27" s="35">
        <f>SUM(H4:H24)</f>
        <v>187233.56959589079</v>
      </c>
      <c r="I27" s="35">
        <f>SUM(I4:I24)</f>
        <v>109884.54734859271</v>
      </c>
      <c r="J27" s="35">
        <f>SUM(J4:J24)</f>
        <v>16496</v>
      </c>
      <c r="K27" s="35">
        <f>SUM(K4:K24)</f>
        <v>93371</v>
      </c>
    </row>
    <row r="28" spans="2:11" x14ac:dyDescent="0.2">
      <c r="F28" s="36" t="s">
        <v>26</v>
      </c>
      <c r="G28" s="37">
        <f>G27/$G$26</f>
        <v>24397.955759822711</v>
      </c>
      <c r="H28" s="37">
        <f t="shared" ref="H28:J28" si="7">H27/$G$26</f>
        <v>9361.6784797945402</v>
      </c>
      <c r="I28" s="37">
        <f t="shared" si="7"/>
        <v>5494.2273674296357</v>
      </c>
      <c r="J28" s="37">
        <f t="shared" si="7"/>
        <v>824.8</v>
      </c>
      <c r="K28" s="37">
        <f>ROUND(K27/$G$26,0)</f>
        <v>4669</v>
      </c>
    </row>
    <row r="33" spans="5:7" x14ac:dyDescent="0.2">
      <c r="E33" s="44"/>
      <c r="F33" s="50"/>
    </row>
    <row r="34" spans="5:7" x14ac:dyDescent="0.2">
      <c r="F34" s="50"/>
    </row>
    <row r="35" spans="5:7" x14ac:dyDescent="0.2">
      <c r="F35" s="50"/>
    </row>
    <row r="38" spans="5:7" x14ac:dyDescent="0.2">
      <c r="G38" s="50"/>
    </row>
  </sheetData>
  <mergeCells count="3">
    <mergeCell ref="B26:F26"/>
    <mergeCell ref="G26:K26"/>
    <mergeCell ref="L5:O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16"/>
  <sheetViews>
    <sheetView topLeftCell="P1" zoomScale="120" zoomScaleNormal="120" workbookViewId="0">
      <pane ySplit="1" topLeftCell="A2" activePane="bottomLeft" state="frozen"/>
      <selection activeCell="O1" sqref="O1"/>
      <selection pane="bottomLeft" activeCell="V4" sqref="V4"/>
    </sheetView>
  </sheetViews>
  <sheetFormatPr baseColWidth="10" defaultColWidth="10.83203125" defaultRowHeight="16" x14ac:dyDescent="0.2"/>
  <cols>
    <col min="1" max="1" width="36.83203125" style="1" bestFit="1" customWidth="1"/>
    <col min="2" max="2" width="20.83203125" style="1" customWidth="1"/>
    <col min="3" max="3" width="16.83203125" style="1" bestFit="1" customWidth="1"/>
    <col min="4" max="47" width="20.83203125" style="1" customWidth="1"/>
    <col min="48" max="16384" width="10.83203125" style="1"/>
  </cols>
  <sheetData>
    <row r="1" spans="1:42" s="6" customFormat="1" ht="51" x14ac:dyDescent="0.2">
      <c r="A1" s="5" t="s">
        <v>27</v>
      </c>
      <c r="B1" s="5" t="s">
        <v>28</v>
      </c>
      <c r="C1" s="5" t="s">
        <v>29</v>
      </c>
      <c r="D1" s="5" t="s">
        <v>30</v>
      </c>
      <c r="E1" s="5" t="s">
        <v>31</v>
      </c>
      <c r="F1" s="5" t="s">
        <v>32</v>
      </c>
      <c r="G1" s="5" t="s">
        <v>33</v>
      </c>
      <c r="H1" s="5" t="s">
        <v>34</v>
      </c>
      <c r="I1" s="5" t="s">
        <v>35</v>
      </c>
      <c r="J1" s="5" t="s">
        <v>36</v>
      </c>
      <c r="K1" s="5" t="s">
        <v>37</v>
      </c>
      <c r="L1" s="5" t="s">
        <v>38</v>
      </c>
      <c r="M1" s="5" t="s">
        <v>39</v>
      </c>
      <c r="N1" s="5" t="s">
        <v>40</v>
      </c>
      <c r="O1" s="5" t="s">
        <v>41</v>
      </c>
      <c r="P1" s="5" t="s">
        <v>42</v>
      </c>
      <c r="Q1" s="5" t="s">
        <v>43</v>
      </c>
      <c r="R1" s="5" t="s">
        <v>44</v>
      </c>
      <c r="S1" s="5" t="s">
        <v>45</v>
      </c>
      <c r="T1" s="5" t="s">
        <v>46</v>
      </c>
      <c r="U1" s="5" t="s">
        <v>47</v>
      </c>
      <c r="V1" s="5" t="s">
        <v>48</v>
      </c>
      <c r="W1" s="5" t="s">
        <v>49</v>
      </c>
      <c r="X1" s="5" t="s">
        <v>50</v>
      </c>
      <c r="Y1" s="5" t="s">
        <v>51</v>
      </c>
      <c r="Z1" s="5" t="s">
        <v>52</v>
      </c>
      <c r="AA1" s="5" t="s">
        <v>53</v>
      </c>
      <c r="AB1" s="5" t="s">
        <v>54</v>
      </c>
      <c r="AC1" s="5" t="s">
        <v>55</v>
      </c>
      <c r="AD1" s="5" t="s">
        <v>56</v>
      </c>
      <c r="AE1" s="5" t="s">
        <v>57</v>
      </c>
      <c r="AF1" s="5" t="s">
        <v>58</v>
      </c>
      <c r="AG1" s="5" t="s">
        <v>59</v>
      </c>
      <c r="AH1" s="5" t="s">
        <v>60</v>
      </c>
      <c r="AI1" s="5" t="s">
        <v>61</v>
      </c>
      <c r="AJ1" s="5" t="s">
        <v>62</v>
      </c>
      <c r="AK1" s="5" t="s">
        <v>63</v>
      </c>
      <c r="AL1" s="5" t="s">
        <v>64</v>
      </c>
      <c r="AM1" s="5" t="s">
        <v>65</v>
      </c>
      <c r="AN1" s="5" t="s">
        <v>66</v>
      </c>
    </row>
    <row r="2" spans="1:42" s="6" customFormat="1" x14ac:dyDescent="0.2">
      <c r="A2" t="s">
        <v>83</v>
      </c>
      <c r="B2">
        <v>1319.79840494</v>
      </c>
      <c r="C2" s="52">
        <f>B2/SUM($B$2:$B$4)</f>
        <v>0.14611167387154336</v>
      </c>
      <c r="D2" t="s">
        <v>86</v>
      </c>
      <c r="E2">
        <v>-1.4643157499999999</v>
      </c>
      <c r="F2">
        <v>37.069700750000003</v>
      </c>
      <c r="G2">
        <v>2019</v>
      </c>
      <c r="H2">
        <v>2022</v>
      </c>
      <c r="I2" s="49">
        <f t="shared" ref="I2:I4" si="0">H2-G2</f>
        <v>3</v>
      </c>
      <c r="J2">
        <v>0.64235399199999998</v>
      </c>
      <c r="K2" s="52">
        <v>0.727585395333333</v>
      </c>
      <c r="L2" s="56">
        <v>43497</v>
      </c>
      <c r="M2" s="56">
        <v>44593</v>
      </c>
      <c r="N2">
        <v>1.24940329218107</v>
      </c>
      <c r="O2">
        <v>1.24940329218107</v>
      </c>
      <c r="P2" s="4">
        <f t="shared" ref="P2:P4" si="1">J2/100*N2*0.3*10000</f>
        <v>24.076775770513581</v>
      </c>
      <c r="Q2" s="4">
        <f t="shared" ref="Q2:Q4" si="2">K2/100*O2*0.3*10000</f>
        <v>27.271427648169951</v>
      </c>
      <c r="R2" s="52">
        <v>24.0767757705135</v>
      </c>
      <c r="S2" s="52">
        <v>24.300422806768001</v>
      </c>
      <c r="T2" s="52">
        <v>24.786101824582701</v>
      </c>
      <c r="U2" s="52">
        <v>25.568341808209201</v>
      </c>
      <c r="V2" s="52">
        <v>24.0767757705135</v>
      </c>
      <c r="W2" s="52">
        <v>24.881866362308401</v>
      </c>
      <c r="X2" s="52">
        <v>25.950085064634901</v>
      </c>
      <c r="Y2" s="52">
        <v>27.271427648170199</v>
      </c>
      <c r="Z2" s="4">
        <f>IF(R2&lt;&gt;"", (S2-R2), "0")*B2</f>
        <v>295.16900171824921</v>
      </c>
      <c r="AA2" s="4">
        <f>IF(S2&lt;&gt;"", (T2-S2), "0")*B2</f>
        <v>640.99839302466705</v>
      </c>
      <c r="AB2" s="4">
        <f>IF(T2&lt;&gt;"", (U2-T2), "0")*B2</f>
        <v>1032.3990826705462</v>
      </c>
      <c r="AC2" s="4">
        <f>IF(V2&lt;&gt;"", (W2-V2), "0")*B2</f>
        <v>1062.5572788831109</v>
      </c>
      <c r="AD2" s="4">
        <f>IF(W2&lt;&gt;"", (X2-W2), "0")*B2</f>
        <v>1409.8333394575925</v>
      </c>
      <c r="AE2" s="4">
        <f>IF(X2&lt;&gt;"", (Y2-X2), "0")*B2</f>
        <v>1743.9058341291848</v>
      </c>
      <c r="AF2" s="4">
        <f t="shared" ref="AF2:AF4" si="3">IF(Z2&lt;&gt;"", AC2-Z2, "")</f>
        <v>767.38827716486173</v>
      </c>
      <c r="AG2" s="4">
        <f t="shared" ref="AG2:AG4" si="4">IF(AA2&lt;&gt;"", AD2-AA2, "")</f>
        <v>768.83494643292545</v>
      </c>
      <c r="AH2" s="4">
        <f t="shared" ref="AH2:AH4" si="5">IF(AB2&lt;&gt;"", AE2-AB2, "")</f>
        <v>711.50675145863852</v>
      </c>
      <c r="AI2" s="4">
        <f t="shared" ref="AI2:AI4" si="6">IF(AF2&lt;&gt;"", AF2*44/12, "")</f>
        <v>2813.75701627116</v>
      </c>
      <c r="AJ2" s="4">
        <f t="shared" ref="AJ2:AJ4" si="7">IF(AG2&lt;&gt;"", AG2*44/12, "")</f>
        <v>2819.0614702540602</v>
      </c>
      <c r="AK2" s="4">
        <f t="shared" ref="AK2:AK4" si="8">IF(AH2&lt;&gt;"", AH2*44/12, "")</f>
        <v>2608.8580886816744</v>
      </c>
      <c r="AL2" s="4">
        <f t="shared" ref="AL2:AL4" si="9">IF(AI2&lt;&gt;"", AI2, "")</f>
        <v>2813.75701627116</v>
      </c>
      <c r="AM2" s="4">
        <f t="shared" ref="AM2:AM4" si="10">IF(AJ2&lt;&gt;"", AJ2, "")</f>
        <v>2819.0614702540602</v>
      </c>
      <c r="AN2" s="4">
        <f t="shared" ref="AN2:AN4" si="11">IF(AK2&lt;&gt;"", AK2, "")</f>
        <v>2608.8580886816744</v>
      </c>
      <c r="AP2" s="48"/>
    </row>
    <row r="3" spans="1:42" s="6" customFormat="1" x14ac:dyDescent="0.2">
      <c r="A3" t="s">
        <v>84</v>
      </c>
      <c r="B3">
        <v>2154.7344195599999</v>
      </c>
      <c r="C3" s="52">
        <f t="shared" ref="C3:C4" si="12">B3/SUM($B$2:$B$4)</f>
        <v>0.2385454108840605</v>
      </c>
      <c r="D3" t="s">
        <v>86</v>
      </c>
      <c r="E3">
        <v>-1.689426675</v>
      </c>
      <c r="F3">
        <v>37.114753020000002</v>
      </c>
      <c r="G3">
        <v>2019</v>
      </c>
      <c r="H3">
        <v>2022</v>
      </c>
      <c r="I3" s="49">
        <f t="shared" si="0"/>
        <v>3</v>
      </c>
      <c r="J3">
        <v>0.67068430000000001</v>
      </c>
      <c r="K3" s="52">
        <v>0.75451087099999903</v>
      </c>
      <c r="L3" s="56">
        <v>43497</v>
      </c>
      <c r="M3" s="56">
        <v>44593</v>
      </c>
      <c r="N3" s="52">
        <v>1.2576748971193401</v>
      </c>
      <c r="O3" s="52">
        <v>1.2576748971193401</v>
      </c>
      <c r="P3" s="4">
        <f t="shared" si="1"/>
        <v>25.305084240061699</v>
      </c>
      <c r="Q3" s="4">
        <f t="shared" si="2"/>
        <v>28.467881461810425</v>
      </c>
      <c r="R3" s="52">
        <v>25.305084240061699</v>
      </c>
      <c r="S3" s="52">
        <v>25.3575041737347</v>
      </c>
      <c r="T3" s="52">
        <v>25.686537105761499</v>
      </c>
      <c r="U3" s="52">
        <v>26.369714125787802</v>
      </c>
      <c r="V3" s="52">
        <v>25.305084240061699</v>
      </c>
      <c r="W3" s="52">
        <v>26.0737741248576</v>
      </c>
      <c r="X3" s="52">
        <v>27.119393059331799</v>
      </c>
      <c r="Y3" s="52">
        <v>28.467881461810599</v>
      </c>
      <c r="Z3" s="4">
        <f>IF(R3&lt;&gt;"", (S3-R3), "0")*B3</f>
        <v>112.95103535626683</v>
      </c>
      <c r="AA3" s="4">
        <f>IF(S3&lt;&gt;"", (T3-S3), "0")*B3</f>
        <v>708.97858380688876</v>
      </c>
      <c r="AB3" s="4">
        <f>IF(T3&lt;&gt;"", (U3-T3), "0")*B3</f>
        <v>1472.0650397031063</v>
      </c>
      <c r="AC3" s="4">
        <f>IF(V3&lt;&gt;"", (W3-V3), "0")*B3</f>
        <v>1656.3225527373384</v>
      </c>
      <c r="AD3" s="4">
        <f>IF(W3&lt;&gt;"", (X3-W3), "0")*B3</f>
        <v>2253.0311078552081</v>
      </c>
      <c r="AE3" s="4">
        <f>IF(X3&lt;&gt;"", (Y3-X3), "0")*B3</f>
        <v>2905.6343751985492</v>
      </c>
      <c r="AF3" s="4">
        <f t="shared" si="3"/>
        <v>1543.3715173810715</v>
      </c>
      <c r="AG3" s="4">
        <f t="shared" si="4"/>
        <v>1544.0525240483194</v>
      </c>
      <c r="AH3" s="4">
        <f t="shared" si="5"/>
        <v>1433.5693354954428</v>
      </c>
      <c r="AI3" s="4">
        <f t="shared" si="6"/>
        <v>5659.0288970639294</v>
      </c>
      <c r="AJ3" s="4">
        <f t="shared" si="7"/>
        <v>5661.5259215105043</v>
      </c>
      <c r="AK3" s="4">
        <f t="shared" si="8"/>
        <v>5256.420896816624</v>
      </c>
      <c r="AL3" s="4">
        <f t="shared" si="9"/>
        <v>5659.0288970639294</v>
      </c>
      <c r="AM3" s="4">
        <f t="shared" si="10"/>
        <v>5661.5259215105043</v>
      </c>
      <c r="AN3" s="4">
        <f t="shared" si="11"/>
        <v>5256.420896816624</v>
      </c>
      <c r="AP3" s="48"/>
    </row>
    <row r="4" spans="1:42" x14ac:dyDescent="0.2">
      <c r="A4" t="s">
        <v>85</v>
      </c>
      <c r="B4">
        <v>5558.2731790799999</v>
      </c>
      <c r="C4" s="52">
        <f t="shared" si="12"/>
        <v>0.61534291524439599</v>
      </c>
      <c r="D4" t="s">
        <v>86</v>
      </c>
      <c r="E4">
        <v>-1.5832792250000001</v>
      </c>
      <c r="F4">
        <v>37.028280279999997</v>
      </c>
      <c r="G4">
        <v>2019</v>
      </c>
      <c r="H4">
        <v>2022</v>
      </c>
      <c r="I4" s="49">
        <f t="shared" si="0"/>
        <v>3</v>
      </c>
      <c r="J4" s="52">
        <v>0.69865480633333299</v>
      </c>
      <c r="K4" s="52">
        <v>0.74642629233333302</v>
      </c>
      <c r="L4" s="56">
        <v>43497</v>
      </c>
      <c r="M4" s="56">
        <v>44593</v>
      </c>
      <c r="N4" s="52">
        <v>1.24997942386831</v>
      </c>
      <c r="O4" s="52">
        <v>1.24997942386831</v>
      </c>
      <c r="P4" s="4">
        <f t="shared" si="1"/>
        <v>26.199123969100956</v>
      </c>
      <c r="Q4" s="4">
        <f t="shared" si="2"/>
        <v>27.990525205529348</v>
      </c>
      <c r="R4" s="52">
        <v>26.199123969100999</v>
      </c>
      <c r="S4" s="52">
        <v>26.102058292802301</v>
      </c>
      <c r="T4" s="52">
        <v>26.295557216458199</v>
      </c>
      <c r="U4" s="52">
        <v>26.8811412414871</v>
      </c>
      <c r="V4" s="52">
        <v>26.199123969100999</v>
      </c>
      <c r="W4" s="52">
        <v>26.482398503554201</v>
      </c>
      <c r="X4" s="52">
        <v>27.053980442351101</v>
      </c>
      <c r="Y4" s="52">
        <v>27.990525205529501</v>
      </c>
      <c r="Z4" s="4">
        <f>IF(R4&lt;&gt;"", (S4-R4), "0")*B4</f>
        <v>-539.51754518031248</v>
      </c>
      <c r="AA4" s="4">
        <f>IF(S4&lt;&gt;"", (T4-S4), "0")*B4</f>
        <v>1075.5198775374286</v>
      </c>
      <c r="AB4" s="4">
        <f>IF(T4&lt;&gt;"", (U4-T4), "0")*B4</f>
        <v>3254.8359804158495</v>
      </c>
      <c r="AC4" s="4">
        <f>IF(V4&lt;&gt;"", (W4-V4), "0")*B4</f>
        <v>1574.5172471676069</v>
      </c>
      <c r="AD4" s="4">
        <f>IF(W4&lt;&gt;"", (X4-W4), "0")*B4</f>
        <v>3177.0085600613547</v>
      </c>
      <c r="AE4" s="4">
        <f>IF(X4&lt;&gt;"", (Y4-X4), "0")*B4</f>
        <v>5205.5716381823313</v>
      </c>
      <c r="AF4" s="4">
        <f t="shared" si="3"/>
        <v>2114.0347923479194</v>
      </c>
      <c r="AG4" s="4">
        <f t="shared" si="4"/>
        <v>2101.4886825239264</v>
      </c>
      <c r="AH4" s="4">
        <f t="shared" si="5"/>
        <v>1950.7356577664818</v>
      </c>
      <c r="AI4" s="4">
        <f t="shared" si="6"/>
        <v>7751.4609052757041</v>
      </c>
      <c r="AJ4" s="4">
        <f t="shared" si="7"/>
        <v>7705.4585025877304</v>
      </c>
      <c r="AK4" s="4">
        <f t="shared" si="8"/>
        <v>7152.6974118104336</v>
      </c>
      <c r="AL4" s="4">
        <f t="shared" si="9"/>
        <v>7751.4609052757041</v>
      </c>
      <c r="AM4" s="4">
        <f t="shared" si="10"/>
        <v>7705.4585025877304</v>
      </c>
      <c r="AN4" s="4">
        <f t="shared" si="11"/>
        <v>7152.6974118104336</v>
      </c>
      <c r="AP4" s="48"/>
    </row>
    <row r="5" spans="1:42" x14ac:dyDescent="0.2">
      <c r="AL5"/>
      <c r="AM5"/>
      <c r="AN5"/>
      <c r="AP5" s="48"/>
    </row>
    <row r="6" spans="1:42" x14ac:dyDescent="0.2">
      <c r="AL6"/>
      <c r="AM6"/>
      <c r="AN6"/>
      <c r="AP6" s="48"/>
    </row>
    <row r="7" spans="1:42" ht="17" x14ac:dyDescent="0.2">
      <c r="A7" s="53" t="s">
        <v>67</v>
      </c>
      <c r="B7" s="42">
        <f>SUM(B2:B4)</f>
        <v>9032.8060035800008</v>
      </c>
      <c r="V7" s="43">
        <f t="shared" ref="V7:AN7" si="13">SUM(V2:V4)</f>
        <v>75.580983979676191</v>
      </c>
      <c r="W7" s="43">
        <f t="shared" si="13"/>
        <v>77.438038990720202</v>
      </c>
      <c r="X7" s="43">
        <f t="shared" si="13"/>
        <v>80.123458566317808</v>
      </c>
      <c r="Y7" s="43">
        <f t="shared" si="13"/>
        <v>83.729834315510288</v>
      </c>
      <c r="Z7" s="43">
        <f t="shared" si="13"/>
        <v>-131.39750810579642</v>
      </c>
      <c r="AA7" s="43">
        <f t="shared" si="13"/>
        <v>2425.4968543689847</v>
      </c>
      <c r="AB7" s="43">
        <f t="shared" si="13"/>
        <v>5759.3001027895025</v>
      </c>
      <c r="AC7" s="43">
        <f t="shared" si="13"/>
        <v>4293.3970787880562</v>
      </c>
      <c r="AD7" s="43">
        <f t="shared" si="13"/>
        <v>6839.8730073741553</v>
      </c>
      <c r="AE7" s="43">
        <f t="shared" si="13"/>
        <v>9855.1118475100648</v>
      </c>
      <c r="AF7" s="43">
        <f t="shared" si="13"/>
        <v>4424.7945868938532</v>
      </c>
      <c r="AG7" s="43">
        <f t="shared" si="13"/>
        <v>4414.3761530051706</v>
      </c>
      <c r="AH7" s="43">
        <f t="shared" si="13"/>
        <v>4095.8117447205632</v>
      </c>
      <c r="AI7" s="43">
        <f t="shared" si="13"/>
        <v>16224.246818610794</v>
      </c>
      <c r="AJ7" s="43">
        <f t="shared" si="13"/>
        <v>16186.045894352294</v>
      </c>
      <c r="AK7" s="43">
        <f t="shared" si="13"/>
        <v>15017.976397308732</v>
      </c>
      <c r="AL7" s="43">
        <f t="shared" si="13"/>
        <v>16224.246818610794</v>
      </c>
      <c r="AM7" s="43">
        <f t="shared" si="13"/>
        <v>16186.045894352294</v>
      </c>
      <c r="AN7" s="43">
        <f t="shared" si="13"/>
        <v>15017.976397308732</v>
      </c>
      <c r="AP7" s="48"/>
    </row>
    <row r="8" spans="1:42" ht="17" x14ac:dyDescent="0.2">
      <c r="A8" s="54" t="s">
        <v>68</v>
      </c>
      <c r="B8" s="51">
        <f>B7*2.47</f>
        <v>22311.030828842602</v>
      </c>
      <c r="I8" s="1">
        <v>0</v>
      </c>
      <c r="AP8" s="48"/>
    </row>
    <row r="9" spans="1:42" x14ac:dyDescent="0.2">
      <c r="AK9" s="4" t="s">
        <v>25</v>
      </c>
      <c r="AL9" s="27">
        <f>AL7</f>
        <v>16224.246818610794</v>
      </c>
      <c r="AM9" s="27">
        <f>AM7</f>
        <v>16186.045894352294</v>
      </c>
      <c r="AN9" s="27">
        <f>AN7</f>
        <v>15017.976397308732</v>
      </c>
      <c r="AP9" s="48"/>
    </row>
    <row r="10" spans="1:42" x14ac:dyDescent="0.2">
      <c r="AL10"/>
      <c r="AM10"/>
      <c r="AN10"/>
      <c r="AP10" s="48"/>
    </row>
    <row r="11" spans="1:42" x14ac:dyDescent="0.2">
      <c r="C11" s="55"/>
      <c r="AM11"/>
      <c r="AN11"/>
      <c r="AP11" s="48"/>
    </row>
    <row r="12" spans="1:42" x14ac:dyDescent="0.2">
      <c r="C12" s="55"/>
      <c r="AK12" s="4" t="s">
        <v>69</v>
      </c>
      <c r="AL12" s="4">
        <f>SUM(AL2:AL4)/SUM(B2:B4)</f>
        <v>1.7961469350919954</v>
      </c>
      <c r="AM12" s="4">
        <f>SUM(AM2:AM4)/SUM(B2:B4)</f>
        <v>1.7919178036080068</v>
      </c>
      <c r="AN12" s="4">
        <f>SUM(AN2:AN4)/SUM(B2:B4)</f>
        <v>1.662603668379085</v>
      </c>
      <c r="AP12" s="48"/>
    </row>
    <row r="13" spans="1:42" x14ac:dyDescent="0.2">
      <c r="AK13" s="4"/>
      <c r="AL13" s="2" t="s">
        <v>70</v>
      </c>
      <c r="AM13" s="2" t="s">
        <v>71</v>
      </c>
      <c r="AN13" s="2" t="s">
        <v>72</v>
      </c>
      <c r="AP13" s="48"/>
    </row>
    <row r="14" spans="1:42" x14ac:dyDescent="0.2">
      <c r="AK14" s="4" t="s">
        <v>73</v>
      </c>
      <c r="AL14" s="3">
        <f>SUM(AL2:AL4)*(1-'Uncertainty calculation'!G2)</f>
        <v>6171.3920812687529</v>
      </c>
      <c r="AM14" s="3">
        <f>SUM(AM2:AM4)*(1-'Uncertainty calculation'!H2)</f>
        <v>6130.7408066782446</v>
      </c>
      <c r="AN14" s="3">
        <f>SUM(AN2:AN4)*(1-'Uncertainty calculation'!I2)</f>
        <v>5056.6688703085856</v>
      </c>
      <c r="AP14" s="48"/>
    </row>
    <row r="15" spans="1:42" x14ac:dyDescent="0.2">
      <c r="AL15"/>
      <c r="AM15"/>
      <c r="AN15"/>
      <c r="AP15" s="48"/>
    </row>
    <row r="16" spans="1:42" x14ac:dyDescent="0.2">
      <c r="AK16" s="4"/>
      <c r="AL16" s="27">
        <f t="shared" ref="AL16:AN16" si="14">AL9-AL14</f>
        <v>10052.854737342041</v>
      </c>
      <c r="AM16" s="27">
        <f t="shared" si="14"/>
        <v>10055.305087674049</v>
      </c>
      <c r="AN16" s="27">
        <f t="shared" si="14"/>
        <v>9961.3075270001464</v>
      </c>
      <c r="AP16" s="48"/>
    </row>
    <row r="17" spans="42:42" x14ac:dyDescent="0.2">
      <c r="AP17" s="48"/>
    </row>
    <row r="18" spans="42:42" x14ac:dyDescent="0.2">
      <c r="AP18" s="48"/>
    </row>
    <row r="19" spans="42:42" x14ac:dyDescent="0.2">
      <c r="AP19" s="48"/>
    </row>
    <row r="20" spans="42:42" x14ac:dyDescent="0.2">
      <c r="AP20" s="48"/>
    </row>
    <row r="21" spans="42:42" x14ac:dyDescent="0.2">
      <c r="AP21" s="48"/>
    </row>
    <row r="22" spans="42:42" x14ac:dyDescent="0.2">
      <c r="AP22" s="48"/>
    </row>
    <row r="23" spans="42:42" x14ac:dyDescent="0.2">
      <c r="AP23" s="48"/>
    </row>
    <row r="24" spans="42:42" x14ac:dyDescent="0.2">
      <c r="AP24" s="48"/>
    </row>
    <row r="25" spans="42:42" x14ac:dyDescent="0.2">
      <c r="AP25" s="48"/>
    </row>
    <row r="26" spans="42:42" x14ac:dyDescent="0.2">
      <c r="AP26" s="48"/>
    </row>
    <row r="27" spans="42:42" x14ac:dyDescent="0.2">
      <c r="AP27" s="48"/>
    </row>
    <row r="28" spans="42:42" x14ac:dyDescent="0.2">
      <c r="AP28" s="48"/>
    </row>
    <row r="29" spans="42:42" x14ac:dyDescent="0.2">
      <c r="AP29" s="48"/>
    </row>
    <row r="30" spans="42:42" x14ac:dyDescent="0.2">
      <c r="AP30" s="48"/>
    </row>
    <row r="31" spans="42:42" x14ac:dyDescent="0.2">
      <c r="AP31" s="48"/>
    </row>
    <row r="32" spans="42:42" x14ac:dyDescent="0.2">
      <c r="AP32" s="48"/>
    </row>
    <row r="33" spans="42:42" x14ac:dyDescent="0.2">
      <c r="AP33" s="48"/>
    </row>
    <row r="34" spans="42:42" x14ac:dyDescent="0.2">
      <c r="AP34" s="48"/>
    </row>
    <row r="35" spans="42:42" x14ac:dyDescent="0.2">
      <c r="AP35" s="48"/>
    </row>
    <row r="36" spans="42:42" x14ac:dyDescent="0.2">
      <c r="AP36" s="48"/>
    </row>
    <row r="37" spans="42:42" x14ac:dyDescent="0.2">
      <c r="AP37" s="48"/>
    </row>
    <row r="38" spans="42:42" x14ac:dyDescent="0.2">
      <c r="AP38" s="48"/>
    </row>
    <row r="39" spans="42:42" x14ac:dyDescent="0.2">
      <c r="AP39" s="48"/>
    </row>
    <row r="40" spans="42:42" x14ac:dyDescent="0.2">
      <c r="AP40" s="48"/>
    </row>
    <row r="41" spans="42:42" x14ac:dyDescent="0.2">
      <c r="AP41" s="48"/>
    </row>
    <row r="42" spans="42:42" x14ac:dyDescent="0.2">
      <c r="AP42" s="48"/>
    </row>
    <row r="43" spans="42:42" x14ac:dyDescent="0.2">
      <c r="AP43" s="48"/>
    </row>
    <row r="44" spans="42:42" x14ac:dyDescent="0.2">
      <c r="AP44" s="48"/>
    </row>
    <row r="45" spans="42:42" x14ac:dyDescent="0.2">
      <c r="AP45" s="48"/>
    </row>
    <row r="46" spans="42:42" x14ac:dyDescent="0.2">
      <c r="AP46" s="48"/>
    </row>
    <row r="47" spans="42:42" x14ac:dyDescent="0.2">
      <c r="AP47" s="48"/>
    </row>
    <row r="48" spans="42:42" x14ac:dyDescent="0.2">
      <c r="AP48" s="48"/>
    </row>
    <row r="49" spans="42:42" x14ac:dyDescent="0.2">
      <c r="AP49" s="48"/>
    </row>
    <row r="50" spans="42:42" x14ac:dyDescent="0.2">
      <c r="AP50" s="48"/>
    </row>
    <row r="51" spans="42:42" x14ac:dyDescent="0.2">
      <c r="AP51" s="48"/>
    </row>
    <row r="52" spans="42:42" x14ac:dyDescent="0.2">
      <c r="AP52" s="48"/>
    </row>
    <row r="53" spans="42:42" x14ac:dyDescent="0.2">
      <c r="AP53" s="48"/>
    </row>
    <row r="54" spans="42:42" x14ac:dyDescent="0.2">
      <c r="AP54" s="48"/>
    </row>
    <row r="55" spans="42:42" x14ac:dyDescent="0.2">
      <c r="AP55" s="48"/>
    </row>
    <row r="56" spans="42:42" x14ac:dyDescent="0.2">
      <c r="AP56" s="48"/>
    </row>
    <row r="57" spans="42:42" x14ac:dyDescent="0.2">
      <c r="AP57" s="48"/>
    </row>
    <row r="58" spans="42:42" x14ac:dyDescent="0.2">
      <c r="AP58" s="48"/>
    </row>
    <row r="59" spans="42:42" x14ac:dyDescent="0.2">
      <c r="AP59" s="48"/>
    </row>
    <row r="60" spans="42:42" x14ac:dyDescent="0.2">
      <c r="AP60" s="48"/>
    </row>
    <row r="61" spans="42:42" x14ac:dyDescent="0.2">
      <c r="AP61" s="48"/>
    </row>
    <row r="62" spans="42:42" x14ac:dyDescent="0.2">
      <c r="AP62" s="48"/>
    </row>
    <row r="63" spans="42:42" x14ac:dyDescent="0.2">
      <c r="AP63" s="48"/>
    </row>
    <row r="64" spans="42:42" x14ac:dyDescent="0.2">
      <c r="AP64" s="48"/>
    </row>
    <row r="65" spans="42:42" x14ac:dyDescent="0.2">
      <c r="AP65" s="48"/>
    </row>
    <row r="66" spans="42:42" x14ac:dyDescent="0.2">
      <c r="AP66" s="48"/>
    </row>
    <row r="67" spans="42:42" x14ac:dyDescent="0.2">
      <c r="AP67" s="48"/>
    </row>
    <row r="68" spans="42:42" x14ac:dyDescent="0.2">
      <c r="AP68" s="48"/>
    </row>
    <row r="69" spans="42:42" x14ac:dyDescent="0.2">
      <c r="AP69" s="48"/>
    </row>
    <row r="70" spans="42:42" x14ac:dyDescent="0.2">
      <c r="AP70" s="48"/>
    </row>
    <row r="71" spans="42:42" x14ac:dyDescent="0.2">
      <c r="AP71" s="48"/>
    </row>
    <row r="72" spans="42:42" x14ac:dyDescent="0.2">
      <c r="AP72" s="48"/>
    </row>
    <row r="73" spans="42:42" x14ac:dyDescent="0.2">
      <c r="AP73" s="48"/>
    </row>
    <row r="74" spans="42:42" x14ac:dyDescent="0.2">
      <c r="AP74" s="48"/>
    </row>
    <row r="75" spans="42:42" x14ac:dyDescent="0.2">
      <c r="AP75" s="48"/>
    </row>
    <row r="76" spans="42:42" x14ac:dyDescent="0.2">
      <c r="AP76" s="48"/>
    </row>
    <row r="77" spans="42:42" x14ac:dyDescent="0.2">
      <c r="AP77" s="48"/>
    </row>
    <row r="78" spans="42:42" x14ac:dyDescent="0.2">
      <c r="AP78" s="48"/>
    </row>
    <row r="79" spans="42:42" x14ac:dyDescent="0.2">
      <c r="AP79" s="48"/>
    </row>
    <row r="80" spans="42:42" x14ac:dyDescent="0.2">
      <c r="AP80" s="48"/>
    </row>
    <row r="81" spans="42:42" x14ac:dyDescent="0.2">
      <c r="AP81" s="48"/>
    </row>
    <row r="82" spans="42:42" x14ac:dyDescent="0.2">
      <c r="AP82" s="48"/>
    </row>
    <row r="83" spans="42:42" x14ac:dyDescent="0.2">
      <c r="AP83" s="48"/>
    </row>
    <row r="84" spans="42:42" x14ac:dyDescent="0.2">
      <c r="AP84" s="48"/>
    </row>
    <row r="85" spans="42:42" x14ac:dyDescent="0.2">
      <c r="AP85" s="48"/>
    </row>
    <row r="86" spans="42:42" x14ac:dyDescent="0.2">
      <c r="AP86" s="48"/>
    </row>
    <row r="87" spans="42:42" x14ac:dyDescent="0.2">
      <c r="AP87" s="48"/>
    </row>
    <row r="88" spans="42:42" x14ac:dyDescent="0.2">
      <c r="AP88" s="48"/>
    </row>
    <row r="89" spans="42:42" x14ac:dyDescent="0.2">
      <c r="AP89" s="48"/>
    </row>
    <row r="90" spans="42:42" x14ac:dyDescent="0.2">
      <c r="AP90" s="48"/>
    </row>
    <row r="91" spans="42:42" x14ac:dyDescent="0.2">
      <c r="AP91" s="48"/>
    </row>
    <row r="92" spans="42:42" x14ac:dyDescent="0.2">
      <c r="AP92" s="48"/>
    </row>
    <row r="93" spans="42:42" x14ac:dyDescent="0.2">
      <c r="AP93" s="48"/>
    </row>
    <row r="94" spans="42:42" x14ac:dyDescent="0.2">
      <c r="AP94" s="48"/>
    </row>
    <row r="95" spans="42:42" x14ac:dyDescent="0.2">
      <c r="AP95" s="48"/>
    </row>
    <row r="96" spans="42:42" x14ac:dyDescent="0.2">
      <c r="AP96" s="48"/>
    </row>
    <row r="97" spans="42:42" x14ac:dyDescent="0.2">
      <c r="AP97" s="48"/>
    </row>
    <row r="98" spans="42:42" x14ac:dyDescent="0.2">
      <c r="AP98" s="48"/>
    </row>
    <row r="99" spans="42:42" x14ac:dyDescent="0.2">
      <c r="AP99" s="48"/>
    </row>
    <row r="100" spans="42:42" x14ac:dyDescent="0.2">
      <c r="AP100" s="48"/>
    </row>
    <row r="101" spans="42:42" x14ac:dyDescent="0.2">
      <c r="AP101" s="48"/>
    </row>
    <row r="102" spans="42:42" x14ac:dyDescent="0.2">
      <c r="AP102" s="48"/>
    </row>
    <row r="103" spans="42:42" x14ac:dyDescent="0.2">
      <c r="AP103" s="48"/>
    </row>
    <row r="104" spans="42:42" x14ac:dyDescent="0.2">
      <c r="AP104" s="48"/>
    </row>
    <row r="105" spans="42:42" x14ac:dyDescent="0.2">
      <c r="AP105" s="48"/>
    </row>
    <row r="106" spans="42:42" x14ac:dyDescent="0.2">
      <c r="AP106" s="48"/>
    </row>
    <row r="107" spans="42:42" x14ac:dyDescent="0.2">
      <c r="AP107" s="48"/>
    </row>
    <row r="108" spans="42:42" x14ac:dyDescent="0.2">
      <c r="AP108" s="48"/>
    </row>
    <row r="109" spans="42:42" x14ac:dyDescent="0.2">
      <c r="AP109" s="48"/>
    </row>
    <row r="110" spans="42:42" x14ac:dyDescent="0.2">
      <c r="AP110" s="48"/>
    </row>
    <row r="111" spans="42:42" x14ac:dyDescent="0.2">
      <c r="AP111" s="48"/>
    </row>
    <row r="112" spans="42:42" x14ac:dyDescent="0.2">
      <c r="AP112" s="48"/>
    </row>
    <row r="113" spans="42:42" x14ac:dyDescent="0.2">
      <c r="AP113" s="48"/>
    </row>
    <row r="114" spans="42:42" x14ac:dyDescent="0.2">
      <c r="AP114" s="48"/>
    </row>
    <row r="115" spans="42:42" x14ac:dyDescent="0.2">
      <c r="AP115" s="48"/>
    </row>
    <row r="116" spans="42:42" x14ac:dyDescent="0.2">
      <c r="AP116" s="48"/>
    </row>
    <row r="117" spans="42:42" x14ac:dyDescent="0.2">
      <c r="AP117" s="48"/>
    </row>
    <row r="118" spans="42:42" x14ac:dyDescent="0.2">
      <c r="AP118" s="48"/>
    </row>
    <row r="119" spans="42:42" x14ac:dyDescent="0.2">
      <c r="AP119" s="48"/>
    </row>
    <row r="120" spans="42:42" x14ac:dyDescent="0.2">
      <c r="AP120" s="48"/>
    </row>
    <row r="121" spans="42:42" x14ac:dyDescent="0.2">
      <c r="AP121" s="48"/>
    </row>
    <row r="122" spans="42:42" x14ac:dyDescent="0.2">
      <c r="AP122" s="48"/>
    </row>
    <row r="123" spans="42:42" x14ac:dyDescent="0.2">
      <c r="AP123" s="48"/>
    </row>
    <row r="124" spans="42:42" x14ac:dyDescent="0.2">
      <c r="AP124" s="48"/>
    </row>
    <row r="125" spans="42:42" x14ac:dyDescent="0.2">
      <c r="AP125" s="48"/>
    </row>
    <row r="126" spans="42:42" x14ac:dyDescent="0.2">
      <c r="AP126" s="48"/>
    </row>
    <row r="127" spans="42:42" x14ac:dyDescent="0.2">
      <c r="AP127" s="48"/>
    </row>
    <row r="128" spans="42:42" x14ac:dyDescent="0.2">
      <c r="AP128" s="48"/>
    </row>
    <row r="129" spans="42:42" x14ac:dyDescent="0.2">
      <c r="AP129" s="48"/>
    </row>
    <row r="130" spans="42:42" x14ac:dyDescent="0.2">
      <c r="AP130" s="48"/>
    </row>
    <row r="131" spans="42:42" x14ac:dyDescent="0.2">
      <c r="AP131" s="48"/>
    </row>
    <row r="132" spans="42:42" x14ac:dyDescent="0.2">
      <c r="AP132" s="48"/>
    </row>
    <row r="133" spans="42:42" x14ac:dyDescent="0.2">
      <c r="AP133" s="48"/>
    </row>
    <row r="134" spans="42:42" x14ac:dyDescent="0.2">
      <c r="AP134" s="48"/>
    </row>
    <row r="135" spans="42:42" x14ac:dyDescent="0.2">
      <c r="AP135" s="48"/>
    </row>
    <row r="136" spans="42:42" x14ac:dyDescent="0.2">
      <c r="AP136" s="48"/>
    </row>
    <row r="137" spans="42:42" x14ac:dyDescent="0.2">
      <c r="AP137" s="48"/>
    </row>
    <row r="138" spans="42:42" x14ac:dyDescent="0.2">
      <c r="AP138" s="48"/>
    </row>
    <row r="139" spans="42:42" x14ac:dyDescent="0.2">
      <c r="AP139" s="48"/>
    </row>
    <row r="140" spans="42:42" x14ac:dyDescent="0.2">
      <c r="AP140" s="48"/>
    </row>
    <row r="141" spans="42:42" x14ac:dyDescent="0.2">
      <c r="AP141" s="48"/>
    </row>
    <row r="142" spans="42:42" x14ac:dyDescent="0.2">
      <c r="AP142" s="48"/>
    </row>
    <row r="143" spans="42:42" x14ac:dyDescent="0.2">
      <c r="AP143" s="48"/>
    </row>
    <row r="144" spans="42:42" x14ac:dyDescent="0.2">
      <c r="AP144" s="48"/>
    </row>
    <row r="145" spans="42:42" x14ac:dyDescent="0.2">
      <c r="AP145" s="48"/>
    </row>
    <row r="146" spans="42:42" x14ac:dyDescent="0.2">
      <c r="AP146" s="48"/>
    </row>
    <row r="147" spans="42:42" x14ac:dyDescent="0.2">
      <c r="AP147" s="48"/>
    </row>
    <row r="148" spans="42:42" x14ac:dyDescent="0.2">
      <c r="AP148" s="48"/>
    </row>
    <row r="149" spans="42:42" x14ac:dyDescent="0.2">
      <c r="AP149" s="48"/>
    </row>
    <row r="150" spans="42:42" x14ac:dyDescent="0.2">
      <c r="AP150" s="48"/>
    </row>
    <row r="151" spans="42:42" x14ac:dyDescent="0.2">
      <c r="AP151" s="48"/>
    </row>
    <row r="152" spans="42:42" x14ac:dyDescent="0.2">
      <c r="AP152" s="48"/>
    </row>
    <row r="153" spans="42:42" x14ac:dyDescent="0.2">
      <c r="AP153" s="48"/>
    </row>
    <row r="154" spans="42:42" x14ac:dyDescent="0.2">
      <c r="AP154" s="48"/>
    </row>
    <row r="155" spans="42:42" x14ac:dyDescent="0.2">
      <c r="AP155" s="48"/>
    </row>
    <row r="156" spans="42:42" x14ac:dyDescent="0.2">
      <c r="AP156" s="48"/>
    </row>
    <row r="157" spans="42:42" x14ac:dyDescent="0.2">
      <c r="AP157" s="48"/>
    </row>
    <row r="158" spans="42:42" x14ac:dyDescent="0.2">
      <c r="AP158" s="48"/>
    </row>
    <row r="159" spans="42:42" x14ac:dyDescent="0.2">
      <c r="AP159" s="48"/>
    </row>
    <row r="160" spans="42:42" x14ac:dyDescent="0.2">
      <c r="AP160" s="48"/>
    </row>
    <row r="161" spans="42:42" x14ac:dyDescent="0.2">
      <c r="AP161" s="48"/>
    </row>
    <row r="162" spans="42:42" x14ac:dyDescent="0.2">
      <c r="AP162" s="48"/>
    </row>
    <row r="163" spans="42:42" x14ac:dyDescent="0.2">
      <c r="AP163" s="48"/>
    </row>
    <row r="164" spans="42:42" x14ac:dyDescent="0.2">
      <c r="AP164" s="48"/>
    </row>
    <row r="165" spans="42:42" x14ac:dyDescent="0.2">
      <c r="AP165" s="48"/>
    </row>
    <row r="166" spans="42:42" x14ac:dyDescent="0.2">
      <c r="AP166" s="48"/>
    </row>
    <row r="167" spans="42:42" x14ac:dyDescent="0.2">
      <c r="AP167" s="48"/>
    </row>
    <row r="168" spans="42:42" x14ac:dyDescent="0.2">
      <c r="AP168" s="48"/>
    </row>
    <row r="169" spans="42:42" x14ac:dyDescent="0.2">
      <c r="AP169" s="48"/>
    </row>
    <row r="170" spans="42:42" x14ac:dyDescent="0.2">
      <c r="AP170" s="48"/>
    </row>
    <row r="171" spans="42:42" x14ac:dyDescent="0.2">
      <c r="AP171" s="48"/>
    </row>
    <row r="172" spans="42:42" x14ac:dyDescent="0.2">
      <c r="AP172" s="48"/>
    </row>
    <row r="173" spans="42:42" x14ac:dyDescent="0.2">
      <c r="AP173" s="48"/>
    </row>
    <row r="174" spans="42:42" x14ac:dyDescent="0.2">
      <c r="AP174" s="48"/>
    </row>
    <row r="175" spans="42:42" x14ac:dyDescent="0.2">
      <c r="AP175" s="48"/>
    </row>
    <row r="176" spans="42:42" x14ac:dyDescent="0.2">
      <c r="AP176" s="48"/>
    </row>
    <row r="177" spans="42:42" x14ac:dyDescent="0.2">
      <c r="AP177" s="48"/>
    </row>
    <row r="178" spans="42:42" x14ac:dyDescent="0.2">
      <c r="AP178" s="48"/>
    </row>
    <row r="179" spans="42:42" x14ac:dyDescent="0.2">
      <c r="AP179" s="48"/>
    </row>
    <row r="180" spans="42:42" x14ac:dyDescent="0.2">
      <c r="AP180" s="48"/>
    </row>
    <row r="181" spans="42:42" x14ac:dyDescent="0.2">
      <c r="AP181" s="48"/>
    </row>
    <row r="182" spans="42:42" x14ac:dyDescent="0.2">
      <c r="AP182" s="48"/>
    </row>
    <row r="183" spans="42:42" x14ac:dyDescent="0.2">
      <c r="AP183" s="48"/>
    </row>
    <row r="184" spans="42:42" x14ac:dyDescent="0.2">
      <c r="AP184" s="48"/>
    </row>
    <row r="185" spans="42:42" x14ac:dyDescent="0.2">
      <c r="AP185" s="48"/>
    </row>
    <row r="186" spans="42:42" x14ac:dyDescent="0.2">
      <c r="AP186" s="48"/>
    </row>
    <row r="187" spans="42:42" x14ac:dyDescent="0.2">
      <c r="AP187" s="48"/>
    </row>
    <row r="188" spans="42:42" x14ac:dyDescent="0.2">
      <c r="AP188" s="48"/>
    </row>
    <row r="189" spans="42:42" x14ac:dyDescent="0.2">
      <c r="AP189" s="48"/>
    </row>
    <row r="190" spans="42:42" x14ac:dyDescent="0.2">
      <c r="AP190" s="48"/>
    </row>
    <row r="191" spans="42:42" x14ac:dyDescent="0.2">
      <c r="AP191" s="48"/>
    </row>
    <row r="192" spans="42:42" x14ac:dyDescent="0.2">
      <c r="AP192" s="48"/>
    </row>
    <row r="193" spans="42:42" x14ac:dyDescent="0.2">
      <c r="AP193" s="48"/>
    </row>
    <row r="194" spans="42:42" x14ac:dyDescent="0.2">
      <c r="AP194" s="48"/>
    </row>
    <row r="195" spans="42:42" x14ac:dyDescent="0.2">
      <c r="AP195" s="48"/>
    </row>
    <row r="196" spans="42:42" x14ac:dyDescent="0.2">
      <c r="AP196" s="48"/>
    </row>
    <row r="197" spans="42:42" x14ac:dyDescent="0.2">
      <c r="AP197" s="48"/>
    </row>
    <row r="198" spans="42:42" x14ac:dyDescent="0.2">
      <c r="AP198" s="48"/>
    </row>
    <row r="199" spans="42:42" x14ac:dyDescent="0.2">
      <c r="AP199" s="48"/>
    </row>
    <row r="200" spans="42:42" x14ac:dyDescent="0.2">
      <c r="AP200" s="48"/>
    </row>
    <row r="201" spans="42:42" x14ac:dyDescent="0.2">
      <c r="AP201" s="48"/>
    </row>
    <row r="202" spans="42:42" x14ac:dyDescent="0.2">
      <c r="AP202" s="48"/>
    </row>
    <row r="203" spans="42:42" x14ac:dyDescent="0.2">
      <c r="AP203" s="48"/>
    </row>
    <row r="204" spans="42:42" x14ac:dyDescent="0.2">
      <c r="AP204" s="48"/>
    </row>
    <row r="205" spans="42:42" x14ac:dyDescent="0.2">
      <c r="AP205" s="48"/>
    </row>
    <row r="206" spans="42:42" x14ac:dyDescent="0.2">
      <c r="AP206" s="48"/>
    </row>
    <row r="207" spans="42:42" x14ac:dyDescent="0.2">
      <c r="AP207" s="48"/>
    </row>
    <row r="208" spans="42:42" x14ac:dyDescent="0.2">
      <c r="AP208" s="48"/>
    </row>
    <row r="209" spans="42:42" x14ac:dyDescent="0.2">
      <c r="AP209" s="48"/>
    </row>
    <row r="210" spans="42:42" x14ac:dyDescent="0.2">
      <c r="AP210" s="48"/>
    </row>
    <row r="211" spans="42:42" x14ac:dyDescent="0.2">
      <c r="AP211" s="48"/>
    </row>
    <row r="212" spans="42:42" x14ac:dyDescent="0.2">
      <c r="AP212" s="48"/>
    </row>
    <row r="213" spans="42:42" x14ac:dyDescent="0.2">
      <c r="AP213" s="48"/>
    </row>
    <row r="214" spans="42:42" x14ac:dyDescent="0.2">
      <c r="AP214" s="48"/>
    </row>
    <row r="215" spans="42:42" x14ac:dyDescent="0.2">
      <c r="AP215" s="48"/>
    </row>
    <row r="216" spans="42:42" x14ac:dyDescent="0.2">
      <c r="AP216" s="48"/>
    </row>
    <row r="217" spans="42:42" x14ac:dyDescent="0.2">
      <c r="AP217" s="48"/>
    </row>
    <row r="218" spans="42:42" x14ac:dyDescent="0.2">
      <c r="AP218" s="48"/>
    </row>
    <row r="219" spans="42:42" x14ac:dyDescent="0.2">
      <c r="AP219" s="48"/>
    </row>
    <row r="220" spans="42:42" x14ac:dyDescent="0.2">
      <c r="AP220" s="48"/>
    </row>
    <row r="221" spans="42:42" x14ac:dyDescent="0.2">
      <c r="AP221" s="48"/>
    </row>
    <row r="222" spans="42:42" x14ac:dyDescent="0.2">
      <c r="AP222" s="48"/>
    </row>
    <row r="223" spans="42:42" x14ac:dyDescent="0.2">
      <c r="AP223" s="48"/>
    </row>
    <row r="224" spans="42:42" x14ac:dyDescent="0.2">
      <c r="AP224" s="48"/>
    </row>
    <row r="225" spans="42:42" x14ac:dyDescent="0.2">
      <c r="AP225" s="48"/>
    </row>
    <row r="226" spans="42:42" x14ac:dyDescent="0.2">
      <c r="AP226" s="48"/>
    </row>
    <row r="227" spans="42:42" x14ac:dyDescent="0.2">
      <c r="AP227" s="48"/>
    </row>
    <row r="228" spans="42:42" x14ac:dyDescent="0.2">
      <c r="AP228" s="48"/>
    </row>
    <row r="229" spans="42:42" x14ac:dyDescent="0.2">
      <c r="AP229" s="48"/>
    </row>
    <row r="230" spans="42:42" x14ac:dyDescent="0.2">
      <c r="AP230" s="48"/>
    </row>
    <row r="231" spans="42:42" x14ac:dyDescent="0.2">
      <c r="AP231" s="48"/>
    </row>
    <row r="232" spans="42:42" x14ac:dyDescent="0.2">
      <c r="AP232" s="48"/>
    </row>
    <row r="233" spans="42:42" x14ac:dyDescent="0.2">
      <c r="AP233" s="48"/>
    </row>
    <row r="234" spans="42:42" x14ac:dyDescent="0.2">
      <c r="AP234" s="48"/>
    </row>
    <row r="235" spans="42:42" x14ac:dyDescent="0.2">
      <c r="AP235" s="48"/>
    </row>
    <row r="236" spans="42:42" x14ac:dyDescent="0.2">
      <c r="AP236" s="48"/>
    </row>
    <row r="237" spans="42:42" x14ac:dyDescent="0.2">
      <c r="AP237" s="48"/>
    </row>
    <row r="238" spans="42:42" x14ac:dyDescent="0.2">
      <c r="AP238" s="48"/>
    </row>
    <row r="239" spans="42:42" x14ac:dyDescent="0.2">
      <c r="AP239" s="48"/>
    </row>
    <row r="240" spans="42:42" x14ac:dyDescent="0.2">
      <c r="AP240" s="48"/>
    </row>
    <row r="241" spans="42:42" x14ac:dyDescent="0.2">
      <c r="AP241" s="48"/>
    </row>
    <row r="242" spans="42:42" x14ac:dyDescent="0.2">
      <c r="AP242" s="48"/>
    </row>
    <row r="243" spans="42:42" x14ac:dyDescent="0.2">
      <c r="AP243" s="48"/>
    </row>
    <row r="244" spans="42:42" x14ac:dyDescent="0.2">
      <c r="AP244" s="48"/>
    </row>
    <row r="245" spans="42:42" x14ac:dyDescent="0.2">
      <c r="AP245" s="48"/>
    </row>
    <row r="246" spans="42:42" x14ac:dyDescent="0.2">
      <c r="AP246" s="48"/>
    </row>
    <row r="247" spans="42:42" x14ac:dyDescent="0.2">
      <c r="AP247" s="48"/>
    </row>
    <row r="248" spans="42:42" x14ac:dyDescent="0.2">
      <c r="AP248" s="48"/>
    </row>
    <row r="249" spans="42:42" x14ac:dyDescent="0.2">
      <c r="AP249" s="48"/>
    </row>
    <row r="250" spans="42:42" x14ac:dyDescent="0.2">
      <c r="AP250" s="48"/>
    </row>
    <row r="251" spans="42:42" x14ac:dyDescent="0.2">
      <c r="AP251" s="48"/>
    </row>
    <row r="252" spans="42:42" x14ac:dyDescent="0.2">
      <c r="AP252" s="48"/>
    </row>
    <row r="253" spans="42:42" x14ac:dyDescent="0.2">
      <c r="AP253" s="48"/>
    </row>
    <row r="254" spans="42:42" x14ac:dyDescent="0.2">
      <c r="AP254" s="48"/>
    </row>
    <row r="255" spans="42:42" x14ac:dyDescent="0.2">
      <c r="AP255" s="48"/>
    </row>
    <row r="256" spans="42:42" x14ac:dyDescent="0.2">
      <c r="AP256" s="48"/>
    </row>
    <row r="257" spans="42:42" x14ac:dyDescent="0.2">
      <c r="AP257" s="48"/>
    </row>
    <row r="258" spans="42:42" x14ac:dyDescent="0.2">
      <c r="AP258" s="48"/>
    </row>
    <row r="259" spans="42:42" x14ac:dyDescent="0.2">
      <c r="AP259" s="48"/>
    </row>
    <row r="260" spans="42:42" x14ac:dyDescent="0.2">
      <c r="AP260" s="48"/>
    </row>
    <row r="261" spans="42:42" x14ac:dyDescent="0.2">
      <c r="AP261" s="48"/>
    </row>
    <row r="262" spans="42:42" x14ac:dyDescent="0.2">
      <c r="AP262" s="48"/>
    </row>
    <row r="263" spans="42:42" x14ac:dyDescent="0.2">
      <c r="AP263" s="48"/>
    </row>
    <row r="264" spans="42:42" x14ac:dyDescent="0.2">
      <c r="AP264" s="48"/>
    </row>
    <row r="265" spans="42:42" x14ac:dyDescent="0.2">
      <c r="AP265" s="48"/>
    </row>
    <row r="266" spans="42:42" x14ac:dyDescent="0.2">
      <c r="AP266" s="48"/>
    </row>
    <row r="267" spans="42:42" x14ac:dyDescent="0.2">
      <c r="AP267" s="48"/>
    </row>
    <row r="268" spans="42:42" x14ac:dyDescent="0.2">
      <c r="AP268" s="48"/>
    </row>
    <row r="269" spans="42:42" x14ac:dyDescent="0.2">
      <c r="AP269" s="48"/>
    </row>
    <row r="270" spans="42:42" x14ac:dyDescent="0.2">
      <c r="AP270" s="48"/>
    </row>
    <row r="271" spans="42:42" x14ac:dyDescent="0.2">
      <c r="AP271" s="48"/>
    </row>
    <row r="272" spans="42:42" x14ac:dyDescent="0.2">
      <c r="AP272" s="48"/>
    </row>
    <row r="273" spans="42:42" x14ac:dyDescent="0.2">
      <c r="AP273" s="48"/>
    </row>
    <row r="274" spans="42:42" x14ac:dyDescent="0.2">
      <c r="AP274" s="48"/>
    </row>
    <row r="275" spans="42:42" x14ac:dyDescent="0.2">
      <c r="AP275" s="48"/>
    </row>
    <row r="276" spans="42:42" x14ac:dyDescent="0.2">
      <c r="AP276" s="48"/>
    </row>
    <row r="277" spans="42:42" x14ac:dyDescent="0.2">
      <c r="AP277" s="48"/>
    </row>
    <row r="278" spans="42:42" x14ac:dyDescent="0.2">
      <c r="AP278" s="48"/>
    </row>
    <row r="279" spans="42:42" x14ac:dyDescent="0.2">
      <c r="AP279" s="48"/>
    </row>
    <row r="280" spans="42:42" x14ac:dyDescent="0.2">
      <c r="AP280" s="48"/>
    </row>
    <row r="281" spans="42:42" x14ac:dyDescent="0.2">
      <c r="AP281" s="48"/>
    </row>
    <row r="282" spans="42:42" x14ac:dyDescent="0.2">
      <c r="AP282" s="48"/>
    </row>
    <row r="283" spans="42:42" x14ac:dyDescent="0.2">
      <c r="AP283" s="48"/>
    </row>
    <row r="284" spans="42:42" x14ac:dyDescent="0.2">
      <c r="AP284" s="48"/>
    </row>
    <row r="285" spans="42:42" x14ac:dyDescent="0.2">
      <c r="AP285" s="48"/>
    </row>
    <row r="286" spans="42:42" x14ac:dyDescent="0.2">
      <c r="AP286" s="48"/>
    </row>
    <row r="287" spans="42:42" x14ac:dyDescent="0.2">
      <c r="AP287" s="48"/>
    </row>
    <row r="288" spans="42:42" x14ac:dyDescent="0.2">
      <c r="AP288" s="48"/>
    </row>
    <row r="289" spans="42:42" x14ac:dyDescent="0.2">
      <c r="AP289" s="48"/>
    </row>
    <row r="290" spans="42:42" x14ac:dyDescent="0.2">
      <c r="AP290" s="48"/>
    </row>
    <row r="291" spans="42:42" x14ac:dyDescent="0.2">
      <c r="AP291" s="48"/>
    </row>
    <row r="292" spans="42:42" x14ac:dyDescent="0.2">
      <c r="AP292" s="48"/>
    </row>
    <row r="293" spans="42:42" x14ac:dyDescent="0.2">
      <c r="AP293" s="48"/>
    </row>
    <row r="294" spans="42:42" x14ac:dyDescent="0.2">
      <c r="AP294" s="48"/>
    </row>
    <row r="295" spans="42:42" x14ac:dyDescent="0.2">
      <c r="AP295" s="48"/>
    </row>
    <row r="296" spans="42:42" x14ac:dyDescent="0.2">
      <c r="AP296" s="48"/>
    </row>
    <row r="297" spans="42:42" x14ac:dyDescent="0.2">
      <c r="AP297" s="48"/>
    </row>
    <row r="298" spans="42:42" x14ac:dyDescent="0.2">
      <c r="AP298" s="48"/>
    </row>
    <row r="299" spans="42:42" x14ac:dyDescent="0.2">
      <c r="AP299" s="48"/>
    </row>
    <row r="300" spans="42:42" x14ac:dyDescent="0.2">
      <c r="AP300" s="48"/>
    </row>
    <row r="301" spans="42:42" x14ac:dyDescent="0.2">
      <c r="AP301" s="48"/>
    </row>
    <row r="302" spans="42:42" x14ac:dyDescent="0.2">
      <c r="AP302" s="48"/>
    </row>
    <row r="303" spans="42:42" x14ac:dyDescent="0.2">
      <c r="AP303" s="48"/>
    </row>
    <row r="304" spans="42:42" x14ac:dyDescent="0.2">
      <c r="AP304" s="48"/>
    </row>
    <row r="305" spans="42:42" x14ac:dyDescent="0.2">
      <c r="AP305" s="48"/>
    </row>
    <row r="306" spans="42:42" x14ac:dyDescent="0.2">
      <c r="AP306" s="48"/>
    </row>
    <row r="307" spans="42:42" x14ac:dyDescent="0.2">
      <c r="AP307" s="48"/>
    </row>
    <row r="308" spans="42:42" x14ac:dyDescent="0.2">
      <c r="AP308" s="48"/>
    </row>
    <row r="309" spans="42:42" x14ac:dyDescent="0.2">
      <c r="AP309" s="48"/>
    </row>
    <row r="310" spans="42:42" x14ac:dyDescent="0.2">
      <c r="AP310" s="48"/>
    </row>
    <row r="311" spans="42:42" x14ac:dyDescent="0.2">
      <c r="AP311" s="48"/>
    </row>
    <row r="312" spans="42:42" x14ac:dyDescent="0.2">
      <c r="AP312" s="48"/>
    </row>
    <row r="313" spans="42:42" x14ac:dyDescent="0.2">
      <c r="AP313" s="48"/>
    </row>
    <row r="314" spans="42:42" x14ac:dyDescent="0.2">
      <c r="AP314" s="48"/>
    </row>
    <row r="315" spans="42:42" x14ac:dyDescent="0.2">
      <c r="AP315" s="48"/>
    </row>
    <row r="316" spans="42:42" x14ac:dyDescent="0.2">
      <c r="AP316" s="48"/>
    </row>
    <row r="317" spans="42:42" x14ac:dyDescent="0.2">
      <c r="AP317" s="48"/>
    </row>
    <row r="318" spans="42:42" x14ac:dyDescent="0.2">
      <c r="AP318" s="48"/>
    </row>
    <row r="319" spans="42:42" x14ac:dyDescent="0.2">
      <c r="AP319" s="48"/>
    </row>
    <row r="320" spans="42:42" x14ac:dyDescent="0.2">
      <c r="AP320" s="48"/>
    </row>
    <row r="321" spans="42:42" x14ac:dyDescent="0.2">
      <c r="AP321" s="48"/>
    </row>
    <row r="322" spans="42:42" x14ac:dyDescent="0.2">
      <c r="AP322" s="48"/>
    </row>
    <row r="323" spans="42:42" x14ac:dyDescent="0.2">
      <c r="AP323" s="48"/>
    </row>
    <row r="324" spans="42:42" x14ac:dyDescent="0.2">
      <c r="AP324" s="48"/>
    </row>
    <row r="325" spans="42:42" x14ac:dyDescent="0.2">
      <c r="AP325" s="48"/>
    </row>
    <row r="326" spans="42:42" x14ac:dyDescent="0.2">
      <c r="AP326" s="48"/>
    </row>
    <row r="327" spans="42:42" x14ac:dyDescent="0.2">
      <c r="AP327" s="48"/>
    </row>
    <row r="328" spans="42:42" x14ac:dyDescent="0.2">
      <c r="AP328" s="48"/>
    </row>
    <row r="329" spans="42:42" x14ac:dyDescent="0.2">
      <c r="AP329" s="48"/>
    </row>
    <row r="330" spans="42:42" x14ac:dyDescent="0.2">
      <c r="AP330" s="48"/>
    </row>
    <row r="331" spans="42:42" x14ac:dyDescent="0.2">
      <c r="AP331" s="48"/>
    </row>
    <row r="332" spans="42:42" x14ac:dyDescent="0.2">
      <c r="AP332" s="48"/>
    </row>
    <row r="333" spans="42:42" x14ac:dyDescent="0.2">
      <c r="AP333" s="48"/>
    </row>
    <row r="334" spans="42:42" x14ac:dyDescent="0.2">
      <c r="AP334" s="48"/>
    </row>
    <row r="335" spans="42:42" x14ac:dyDescent="0.2">
      <c r="AP335" s="48"/>
    </row>
    <row r="336" spans="42:42" x14ac:dyDescent="0.2">
      <c r="AP336" s="48"/>
    </row>
    <row r="337" spans="42:42" x14ac:dyDescent="0.2">
      <c r="AP337" s="48"/>
    </row>
    <row r="338" spans="42:42" x14ac:dyDescent="0.2">
      <c r="AP338" s="48"/>
    </row>
    <row r="339" spans="42:42" x14ac:dyDescent="0.2">
      <c r="AP339" s="48"/>
    </row>
    <row r="340" spans="42:42" x14ac:dyDescent="0.2">
      <c r="AP340" s="48"/>
    </row>
    <row r="341" spans="42:42" x14ac:dyDescent="0.2">
      <c r="AP341" s="48"/>
    </row>
    <row r="342" spans="42:42" x14ac:dyDescent="0.2">
      <c r="AP342" s="48"/>
    </row>
    <row r="343" spans="42:42" x14ac:dyDescent="0.2">
      <c r="AP343" s="48"/>
    </row>
    <row r="344" spans="42:42" x14ac:dyDescent="0.2">
      <c r="AP344" s="48"/>
    </row>
    <row r="345" spans="42:42" x14ac:dyDescent="0.2">
      <c r="AP345" s="48"/>
    </row>
    <row r="346" spans="42:42" x14ac:dyDescent="0.2">
      <c r="AP346" s="48"/>
    </row>
    <row r="347" spans="42:42" x14ac:dyDescent="0.2">
      <c r="AP347" s="48"/>
    </row>
    <row r="348" spans="42:42" x14ac:dyDescent="0.2">
      <c r="AP348" s="48"/>
    </row>
    <row r="349" spans="42:42" x14ac:dyDescent="0.2">
      <c r="AP349" s="48"/>
    </row>
    <row r="350" spans="42:42" x14ac:dyDescent="0.2">
      <c r="AP350" s="48"/>
    </row>
    <row r="351" spans="42:42" x14ac:dyDescent="0.2">
      <c r="AP351" s="48"/>
    </row>
    <row r="352" spans="42:42" x14ac:dyDescent="0.2">
      <c r="AP352" s="48"/>
    </row>
    <row r="353" spans="42:42" x14ac:dyDescent="0.2">
      <c r="AP353" s="48"/>
    </row>
    <row r="354" spans="42:42" x14ac:dyDescent="0.2">
      <c r="AP354" s="48"/>
    </row>
    <row r="355" spans="42:42" x14ac:dyDescent="0.2">
      <c r="AP355" s="48"/>
    </row>
    <row r="356" spans="42:42" x14ac:dyDescent="0.2">
      <c r="AP356" s="48"/>
    </row>
    <row r="357" spans="42:42" x14ac:dyDescent="0.2">
      <c r="AP357" s="48"/>
    </row>
    <row r="358" spans="42:42" x14ac:dyDescent="0.2">
      <c r="AP358" s="48"/>
    </row>
    <row r="359" spans="42:42" x14ac:dyDescent="0.2">
      <c r="AP359" s="48"/>
    </row>
    <row r="360" spans="42:42" x14ac:dyDescent="0.2">
      <c r="AP360" s="48"/>
    </row>
    <row r="361" spans="42:42" x14ac:dyDescent="0.2">
      <c r="AP361" s="48"/>
    </row>
    <row r="362" spans="42:42" x14ac:dyDescent="0.2">
      <c r="AP362" s="48"/>
    </row>
    <row r="363" spans="42:42" x14ac:dyDescent="0.2">
      <c r="AP363" s="48"/>
    </row>
    <row r="364" spans="42:42" x14ac:dyDescent="0.2">
      <c r="AP364" s="48"/>
    </row>
    <row r="365" spans="42:42" x14ac:dyDescent="0.2">
      <c r="AP365" s="48"/>
    </row>
    <row r="366" spans="42:42" x14ac:dyDescent="0.2">
      <c r="AP366" s="48"/>
    </row>
    <row r="367" spans="42:42" x14ac:dyDescent="0.2">
      <c r="AP367" s="48"/>
    </row>
    <row r="368" spans="42:42" x14ac:dyDescent="0.2">
      <c r="AP368" s="48"/>
    </row>
    <row r="369" spans="42:42" x14ac:dyDescent="0.2">
      <c r="AP369" s="48"/>
    </row>
    <row r="370" spans="42:42" x14ac:dyDescent="0.2">
      <c r="AP370" s="48"/>
    </row>
    <row r="371" spans="42:42" x14ac:dyDescent="0.2">
      <c r="AP371" s="48"/>
    </row>
    <row r="372" spans="42:42" x14ac:dyDescent="0.2">
      <c r="AP372" s="48"/>
    </row>
    <row r="373" spans="42:42" x14ac:dyDescent="0.2">
      <c r="AP373" s="48"/>
    </row>
    <row r="374" spans="42:42" x14ac:dyDescent="0.2">
      <c r="AP374" s="48"/>
    </row>
    <row r="375" spans="42:42" x14ac:dyDescent="0.2">
      <c r="AP375" s="48"/>
    </row>
    <row r="376" spans="42:42" x14ac:dyDescent="0.2">
      <c r="AP376" s="48"/>
    </row>
    <row r="377" spans="42:42" x14ac:dyDescent="0.2">
      <c r="AP377" s="48"/>
    </row>
    <row r="378" spans="42:42" x14ac:dyDescent="0.2">
      <c r="AP378" s="48"/>
    </row>
    <row r="379" spans="42:42" x14ac:dyDescent="0.2">
      <c r="AP379" s="48"/>
    </row>
    <row r="380" spans="42:42" x14ac:dyDescent="0.2">
      <c r="AP380" s="48"/>
    </row>
    <row r="381" spans="42:42" x14ac:dyDescent="0.2">
      <c r="AP381" s="48"/>
    </row>
    <row r="382" spans="42:42" x14ac:dyDescent="0.2">
      <c r="AP382" s="48"/>
    </row>
    <row r="383" spans="42:42" x14ac:dyDescent="0.2">
      <c r="AP383" s="48"/>
    </row>
    <row r="384" spans="42:42" x14ac:dyDescent="0.2">
      <c r="AP384" s="48"/>
    </row>
    <row r="385" spans="42:42" x14ac:dyDescent="0.2">
      <c r="AP385" s="48"/>
    </row>
    <row r="386" spans="42:42" x14ac:dyDescent="0.2">
      <c r="AP386" s="48"/>
    </row>
    <row r="387" spans="42:42" x14ac:dyDescent="0.2">
      <c r="AP387" s="48"/>
    </row>
    <row r="388" spans="42:42" x14ac:dyDescent="0.2">
      <c r="AP388" s="48"/>
    </row>
    <row r="389" spans="42:42" x14ac:dyDescent="0.2">
      <c r="AP389" s="48"/>
    </row>
    <row r="390" spans="42:42" x14ac:dyDescent="0.2">
      <c r="AP390" s="48"/>
    </row>
    <row r="391" spans="42:42" x14ac:dyDescent="0.2">
      <c r="AP391" s="48"/>
    </row>
    <row r="392" spans="42:42" x14ac:dyDescent="0.2">
      <c r="AP392" s="48"/>
    </row>
    <row r="393" spans="42:42" x14ac:dyDescent="0.2">
      <c r="AP393" s="48"/>
    </row>
    <row r="394" spans="42:42" x14ac:dyDescent="0.2">
      <c r="AP394" s="48"/>
    </row>
    <row r="395" spans="42:42" x14ac:dyDescent="0.2">
      <c r="AP395" s="48"/>
    </row>
    <row r="396" spans="42:42" x14ac:dyDescent="0.2">
      <c r="AP396" s="48"/>
    </row>
    <row r="397" spans="42:42" x14ac:dyDescent="0.2">
      <c r="AP397" s="48"/>
    </row>
    <row r="398" spans="42:42" x14ac:dyDescent="0.2">
      <c r="AP398" s="48"/>
    </row>
    <row r="399" spans="42:42" x14ac:dyDescent="0.2">
      <c r="AP399" s="48"/>
    </row>
    <row r="400" spans="42:42" x14ac:dyDescent="0.2">
      <c r="AP400" s="48"/>
    </row>
    <row r="401" spans="42:42" x14ac:dyDescent="0.2">
      <c r="AP401" s="48"/>
    </row>
    <row r="402" spans="42:42" x14ac:dyDescent="0.2">
      <c r="AP402" s="48"/>
    </row>
    <row r="403" spans="42:42" x14ac:dyDescent="0.2">
      <c r="AP403" s="48"/>
    </row>
    <row r="404" spans="42:42" x14ac:dyDescent="0.2">
      <c r="AP404" s="48"/>
    </row>
    <row r="405" spans="42:42" x14ac:dyDescent="0.2">
      <c r="AP405" s="48"/>
    </row>
    <row r="406" spans="42:42" x14ac:dyDescent="0.2">
      <c r="AP406" s="48"/>
    </row>
    <row r="407" spans="42:42" x14ac:dyDescent="0.2">
      <c r="AP407" s="48"/>
    </row>
    <row r="408" spans="42:42" x14ac:dyDescent="0.2">
      <c r="AP408" s="48"/>
    </row>
    <row r="409" spans="42:42" x14ac:dyDescent="0.2">
      <c r="AP409" s="48"/>
    </row>
    <row r="410" spans="42:42" x14ac:dyDescent="0.2">
      <c r="AP410" s="48"/>
    </row>
    <row r="411" spans="42:42" x14ac:dyDescent="0.2">
      <c r="AP411" s="48"/>
    </row>
    <row r="412" spans="42:42" x14ac:dyDescent="0.2">
      <c r="AP412" s="48"/>
    </row>
    <row r="413" spans="42:42" x14ac:dyDescent="0.2">
      <c r="AP413" s="48"/>
    </row>
    <row r="414" spans="42:42" x14ac:dyDescent="0.2">
      <c r="AP414" s="48"/>
    </row>
    <row r="415" spans="42:42" x14ac:dyDescent="0.2">
      <c r="AP415" s="48"/>
    </row>
    <row r="416" spans="42:42" x14ac:dyDescent="0.2">
      <c r="AP416" s="48"/>
    </row>
    <row r="417" spans="42:42" x14ac:dyDescent="0.2">
      <c r="AP417" s="48"/>
    </row>
    <row r="418" spans="42:42" x14ac:dyDescent="0.2">
      <c r="AP418" s="48"/>
    </row>
    <row r="419" spans="42:42" x14ac:dyDescent="0.2">
      <c r="AP419" s="48"/>
    </row>
    <row r="420" spans="42:42" x14ac:dyDescent="0.2">
      <c r="AP420" s="48"/>
    </row>
    <row r="421" spans="42:42" x14ac:dyDescent="0.2">
      <c r="AP421" s="48"/>
    </row>
    <row r="422" spans="42:42" x14ac:dyDescent="0.2">
      <c r="AP422" s="48"/>
    </row>
    <row r="423" spans="42:42" x14ac:dyDescent="0.2">
      <c r="AP423" s="48"/>
    </row>
    <row r="424" spans="42:42" x14ac:dyDescent="0.2">
      <c r="AP424" s="48"/>
    </row>
    <row r="425" spans="42:42" x14ac:dyDescent="0.2">
      <c r="AP425" s="48"/>
    </row>
    <row r="426" spans="42:42" x14ac:dyDescent="0.2">
      <c r="AP426" s="48"/>
    </row>
    <row r="427" spans="42:42" x14ac:dyDescent="0.2">
      <c r="AP427" s="48"/>
    </row>
    <row r="428" spans="42:42" x14ac:dyDescent="0.2">
      <c r="AP428" s="48"/>
    </row>
    <row r="429" spans="42:42" x14ac:dyDescent="0.2">
      <c r="AP429" s="48"/>
    </row>
    <row r="430" spans="42:42" x14ac:dyDescent="0.2">
      <c r="AP430" s="48"/>
    </row>
    <row r="431" spans="42:42" x14ac:dyDescent="0.2">
      <c r="AP431" s="48"/>
    </row>
    <row r="432" spans="42:42" x14ac:dyDescent="0.2">
      <c r="AP432" s="48"/>
    </row>
    <row r="433" spans="42:42" x14ac:dyDescent="0.2">
      <c r="AP433" s="48"/>
    </row>
    <row r="434" spans="42:42" x14ac:dyDescent="0.2">
      <c r="AP434" s="48"/>
    </row>
    <row r="435" spans="42:42" x14ac:dyDescent="0.2">
      <c r="AP435" s="48"/>
    </row>
    <row r="436" spans="42:42" x14ac:dyDescent="0.2">
      <c r="AP436" s="48"/>
    </row>
    <row r="437" spans="42:42" x14ac:dyDescent="0.2">
      <c r="AP437" s="48"/>
    </row>
    <row r="438" spans="42:42" x14ac:dyDescent="0.2">
      <c r="AP438" s="48"/>
    </row>
    <row r="439" spans="42:42" x14ac:dyDescent="0.2">
      <c r="AP439" s="48"/>
    </row>
    <row r="440" spans="42:42" x14ac:dyDescent="0.2">
      <c r="AP440" s="48"/>
    </row>
    <row r="441" spans="42:42" x14ac:dyDescent="0.2">
      <c r="AP441" s="48"/>
    </row>
    <row r="442" spans="42:42" x14ac:dyDescent="0.2">
      <c r="AP442" s="48"/>
    </row>
    <row r="443" spans="42:42" x14ac:dyDescent="0.2">
      <c r="AP443" s="48"/>
    </row>
    <row r="444" spans="42:42" x14ac:dyDescent="0.2">
      <c r="AP444" s="48"/>
    </row>
    <row r="445" spans="42:42" x14ac:dyDescent="0.2">
      <c r="AP445" s="48"/>
    </row>
    <row r="446" spans="42:42" x14ac:dyDescent="0.2">
      <c r="AP446" s="48"/>
    </row>
    <row r="447" spans="42:42" x14ac:dyDescent="0.2">
      <c r="AP447" s="48"/>
    </row>
    <row r="448" spans="42:42" x14ac:dyDescent="0.2">
      <c r="AP448" s="48"/>
    </row>
    <row r="449" spans="42:42" x14ac:dyDescent="0.2">
      <c r="AP449" s="48"/>
    </row>
    <row r="450" spans="42:42" x14ac:dyDescent="0.2">
      <c r="AP450" s="48"/>
    </row>
    <row r="451" spans="42:42" x14ac:dyDescent="0.2">
      <c r="AP451" s="48"/>
    </row>
    <row r="452" spans="42:42" x14ac:dyDescent="0.2">
      <c r="AP452" s="48"/>
    </row>
    <row r="453" spans="42:42" x14ac:dyDescent="0.2">
      <c r="AP453" s="48"/>
    </row>
    <row r="454" spans="42:42" x14ac:dyDescent="0.2">
      <c r="AP454" s="48"/>
    </row>
    <row r="455" spans="42:42" x14ac:dyDescent="0.2">
      <c r="AP455" s="48"/>
    </row>
    <row r="456" spans="42:42" x14ac:dyDescent="0.2">
      <c r="AP456" s="48"/>
    </row>
    <row r="457" spans="42:42" x14ac:dyDescent="0.2">
      <c r="AP457" s="48"/>
    </row>
    <row r="458" spans="42:42" x14ac:dyDescent="0.2">
      <c r="AP458" s="48"/>
    </row>
    <row r="459" spans="42:42" x14ac:dyDescent="0.2">
      <c r="AP459" s="48"/>
    </row>
    <row r="460" spans="42:42" x14ac:dyDescent="0.2">
      <c r="AP460" s="48"/>
    </row>
    <row r="461" spans="42:42" x14ac:dyDescent="0.2">
      <c r="AP461" s="48"/>
    </row>
    <row r="462" spans="42:42" x14ac:dyDescent="0.2">
      <c r="AP462" s="48"/>
    </row>
    <row r="463" spans="42:42" x14ac:dyDescent="0.2">
      <c r="AP463" s="48"/>
    </row>
    <row r="464" spans="42:42" x14ac:dyDescent="0.2">
      <c r="AP464" s="48"/>
    </row>
    <row r="465" spans="42:42" x14ac:dyDescent="0.2">
      <c r="AP465" s="48"/>
    </row>
    <row r="466" spans="42:42" x14ac:dyDescent="0.2">
      <c r="AP466" s="48"/>
    </row>
    <row r="467" spans="42:42" x14ac:dyDescent="0.2">
      <c r="AP467" s="48"/>
    </row>
    <row r="468" spans="42:42" x14ac:dyDescent="0.2">
      <c r="AP468" s="48"/>
    </row>
    <row r="469" spans="42:42" x14ac:dyDescent="0.2">
      <c r="AP469" s="48"/>
    </row>
    <row r="470" spans="42:42" x14ac:dyDescent="0.2">
      <c r="AP470" s="48"/>
    </row>
    <row r="471" spans="42:42" x14ac:dyDescent="0.2">
      <c r="AP471" s="48"/>
    </row>
    <row r="472" spans="42:42" x14ac:dyDescent="0.2">
      <c r="AP472" s="48"/>
    </row>
    <row r="473" spans="42:42" x14ac:dyDescent="0.2">
      <c r="AP473" s="48"/>
    </row>
    <row r="474" spans="42:42" x14ac:dyDescent="0.2">
      <c r="AP474" s="48"/>
    </row>
    <row r="475" spans="42:42" x14ac:dyDescent="0.2">
      <c r="AP475" s="48"/>
    </row>
    <row r="476" spans="42:42" x14ac:dyDescent="0.2">
      <c r="AP476" s="48"/>
    </row>
    <row r="477" spans="42:42" x14ac:dyDescent="0.2">
      <c r="AP477" s="48"/>
    </row>
    <row r="478" spans="42:42" x14ac:dyDescent="0.2">
      <c r="AP478" s="48"/>
    </row>
    <row r="479" spans="42:42" x14ac:dyDescent="0.2">
      <c r="AP479" s="48"/>
    </row>
    <row r="480" spans="42:42" x14ac:dyDescent="0.2">
      <c r="AP480" s="48"/>
    </row>
    <row r="481" spans="42:42" x14ac:dyDescent="0.2">
      <c r="AP481" s="48"/>
    </row>
    <row r="482" spans="42:42" x14ac:dyDescent="0.2">
      <c r="AP482" s="48"/>
    </row>
    <row r="483" spans="42:42" x14ac:dyDescent="0.2">
      <c r="AP483" s="48"/>
    </row>
    <row r="484" spans="42:42" x14ac:dyDescent="0.2">
      <c r="AP484" s="48"/>
    </row>
    <row r="485" spans="42:42" x14ac:dyDescent="0.2">
      <c r="AP485" s="48"/>
    </row>
    <row r="486" spans="42:42" x14ac:dyDescent="0.2">
      <c r="AP486" s="48"/>
    </row>
    <row r="487" spans="42:42" x14ac:dyDescent="0.2">
      <c r="AP487" s="48"/>
    </row>
    <row r="488" spans="42:42" x14ac:dyDescent="0.2">
      <c r="AP488" s="48"/>
    </row>
    <row r="489" spans="42:42" x14ac:dyDescent="0.2">
      <c r="AP489" s="48"/>
    </row>
    <row r="490" spans="42:42" x14ac:dyDescent="0.2">
      <c r="AP490" s="48"/>
    </row>
    <row r="491" spans="42:42" x14ac:dyDescent="0.2">
      <c r="AP491" s="48"/>
    </row>
    <row r="492" spans="42:42" x14ac:dyDescent="0.2">
      <c r="AP492" s="48"/>
    </row>
    <row r="493" spans="42:42" x14ac:dyDescent="0.2">
      <c r="AP493" s="48"/>
    </row>
    <row r="494" spans="42:42" x14ac:dyDescent="0.2">
      <c r="AP494" s="48"/>
    </row>
    <row r="495" spans="42:42" x14ac:dyDescent="0.2">
      <c r="AP495" s="48"/>
    </row>
    <row r="496" spans="42:42" x14ac:dyDescent="0.2">
      <c r="AP496" s="48"/>
    </row>
    <row r="497" spans="42:42" x14ac:dyDescent="0.2">
      <c r="AP497" s="48"/>
    </row>
    <row r="498" spans="42:42" x14ac:dyDescent="0.2">
      <c r="AP498" s="48"/>
    </row>
    <row r="499" spans="42:42" x14ac:dyDescent="0.2">
      <c r="AP499" s="48"/>
    </row>
    <row r="500" spans="42:42" x14ac:dyDescent="0.2">
      <c r="AP500" s="48"/>
    </row>
    <row r="501" spans="42:42" x14ac:dyDescent="0.2">
      <c r="AP501" s="48"/>
    </row>
    <row r="502" spans="42:42" x14ac:dyDescent="0.2">
      <c r="AP502" s="48"/>
    </row>
    <row r="503" spans="42:42" x14ac:dyDescent="0.2">
      <c r="AP503" s="48"/>
    </row>
    <row r="504" spans="42:42" x14ac:dyDescent="0.2">
      <c r="AP504" s="48"/>
    </row>
    <row r="505" spans="42:42" x14ac:dyDescent="0.2">
      <c r="AP505" s="48"/>
    </row>
    <row r="506" spans="42:42" x14ac:dyDescent="0.2">
      <c r="AP506" s="48"/>
    </row>
    <row r="507" spans="42:42" x14ac:dyDescent="0.2">
      <c r="AP507" s="48"/>
    </row>
    <row r="508" spans="42:42" x14ac:dyDescent="0.2">
      <c r="AP508" s="48"/>
    </row>
    <row r="509" spans="42:42" x14ac:dyDescent="0.2">
      <c r="AP509" s="48"/>
    </row>
    <row r="510" spans="42:42" x14ac:dyDescent="0.2">
      <c r="AP510" s="48"/>
    </row>
    <row r="511" spans="42:42" x14ac:dyDescent="0.2">
      <c r="AP511" s="48"/>
    </row>
    <row r="512" spans="42:42" x14ac:dyDescent="0.2">
      <c r="AP512" s="48"/>
    </row>
    <row r="513" spans="42:42" x14ac:dyDescent="0.2">
      <c r="AP513" s="48"/>
    </row>
    <row r="514" spans="42:42" x14ac:dyDescent="0.2">
      <c r="AP514" s="48"/>
    </row>
    <row r="515" spans="42:42" x14ac:dyDescent="0.2">
      <c r="AP515" s="48"/>
    </row>
    <row r="516" spans="42:42" x14ac:dyDescent="0.2">
      <c r="AP516" s="48"/>
    </row>
    <row r="517" spans="42:42" x14ac:dyDescent="0.2">
      <c r="AP517" s="48"/>
    </row>
    <row r="518" spans="42:42" x14ac:dyDescent="0.2">
      <c r="AP518" s="48"/>
    </row>
    <row r="519" spans="42:42" x14ac:dyDescent="0.2">
      <c r="AP519" s="48"/>
    </row>
    <row r="520" spans="42:42" x14ac:dyDescent="0.2">
      <c r="AP520" s="48"/>
    </row>
    <row r="521" spans="42:42" x14ac:dyDescent="0.2">
      <c r="AP521" s="48"/>
    </row>
    <row r="522" spans="42:42" x14ac:dyDescent="0.2">
      <c r="AP522" s="48"/>
    </row>
    <row r="523" spans="42:42" x14ac:dyDescent="0.2">
      <c r="AP523" s="48"/>
    </row>
    <row r="524" spans="42:42" x14ac:dyDescent="0.2">
      <c r="AP524" s="48"/>
    </row>
    <row r="525" spans="42:42" x14ac:dyDescent="0.2">
      <c r="AP525" s="48"/>
    </row>
    <row r="526" spans="42:42" x14ac:dyDescent="0.2">
      <c r="AP526" s="48"/>
    </row>
    <row r="527" spans="42:42" x14ac:dyDescent="0.2">
      <c r="AP527" s="48"/>
    </row>
    <row r="528" spans="42:42" x14ac:dyDescent="0.2">
      <c r="AP528" s="48"/>
    </row>
    <row r="529" spans="42:42" x14ac:dyDescent="0.2">
      <c r="AP529" s="48"/>
    </row>
    <row r="530" spans="42:42" x14ac:dyDescent="0.2">
      <c r="AP530" s="48"/>
    </row>
    <row r="531" spans="42:42" x14ac:dyDescent="0.2">
      <c r="AP531" s="48"/>
    </row>
    <row r="532" spans="42:42" x14ac:dyDescent="0.2">
      <c r="AP532" s="48"/>
    </row>
    <row r="533" spans="42:42" x14ac:dyDescent="0.2">
      <c r="AP533" s="48"/>
    </row>
    <row r="534" spans="42:42" x14ac:dyDescent="0.2">
      <c r="AP534" s="48"/>
    </row>
    <row r="535" spans="42:42" x14ac:dyDescent="0.2">
      <c r="AP535" s="48"/>
    </row>
    <row r="536" spans="42:42" x14ac:dyDescent="0.2">
      <c r="AP536" s="48"/>
    </row>
    <row r="537" spans="42:42" x14ac:dyDescent="0.2">
      <c r="AP537" s="48"/>
    </row>
    <row r="538" spans="42:42" x14ac:dyDescent="0.2">
      <c r="AP538" s="48"/>
    </row>
    <row r="539" spans="42:42" x14ac:dyDescent="0.2">
      <c r="AP539" s="48"/>
    </row>
    <row r="540" spans="42:42" x14ac:dyDescent="0.2">
      <c r="AP540" s="48"/>
    </row>
    <row r="541" spans="42:42" x14ac:dyDescent="0.2">
      <c r="AP541" s="48"/>
    </row>
    <row r="542" spans="42:42" x14ac:dyDescent="0.2">
      <c r="AP542" s="48"/>
    </row>
    <row r="543" spans="42:42" x14ac:dyDescent="0.2">
      <c r="AP543" s="48"/>
    </row>
    <row r="544" spans="42:42" x14ac:dyDescent="0.2">
      <c r="AP544" s="48"/>
    </row>
    <row r="545" spans="42:42" x14ac:dyDescent="0.2">
      <c r="AP545" s="48"/>
    </row>
    <row r="546" spans="42:42" x14ac:dyDescent="0.2">
      <c r="AP546" s="48"/>
    </row>
    <row r="547" spans="42:42" x14ac:dyDescent="0.2">
      <c r="AP547" s="48"/>
    </row>
    <row r="548" spans="42:42" x14ac:dyDescent="0.2">
      <c r="AP548" s="48"/>
    </row>
    <row r="549" spans="42:42" x14ac:dyDescent="0.2">
      <c r="AP549" s="48"/>
    </row>
    <row r="550" spans="42:42" x14ac:dyDescent="0.2">
      <c r="AP550" s="48"/>
    </row>
    <row r="551" spans="42:42" x14ac:dyDescent="0.2">
      <c r="AP551" s="48"/>
    </row>
    <row r="552" spans="42:42" x14ac:dyDescent="0.2">
      <c r="AP552" s="48"/>
    </row>
    <row r="553" spans="42:42" x14ac:dyDescent="0.2">
      <c r="AP553" s="48"/>
    </row>
    <row r="554" spans="42:42" x14ac:dyDescent="0.2">
      <c r="AP554" s="48"/>
    </row>
    <row r="555" spans="42:42" x14ac:dyDescent="0.2">
      <c r="AP555" s="48"/>
    </row>
    <row r="556" spans="42:42" x14ac:dyDescent="0.2">
      <c r="AP556" s="48"/>
    </row>
    <row r="557" spans="42:42" x14ac:dyDescent="0.2">
      <c r="AP557" s="48"/>
    </row>
    <row r="558" spans="42:42" x14ac:dyDescent="0.2">
      <c r="AP558" s="48"/>
    </row>
    <row r="559" spans="42:42" x14ac:dyDescent="0.2">
      <c r="AP559" s="48"/>
    </row>
    <row r="560" spans="42:42" x14ac:dyDescent="0.2">
      <c r="AP560" s="48"/>
    </row>
    <row r="561" spans="42:42" x14ac:dyDescent="0.2">
      <c r="AP561" s="48"/>
    </row>
    <row r="562" spans="42:42" x14ac:dyDescent="0.2">
      <c r="AP562" s="48"/>
    </row>
    <row r="563" spans="42:42" x14ac:dyDescent="0.2">
      <c r="AP563" s="48"/>
    </row>
    <row r="564" spans="42:42" x14ac:dyDescent="0.2">
      <c r="AP564" s="48"/>
    </row>
    <row r="565" spans="42:42" x14ac:dyDescent="0.2">
      <c r="AP565" s="48"/>
    </row>
    <row r="566" spans="42:42" x14ac:dyDescent="0.2">
      <c r="AP566" s="48"/>
    </row>
    <row r="567" spans="42:42" x14ac:dyDescent="0.2">
      <c r="AP567" s="48"/>
    </row>
    <row r="568" spans="42:42" x14ac:dyDescent="0.2">
      <c r="AP568" s="48"/>
    </row>
    <row r="569" spans="42:42" x14ac:dyDescent="0.2">
      <c r="AP569" s="48"/>
    </row>
    <row r="570" spans="42:42" x14ac:dyDescent="0.2">
      <c r="AP570" s="48"/>
    </row>
    <row r="571" spans="42:42" x14ac:dyDescent="0.2">
      <c r="AP571" s="48"/>
    </row>
    <row r="572" spans="42:42" x14ac:dyDescent="0.2">
      <c r="AP572" s="48"/>
    </row>
    <row r="573" spans="42:42" x14ac:dyDescent="0.2">
      <c r="AP573" s="48"/>
    </row>
    <row r="574" spans="42:42" x14ac:dyDescent="0.2">
      <c r="AP574" s="48"/>
    </row>
    <row r="575" spans="42:42" x14ac:dyDescent="0.2">
      <c r="AP575" s="48"/>
    </row>
    <row r="576" spans="42:42" x14ac:dyDescent="0.2">
      <c r="AP576" s="48"/>
    </row>
    <row r="577" spans="42:42" x14ac:dyDescent="0.2">
      <c r="AP577" s="48"/>
    </row>
    <row r="578" spans="42:42" x14ac:dyDescent="0.2">
      <c r="AP578" s="48"/>
    </row>
    <row r="579" spans="42:42" x14ac:dyDescent="0.2">
      <c r="AP579" s="48"/>
    </row>
    <row r="580" spans="42:42" x14ac:dyDescent="0.2">
      <c r="AP580" s="48"/>
    </row>
    <row r="581" spans="42:42" x14ac:dyDescent="0.2">
      <c r="AP581" s="48"/>
    </row>
    <row r="582" spans="42:42" x14ac:dyDescent="0.2">
      <c r="AP582" s="48"/>
    </row>
    <row r="583" spans="42:42" x14ac:dyDescent="0.2">
      <c r="AP583" s="48"/>
    </row>
    <row r="584" spans="42:42" x14ac:dyDescent="0.2">
      <c r="AP584" s="48"/>
    </row>
    <row r="585" spans="42:42" x14ac:dyDescent="0.2">
      <c r="AP585" s="48"/>
    </row>
    <row r="586" spans="42:42" x14ac:dyDescent="0.2">
      <c r="AP586" s="48"/>
    </row>
    <row r="587" spans="42:42" x14ac:dyDescent="0.2">
      <c r="AP587" s="48"/>
    </row>
    <row r="588" spans="42:42" x14ac:dyDescent="0.2">
      <c r="AP588" s="48"/>
    </row>
    <row r="589" spans="42:42" x14ac:dyDescent="0.2">
      <c r="AP589" s="48"/>
    </row>
    <row r="590" spans="42:42" x14ac:dyDescent="0.2">
      <c r="AP590" s="48"/>
    </row>
    <row r="591" spans="42:42" x14ac:dyDescent="0.2">
      <c r="AP591" s="48"/>
    </row>
    <row r="592" spans="42:42" x14ac:dyDescent="0.2">
      <c r="AP592" s="48"/>
    </row>
    <row r="593" spans="1:42" x14ac:dyDescent="0.2">
      <c r="AP593" s="48"/>
    </row>
    <row r="594" spans="1:42" x14ac:dyDescent="0.2">
      <c r="AP594" s="48"/>
    </row>
    <row r="595" spans="1:42" customForma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</row>
    <row r="596" spans="1:42" x14ac:dyDescent="0.2">
      <c r="AP596" s="48"/>
    </row>
    <row r="597" spans="1:42" x14ac:dyDescent="0.2">
      <c r="AP597" s="48"/>
    </row>
    <row r="598" spans="1:42" x14ac:dyDescent="0.2">
      <c r="AP598" s="48"/>
    </row>
    <row r="599" spans="1:42" x14ac:dyDescent="0.2">
      <c r="AP599" s="48"/>
    </row>
    <row r="600" spans="1:42" x14ac:dyDescent="0.2">
      <c r="AP600" s="48"/>
    </row>
    <row r="601" spans="1:42" x14ac:dyDescent="0.2">
      <c r="AP601" s="48"/>
    </row>
    <row r="602" spans="1:42" x14ac:dyDescent="0.2">
      <c r="AP602" s="48"/>
    </row>
    <row r="603" spans="1:42" x14ac:dyDescent="0.2">
      <c r="AP603" s="48"/>
    </row>
    <row r="604" spans="1:42" x14ac:dyDescent="0.2">
      <c r="AP604" s="48"/>
    </row>
    <row r="605" spans="1:42" x14ac:dyDescent="0.2">
      <c r="AP605" s="48"/>
    </row>
    <row r="606" spans="1:42" x14ac:dyDescent="0.2">
      <c r="AP606" s="48"/>
    </row>
    <row r="607" spans="1:42" x14ac:dyDescent="0.2">
      <c r="AP607" s="48"/>
    </row>
    <row r="608" spans="1:42" x14ac:dyDescent="0.2">
      <c r="AP608" s="48"/>
    </row>
    <row r="609" spans="42:42" x14ac:dyDescent="0.2">
      <c r="AP609" s="48"/>
    </row>
    <row r="610" spans="42:42" x14ac:dyDescent="0.2">
      <c r="AP610" s="48"/>
    </row>
    <row r="611" spans="42:42" x14ac:dyDescent="0.2">
      <c r="AP611" s="48"/>
    </row>
    <row r="612" spans="42:42" x14ac:dyDescent="0.2">
      <c r="AP612" s="48"/>
    </row>
    <row r="613" spans="42:42" x14ac:dyDescent="0.2">
      <c r="AP613" s="48"/>
    </row>
    <row r="614" spans="42:42" x14ac:dyDescent="0.2">
      <c r="AP614" s="48"/>
    </row>
    <row r="615" spans="42:42" x14ac:dyDescent="0.2">
      <c r="AP615" s="48"/>
    </row>
    <row r="616" spans="42:42" x14ac:dyDescent="0.2">
      <c r="AP616" s="48"/>
    </row>
    <row r="617" spans="42:42" x14ac:dyDescent="0.2">
      <c r="AP617" s="48"/>
    </row>
    <row r="618" spans="42:42" x14ac:dyDescent="0.2">
      <c r="AP618" s="48"/>
    </row>
    <row r="619" spans="42:42" x14ac:dyDescent="0.2">
      <c r="AP619" s="48"/>
    </row>
    <row r="620" spans="42:42" x14ac:dyDescent="0.2">
      <c r="AP620" s="48"/>
    </row>
    <row r="621" spans="42:42" x14ac:dyDescent="0.2">
      <c r="AP621" s="48"/>
    </row>
    <row r="622" spans="42:42" x14ac:dyDescent="0.2">
      <c r="AP622" s="48"/>
    </row>
    <row r="623" spans="42:42" x14ac:dyDescent="0.2">
      <c r="AP623" s="48"/>
    </row>
    <row r="624" spans="42:42" x14ac:dyDescent="0.2">
      <c r="AP624" s="48"/>
    </row>
    <row r="625" spans="42:42" x14ac:dyDescent="0.2">
      <c r="AP625" s="48"/>
    </row>
    <row r="626" spans="42:42" x14ac:dyDescent="0.2">
      <c r="AP626" s="48"/>
    </row>
    <row r="627" spans="42:42" x14ac:dyDescent="0.2">
      <c r="AP627" s="48"/>
    </row>
    <row r="628" spans="42:42" x14ac:dyDescent="0.2">
      <c r="AP628" s="48"/>
    </row>
    <row r="629" spans="42:42" x14ac:dyDescent="0.2">
      <c r="AP629" s="48"/>
    </row>
    <row r="630" spans="42:42" x14ac:dyDescent="0.2">
      <c r="AP630" s="48"/>
    </row>
    <row r="631" spans="42:42" x14ac:dyDescent="0.2">
      <c r="AP631" s="48"/>
    </row>
    <row r="632" spans="42:42" x14ac:dyDescent="0.2">
      <c r="AP632" s="48"/>
    </row>
    <row r="633" spans="42:42" x14ac:dyDescent="0.2">
      <c r="AP633" s="48"/>
    </row>
    <row r="634" spans="42:42" x14ac:dyDescent="0.2">
      <c r="AP634" s="48"/>
    </row>
    <row r="635" spans="42:42" x14ac:dyDescent="0.2">
      <c r="AP635" s="48"/>
    </row>
    <row r="636" spans="42:42" x14ac:dyDescent="0.2">
      <c r="AP636" s="48"/>
    </row>
    <row r="637" spans="42:42" x14ac:dyDescent="0.2">
      <c r="AP637" s="48"/>
    </row>
    <row r="638" spans="42:42" x14ac:dyDescent="0.2">
      <c r="AP638" s="48"/>
    </row>
    <row r="639" spans="42:42" x14ac:dyDescent="0.2">
      <c r="AP639" s="48"/>
    </row>
    <row r="640" spans="42:42" x14ac:dyDescent="0.2">
      <c r="AP640" s="48"/>
    </row>
    <row r="641" spans="42:42" x14ac:dyDescent="0.2">
      <c r="AP641" s="48"/>
    </row>
    <row r="642" spans="42:42" x14ac:dyDescent="0.2">
      <c r="AP642" s="48"/>
    </row>
    <row r="643" spans="42:42" x14ac:dyDescent="0.2">
      <c r="AP643" s="48"/>
    </row>
    <row r="644" spans="42:42" x14ac:dyDescent="0.2">
      <c r="AP644" s="48"/>
    </row>
    <row r="645" spans="42:42" x14ac:dyDescent="0.2">
      <c r="AP645" s="48"/>
    </row>
    <row r="646" spans="42:42" x14ac:dyDescent="0.2">
      <c r="AP646" s="48"/>
    </row>
    <row r="647" spans="42:42" x14ac:dyDescent="0.2">
      <c r="AP647" s="48"/>
    </row>
    <row r="648" spans="42:42" x14ac:dyDescent="0.2">
      <c r="AP648" s="48"/>
    </row>
    <row r="649" spans="42:42" x14ac:dyDescent="0.2">
      <c r="AP649" s="48"/>
    </row>
    <row r="650" spans="42:42" x14ac:dyDescent="0.2">
      <c r="AP650" s="48"/>
    </row>
    <row r="651" spans="42:42" x14ac:dyDescent="0.2">
      <c r="AP651" s="48"/>
    </row>
    <row r="652" spans="42:42" x14ac:dyDescent="0.2">
      <c r="AP652" s="48"/>
    </row>
    <row r="653" spans="42:42" x14ac:dyDescent="0.2">
      <c r="AP653" s="48"/>
    </row>
    <row r="654" spans="42:42" x14ac:dyDescent="0.2">
      <c r="AP654" s="48"/>
    </row>
    <row r="655" spans="42:42" x14ac:dyDescent="0.2">
      <c r="AP655" s="48"/>
    </row>
    <row r="656" spans="42:42" x14ac:dyDescent="0.2">
      <c r="AP656" s="48"/>
    </row>
    <row r="657" spans="42:42" x14ac:dyDescent="0.2">
      <c r="AP657" s="48"/>
    </row>
    <row r="658" spans="42:42" x14ac:dyDescent="0.2">
      <c r="AP658" s="48"/>
    </row>
    <row r="659" spans="42:42" x14ac:dyDescent="0.2">
      <c r="AP659" s="48"/>
    </row>
    <row r="660" spans="42:42" x14ac:dyDescent="0.2">
      <c r="AP660" s="48"/>
    </row>
    <row r="661" spans="42:42" x14ac:dyDescent="0.2">
      <c r="AP661" s="48"/>
    </row>
    <row r="662" spans="42:42" x14ac:dyDescent="0.2">
      <c r="AP662" s="48"/>
    </row>
    <row r="663" spans="42:42" x14ac:dyDescent="0.2">
      <c r="AP663" s="48"/>
    </row>
    <row r="664" spans="42:42" x14ac:dyDescent="0.2">
      <c r="AP664" s="48"/>
    </row>
    <row r="665" spans="42:42" x14ac:dyDescent="0.2">
      <c r="AP665" s="48"/>
    </row>
    <row r="666" spans="42:42" x14ac:dyDescent="0.2">
      <c r="AP666" s="48"/>
    </row>
    <row r="667" spans="42:42" x14ac:dyDescent="0.2">
      <c r="AP667" s="48"/>
    </row>
    <row r="668" spans="42:42" x14ac:dyDescent="0.2">
      <c r="AP668" s="48"/>
    </row>
    <row r="669" spans="42:42" x14ac:dyDescent="0.2">
      <c r="AP669" s="48"/>
    </row>
    <row r="670" spans="42:42" x14ac:dyDescent="0.2">
      <c r="AP670" s="48"/>
    </row>
    <row r="671" spans="42:42" x14ac:dyDescent="0.2">
      <c r="AP671" s="48"/>
    </row>
    <row r="672" spans="42:42" x14ac:dyDescent="0.2">
      <c r="AP672" s="48"/>
    </row>
    <row r="673" spans="42:42" x14ac:dyDescent="0.2">
      <c r="AP673" s="48"/>
    </row>
    <row r="674" spans="42:42" x14ac:dyDescent="0.2">
      <c r="AP674" s="48"/>
    </row>
    <row r="675" spans="42:42" x14ac:dyDescent="0.2">
      <c r="AP675" s="48"/>
    </row>
    <row r="676" spans="42:42" x14ac:dyDescent="0.2">
      <c r="AP676" s="48"/>
    </row>
    <row r="677" spans="42:42" x14ac:dyDescent="0.2">
      <c r="AP677" s="48"/>
    </row>
    <row r="678" spans="42:42" x14ac:dyDescent="0.2">
      <c r="AP678" s="48"/>
    </row>
    <row r="679" spans="42:42" x14ac:dyDescent="0.2">
      <c r="AP679" s="48"/>
    </row>
    <row r="680" spans="42:42" x14ac:dyDescent="0.2">
      <c r="AP680" s="48"/>
    </row>
    <row r="681" spans="42:42" x14ac:dyDescent="0.2">
      <c r="AP681" s="48"/>
    </row>
    <row r="682" spans="42:42" x14ac:dyDescent="0.2">
      <c r="AP682" s="48"/>
    </row>
    <row r="683" spans="42:42" x14ac:dyDescent="0.2">
      <c r="AP683" s="48"/>
    </row>
    <row r="684" spans="42:42" x14ac:dyDescent="0.2">
      <c r="AP684" s="48"/>
    </row>
    <row r="685" spans="42:42" x14ac:dyDescent="0.2">
      <c r="AP685" s="48"/>
    </row>
    <row r="686" spans="42:42" x14ac:dyDescent="0.2">
      <c r="AP686" s="48"/>
    </row>
    <row r="687" spans="42:42" x14ac:dyDescent="0.2">
      <c r="AP687" s="48"/>
    </row>
    <row r="688" spans="42:42" x14ac:dyDescent="0.2">
      <c r="AP688" s="48"/>
    </row>
    <row r="689" spans="42:42" x14ac:dyDescent="0.2">
      <c r="AP689" s="48"/>
    </row>
    <row r="690" spans="42:42" x14ac:dyDescent="0.2">
      <c r="AP690" s="48"/>
    </row>
    <row r="691" spans="42:42" x14ac:dyDescent="0.2">
      <c r="AP691" s="48"/>
    </row>
    <row r="692" spans="42:42" x14ac:dyDescent="0.2">
      <c r="AP692" s="48"/>
    </row>
    <row r="693" spans="42:42" x14ac:dyDescent="0.2">
      <c r="AP693" s="48"/>
    </row>
    <row r="694" spans="42:42" x14ac:dyDescent="0.2">
      <c r="AP694" s="48"/>
    </row>
    <row r="695" spans="42:42" x14ac:dyDescent="0.2">
      <c r="AP695" s="48"/>
    </row>
    <row r="696" spans="42:42" x14ac:dyDescent="0.2">
      <c r="AP696" s="48"/>
    </row>
    <row r="697" spans="42:42" x14ac:dyDescent="0.2">
      <c r="AP697" s="48"/>
    </row>
    <row r="698" spans="42:42" x14ac:dyDescent="0.2">
      <c r="AP698" s="48"/>
    </row>
    <row r="699" spans="42:42" x14ac:dyDescent="0.2">
      <c r="AP699" s="48"/>
    </row>
    <row r="700" spans="42:42" x14ac:dyDescent="0.2">
      <c r="AP700" s="48"/>
    </row>
    <row r="701" spans="42:42" x14ac:dyDescent="0.2">
      <c r="AP701" s="48"/>
    </row>
    <row r="702" spans="42:42" x14ac:dyDescent="0.2">
      <c r="AP702" s="48"/>
    </row>
    <row r="703" spans="42:42" x14ac:dyDescent="0.2">
      <c r="AP703" s="48"/>
    </row>
    <row r="704" spans="42:42" x14ac:dyDescent="0.2">
      <c r="AP704" s="48"/>
    </row>
    <row r="705" spans="42:42" x14ac:dyDescent="0.2">
      <c r="AP705" s="48"/>
    </row>
    <row r="706" spans="42:42" x14ac:dyDescent="0.2">
      <c r="AP706" s="48"/>
    </row>
    <row r="707" spans="42:42" x14ac:dyDescent="0.2">
      <c r="AP707" s="48"/>
    </row>
    <row r="708" spans="42:42" x14ac:dyDescent="0.2">
      <c r="AP708" s="48"/>
    </row>
    <row r="709" spans="42:42" x14ac:dyDescent="0.2">
      <c r="AP709" s="48"/>
    </row>
    <row r="710" spans="42:42" x14ac:dyDescent="0.2">
      <c r="AP710" s="48"/>
    </row>
    <row r="711" spans="42:42" x14ac:dyDescent="0.2">
      <c r="AP711" s="48"/>
    </row>
    <row r="712" spans="42:42" x14ac:dyDescent="0.2">
      <c r="AP712" s="48"/>
    </row>
    <row r="713" spans="42:42" x14ac:dyDescent="0.2">
      <c r="AP713" s="48"/>
    </row>
    <row r="714" spans="42:42" x14ac:dyDescent="0.2">
      <c r="AP714" s="48"/>
    </row>
    <row r="715" spans="42:42" x14ac:dyDescent="0.2">
      <c r="AP715" s="48"/>
    </row>
    <row r="716" spans="42:42" x14ac:dyDescent="0.2">
      <c r="AP716" s="48"/>
    </row>
    <row r="717" spans="42:42" x14ac:dyDescent="0.2">
      <c r="AP717" s="48"/>
    </row>
    <row r="718" spans="42:42" x14ac:dyDescent="0.2">
      <c r="AP718" s="48"/>
    </row>
    <row r="719" spans="42:42" x14ac:dyDescent="0.2">
      <c r="AP719" s="48"/>
    </row>
    <row r="720" spans="42:42" x14ac:dyDescent="0.2">
      <c r="AP720" s="48"/>
    </row>
    <row r="721" spans="42:42" x14ac:dyDescent="0.2">
      <c r="AP721" s="48"/>
    </row>
    <row r="722" spans="42:42" x14ac:dyDescent="0.2">
      <c r="AP722" s="48"/>
    </row>
    <row r="723" spans="42:42" x14ac:dyDescent="0.2">
      <c r="AP723" s="48"/>
    </row>
    <row r="724" spans="42:42" x14ac:dyDescent="0.2">
      <c r="AP724" s="48"/>
    </row>
    <row r="725" spans="42:42" x14ac:dyDescent="0.2">
      <c r="AP725" s="48"/>
    </row>
    <row r="726" spans="42:42" x14ac:dyDescent="0.2">
      <c r="AP726" s="48"/>
    </row>
    <row r="727" spans="42:42" x14ac:dyDescent="0.2">
      <c r="AP727" s="48"/>
    </row>
    <row r="728" spans="42:42" x14ac:dyDescent="0.2">
      <c r="AP728" s="48"/>
    </row>
    <row r="729" spans="42:42" x14ac:dyDescent="0.2">
      <c r="AP729" s="48"/>
    </row>
    <row r="730" spans="42:42" x14ac:dyDescent="0.2">
      <c r="AP730" s="48"/>
    </row>
    <row r="731" spans="42:42" x14ac:dyDescent="0.2">
      <c r="AP731" s="48"/>
    </row>
    <row r="732" spans="42:42" x14ac:dyDescent="0.2">
      <c r="AP732" s="48"/>
    </row>
    <row r="733" spans="42:42" x14ac:dyDescent="0.2">
      <c r="AP733" s="48"/>
    </row>
    <row r="734" spans="42:42" x14ac:dyDescent="0.2">
      <c r="AP734" s="48"/>
    </row>
    <row r="735" spans="42:42" x14ac:dyDescent="0.2">
      <c r="AP735" s="48"/>
    </row>
    <row r="736" spans="42:42" x14ac:dyDescent="0.2">
      <c r="AP736" s="48"/>
    </row>
    <row r="737" spans="42:42" x14ac:dyDescent="0.2">
      <c r="AP737" s="48"/>
    </row>
    <row r="738" spans="42:42" x14ac:dyDescent="0.2">
      <c r="AP738" s="48"/>
    </row>
    <row r="739" spans="42:42" x14ac:dyDescent="0.2">
      <c r="AP739" s="48"/>
    </row>
    <row r="740" spans="42:42" x14ac:dyDescent="0.2">
      <c r="AP740" s="48"/>
    </row>
    <row r="741" spans="42:42" x14ac:dyDescent="0.2">
      <c r="AP741" s="48"/>
    </row>
    <row r="742" spans="42:42" x14ac:dyDescent="0.2">
      <c r="AP742" s="48"/>
    </row>
    <row r="743" spans="42:42" x14ac:dyDescent="0.2">
      <c r="AP743" s="48"/>
    </row>
    <row r="744" spans="42:42" x14ac:dyDescent="0.2">
      <c r="AP744" s="48"/>
    </row>
    <row r="745" spans="42:42" x14ac:dyDescent="0.2">
      <c r="AP745" s="48"/>
    </row>
    <row r="746" spans="42:42" x14ac:dyDescent="0.2">
      <c r="AP746" s="48"/>
    </row>
    <row r="747" spans="42:42" x14ac:dyDescent="0.2">
      <c r="AP747" s="48"/>
    </row>
    <row r="748" spans="42:42" x14ac:dyDescent="0.2">
      <c r="AP748" s="48"/>
    </row>
    <row r="749" spans="42:42" x14ac:dyDescent="0.2">
      <c r="AP749" s="48"/>
    </row>
    <row r="750" spans="42:42" x14ac:dyDescent="0.2">
      <c r="AP750" s="48"/>
    </row>
    <row r="751" spans="42:42" x14ac:dyDescent="0.2">
      <c r="AP751" s="48"/>
    </row>
    <row r="752" spans="42:42" x14ac:dyDescent="0.2">
      <c r="AP752" s="48"/>
    </row>
    <row r="753" spans="42:42" x14ac:dyDescent="0.2">
      <c r="AP753" s="48"/>
    </row>
    <row r="754" spans="42:42" x14ac:dyDescent="0.2">
      <c r="AP754" s="48"/>
    </row>
    <row r="755" spans="42:42" x14ac:dyDescent="0.2">
      <c r="AP755" s="48"/>
    </row>
    <row r="756" spans="42:42" x14ac:dyDescent="0.2">
      <c r="AP756" s="48"/>
    </row>
    <row r="757" spans="42:42" x14ac:dyDescent="0.2">
      <c r="AP757" s="48"/>
    </row>
    <row r="758" spans="42:42" x14ac:dyDescent="0.2">
      <c r="AP758" s="48"/>
    </row>
    <row r="759" spans="42:42" x14ac:dyDescent="0.2">
      <c r="AP759" s="48"/>
    </row>
    <row r="760" spans="42:42" x14ac:dyDescent="0.2">
      <c r="AP760" s="48"/>
    </row>
    <row r="761" spans="42:42" x14ac:dyDescent="0.2">
      <c r="AP761" s="48"/>
    </row>
    <row r="762" spans="42:42" x14ac:dyDescent="0.2">
      <c r="AP762" s="48"/>
    </row>
    <row r="763" spans="42:42" x14ac:dyDescent="0.2">
      <c r="AP763" s="48"/>
    </row>
    <row r="764" spans="42:42" x14ac:dyDescent="0.2">
      <c r="AP764" s="48"/>
    </row>
    <row r="765" spans="42:42" x14ac:dyDescent="0.2">
      <c r="AP765" s="48"/>
    </row>
    <row r="766" spans="42:42" x14ac:dyDescent="0.2">
      <c r="AP766" s="48"/>
    </row>
    <row r="767" spans="42:42" x14ac:dyDescent="0.2">
      <c r="AP767" s="48"/>
    </row>
    <row r="768" spans="42:42" x14ac:dyDescent="0.2">
      <c r="AP768" s="48"/>
    </row>
    <row r="769" spans="42:42" x14ac:dyDescent="0.2">
      <c r="AP769" s="48"/>
    </row>
    <row r="770" spans="42:42" x14ac:dyDescent="0.2">
      <c r="AP770" s="48"/>
    </row>
    <row r="771" spans="42:42" x14ac:dyDescent="0.2">
      <c r="AP771" s="48"/>
    </row>
    <row r="772" spans="42:42" x14ac:dyDescent="0.2">
      <c r="AP772" s="48"/>
    </row>
    <row r="773" spans="42:42" x14ac:dyDescent="0.2">
      <c r="AP773" s="48"/>
    </row>
    <row r="774" spans="42:42" x14ac:dyDescent="0.2">
      <c r="AP774" s="48"/>
    </row>
    <row r="775" spans="42:42" x14ac:dyDescent="0.2">
      <c r="AP775" s="48"/>
    </row>
    <row r="776" spans="42:42" x14ac:dyDescent="0.2">
      <c r="AP776" s="48"/>
    </row>
    <row r="777" spans="42:42" x14ac:dyDescent="0.2">
      <c r="AP777" s="48"/>
    </row>
    <row r="778" spans="42:42" x14ac:dyDescent="0.2">
      <c r="AP778" s="48"/>
    </row>
    <row r="779" spans="42:42" x14ac:dyDescent="0.2">
      <c r="AP779" s="48"/>
    </row>
    <row r="780" spans="42:42" x14ac:dyDescent="0.2">
      <c r="AP780" s="48"/>
    </row>
    <row r="781" spans="42:42" x14ac:dyDescent="0.2">
      <c r="AP781" s="48"/>
    </row>
    <row r="782" spans="42:42" x14ac:dyDescent="0.2">
      <c r="AP782" s="48"/>
    </row>
    <row r="783" spans="42:42" x14ac:dyDescent="0.2">
      <c r="AP783" s="48"/>
    </row>
    <row r="784" spans="42:42" x14ac:dyDescent="0.2">
      <c r="AP784" s="48"/>
    </row>
    <row r="785" spans="42:42" x14ac:dyDescent="0.2">
      <c r="AP785" s="48"/>
    </row>
    <row r="786" spans="42:42" x14ac:dyDescent="0.2">
      <c r="AP786" s="48"/>
    </row>
    <row r="787" spans="42:42" x14ac:dyDescent="0.2">
      <c r="AP787" s="48"/>
    </row>
    <row r="788" spans="42:42" x14ac:dyDescent="0.2">
      <c r="AP788" s="48"/>
    </row>
    <row r="789" spans="42:42" x14ac:dyDescent="0.2">
      <c r="AP789" s="48"/>
    </row>
    <row r="790" spans="42:42" x14ac:dyDescent="0.2">
      <c r="AP790" s="48"/>
    </row>
    <row r="791" spans="42:42" x14ac:dyDescent="0.2">
      <c r="AP791" s="48"/>
    </row>
    <row r="792" spans="42:42" x14ac:dyDescent="0.2">
      <c r="AP792" s="48"/>
    </row>
    <row r="793" spans="42:42" x14ac:dyDescent="0.2">
      <c r="AP793" s="48"/>
    </row>
    <row r="794" spans="42:42" x14ac:dyDescent="0.2">
      <c r="AP794" s="48"/>
    </row>
    <row r="795" spans="42:42" x14ac:dyDescent="0.2">
      <c r="AP795" s="48"/>
    </row>
    <row r="796" spans="42:42" x14ac:dyDescent="0.2">
      <c r="AP796" s="48"/>
    </row>
    <row r="797" spans="42:42" x14ac:dyDescent="0.2">
      <c r="AP797" s="48"/>
    </row>
    <row r="798" spans="42:42" x14ac:dyDescent="0.2">
      <c r="AP798" s="48"/>
    </row>
    <row r="799" spans="42:42" x14ac:dyDescent="0.2">
      <c r="AP799" s="48"/>
    </row>
    <row r="800" spans="42:42" x14ac:dyDescent="0.2">
      <c r="AP800" s="48"/>
    </row>
    <row r="801" spans="42:42" x14ac:dyDescent="0.2">
      <c r="AP801" s="48"/>
    </row>
    <row r="802" spans="42:42" x14ac:dyDescent="0.2">
      <c r="AP802" s="48"/>
    </row>
    <row r="803" spans="42:42" x14ac:dyDescent="0.2">
      <c r="AP803" s="48"/>
    </row>
    <row r="804" spans="42:42" x14ac:dyDescent="0.2">
      <c r="AP804" s="48"/>
    </row>
    <row r="805" spans="42:42" x14ac:dyDescent="0.2">
      <c r="AP805" s="48"/>
    </row>
    <row r="806" spans="42:42" x14ac:dyDescent="0.2">
      <c r="AP806" s="48"/>
    </row>
    <row r="807" spans="42:42" x14ac:dyDescent="0.2">
      <c r="AP807" s="48"/>
    </row>
    <row r="808" spans="42:42" x14ac:dyDescent="0.2">
      <c r="AP808" s="48"/>
    </row>
    <row r="809" spans="42:42" x14ac:dyDescent="0.2">
      <c r="AP809" s="48"/>
    </row>
    <row r="810" spans="42:42" x14ac:dyDescent="0.2">
      <c r="AP810" s="48"/>
    </row>
    <row r="811" spans="42:42" x14ac:dyDescent="0.2">
      <c r="AP811" s="48"/>
    </row>
    <row r="812" spans="42:42" x14ac:dyDescent="0.2">
      <c r="AP812" s="48"/>
    </row>
    <row r="813" spans="42:42" x14ac:dyDescent="0.2">
      <c r="AP813" s="48"/>
    </row>
    <row r="814" spans="42:42" x14ac:dyDescent="0.2">
      <c r="AP814" s="48"/>
    </row>
    <row r="815" spans="42:42" x14ac:dyDescent="0.2">
      <c r="AP815" s="48"/>
    </row>
    <row r="816" spans="42:42" x14ac:dyDescent="0.2">
      <c r="AP816" s="48"/>
    </row>
    <row r="817" spans="42:42" x14ac:dyDescent="0.2">
      <c r="AP817" s="48"/>
    </row>
    <row r="818" spans="42:42" x14ac:dyDescent="0.2">
      <c r="AP818" s="48"/>
    </row>
    <row r="819" spans="42:42" x14ac:dyDescent="0.2">
      <c r="AP819" s="48"/>
    </row>
    <row r="820" spans="42:42" x14ac:dyDescent="0.2">
      <c r="AP820" s="48"/>
    </row>
    <row r="821" spans="42:42" x14ac:dyDescent="0.2">
      <c r="AP821" s="48"/>
    </row>
    <row r="822" spans="42:42" x14ac:dyDescent="0.2">
      <c r="AP822" s="48"/>
    </row>
    <row r="823" spans="42:42" x14ac:dyDescent="0.2">
      <c r="AP823" s="48"/>
    </row>
    <row r="824" spans="42:42" x14ac:dyDescent="0.2">
      <c r="AP824" s="48"/>
    </row>
    <row r="825" spans="42:42" x14ac:dyDescent="0.2">
      <c r="AP825" s="48"/>
    </row>
    <row r="826" spans="42:42" x14ac:dyDescent="0.2">
      <c r="AP826" s="48"/>
    </row>
    <row r="827" spans="42:42" x14ac:dyDescent="0.2">
      <c r="AP827" s="48"/>
    </row>
    <row r="828" spans="42:42" x14ac:dyDescent="0.2">
      <c r="AP828" s="48"/>
    </row>
    <row r="829" spans="42:42" x14ac:dyDescent="0.2">
      <c r="AP829" s="48"/>
    </row>
    <row r="830" spans="42:42" x14ac:dyDescent="0.2">
      <c r="AP830" s="48"/>
    </row>
    <row r="831" spans="42:42" x14ac:dyDescent="0.2">
      <c r="AP831" s="48"/>
    </row>
    <row r="832" spans="42:42" x14ac:dyDescent="0.2">
      <c r="AP832" s="48"/>
    </row>
    <row r="833" spans="42:42" x14ac:dyDescent="0.2">
      <c r="AP833" s="48"/>
    </row>
    <row r="834" spans="42:42" x14ac:dyDescent="0.2">
      <c r="AP834" s="48"/>
    </row>
    <row r="835" spans="42:42" x14ac:dyDescent="0.2">
      <c r="AP835" s="48"/>
    </row>
    <row r="836" spans="42:42" x14ac:dyDescent="0.2">
      <c r="AP836" s="48"/>
    </row>
    <row r="837" spans="42:42" x14ac:dyDescent="0.2">
      <c r="AP837" s="48"/>
    </row>
    <row r="838" spans="42:42" x14ac:dyDescent="0.2">
      <c r="AP838" s="48"/>
    </row>
    <row r="839" spans="42:42" x14ac:dyDescent="0.2">
      <c r="AP839" s="48"/>
    </row>
    <row r="840" spans="42:42" x14ac:dyDescent="0.2">
      <c r="AP840" s="48"/>
    </row>
    <row r="841" spans="42:42" x14ac:dyDescent="0.2">
      <c r="AP841" s="48"/>
    </row>
    <row r="842" spans="42:42" x14ac:dyDescent="0.2">
      <c r="AP842" s="48"/>
    </row>
    <row r="843" spans="42:42" x14ac:dyDescent="0.2">
      <c r="AP843" s="48"/>
    </row>
    <row r="844" spans="42:42" x14ac:dyDescent="0.2">
      <c r="AP844" s="48"/>
    </row>
    <row r="845" spans="42:42" x14ac:dyDescent="0.2">
      <c r="AP845" s="48"/>
    </row>
    <row r="846" spans="42:42" x14ac:dyDescent="0.2">
      <c r="AP846" s="48"/>
    </row>
    <row r="847" spans="42:42" x14ac:dyDescent="0.2">
      <c r="AP847" s="48"/>
    </row>
    <row r="848" spans="42:42" x14ac:dyDescent="0.2">
      <c r="AP848" s="48"/>
    </row>
    <row r="849" spans="42:42" x14ac:dyDescent="0.2">
      <c r="AP849" s="48"/>
    </row>
    <row r="850" spans="42:42" x14ac:dyDescent="0.2">
      <c r="AP850" s="48"/>
    </row>
    <row r="851" spans="42:42" x14ac:dyDescent="0.2">
      <c r="AP851" s="48"/>
    </row>
    <row r="852" spans="42:42" x14ac:dyDescent="0.2">
      <c r="AP852" s="48"/>
    </row>
    <row r="853" spans="42:42" x14ac:dyDescent="0.2">
      <c r="AP853" s="48"/>
    </row>
    <row r="854" spans="42:42" x14ac:dyDescent="0.2">
      <c r="AP854" s="48"/>
    </row>
    <row r="855" spans="42:42" x14ac:dyDescent="0.2">
      <c r="AP855" s="48"/>
    </row>
    <row r="856" spans="42:42" x14ac:dyDescent="0.2">
      <c r="AP856" s="48"/>
    </row>
    <row r="857" spans="42:42" x14ac:dyDescent="0.2">
      <c r="AP857" s="48"/>
    </row>
    <row r="858" spans="42:42" x14ac:dyDescent="0.2">
      <c r="AP858" s="48"/>
    </row>
    <row r="859" spans="42:42" x14ac:dyDescent="0.2">
      <c r="AP859" s="48"/>
    </row>
    <row r="860" spans="42:42" x14ac:dyDescent="0.2">
      <c r="AP860" s="48"/>
    </row>
    <row r="861" spans="42:42" x14ac:dyDescent="0.2">
      <c r="AP861" s="48"/>
    </row>
    <row r="862" spans="42:42" x14ac:dyDescent="0.2">
      <c r="AP862" s="48"/>
    </row>
    <row r="863" spans="42:42" x14ac:dyDescent="0.2">
      <c r="AP863" s="48"/>
    </row>
    <row r="864" spans="42:42" x14ac:dyDescent="0.2">
      <c r="AP864" s="48"/>
    </row>
    <row r="865" spans="42:42" x14ac:dyDescent="0.2">
      <c r="AP865" s="48"/>
    </row>
    <row r="866" spans="42:42" x14ac:dyDescent="0.2">
      <c r="AP866" s="48"/>
    </row>
    <row r="867" spans="42:42" x14ac:dyDescent="0.2">
      <c r="AP867" s="48"/>
    </row>
    <row r="868" spans="42:42" x14ac:dyDescent="0.2">
      <c r="AP868" s="48"/>
    </row>
    <row r="869" spans="42:42" x14ac:dyDescent="0.2">
      <c r="AP869" s="48"/>
    </row>
    <row r="870" spans="42:42" x14ac:dyDescent="0.2">
      <c r="AP870" s="48"/>
    </row>
    <row r="871" spans="42:42" x14ac:dyDescent="0.2">
      <c r="AP871" s="48"/>
    </row>
    <row r="872" spans="42:42" x14ac:dyDescent="0.2">
      <c r="AP872" s="48"/>
    </row>
    <row r="873" spans="42:42" x14ac:dyDescent="0.2">
      <c r="AP873" s="48"/>
    </row>
    <row r="874" spans="42:42" x14ac:dyDescent="0.2">
      <c r="AP874" s="48"/>
    </row>
    <row r="875" spans="42:42" x14ac:dyDescent="0.2">
      <c r="AP875" s="48"/>
    </row>
    <row r="876" spans="42:42" x14ac:dyDescent="0.2">
      <c r="AP876" s="48"/>
    </row>
    <row r="877" spans="42:42" x14ac:dyDescent="0.2">
      <c r="AP877" s="48"/>
    </row>
    <row r="878" spans="42:42" x14ac:dyDescent="0.2">
      <c r="AP878" s="48"/>
    </row>
    <row r="879" spans="42:42" x14ac:dyDescent="0.2">
      <c r="AP879" s="48"/>
    </row>
    <row r="880" spans="42:42" x14ac:dyDescent="0.2">
      <c r="AP880" s="48"/>
    </row>
    <row r="881" spans="42:42" x14ac:dyDescent="0.2">
      <c r="AP881" s="48"/>
    </row>
    <row r="882" spans="42:42" x14ac:dyDescent="0.2">
      <c r="AP882" s="48"/>
    </row>
    <row r="883" spans="42:42" x14ac:dyDescent="0.2">
      <c r="AP883" s="48"/>
    </row>
    <row r="884" spans="42:42" x14ac:dyDescent="0.2">
      <c r="AP884" s="48"/>
    </row>
    <row r="885" spans="42:42" x14ac:dyDescent="0.2">
      <c r="AP885" s="48"/>
    </row>
    <row r="886" spans="42:42" x14ac:dyDescent="0.2">
      <c r="AP886" s="48"/>
    </row>
    <row r="887" spans="42:42" x14ac:dyDescent="0.2">
      <c r="AP887" s="48"/>
    </row>
    <row r="888" spans="42:42" x14ac:dyDescent="0.2">
      <c r="AP888" s="48"/>
    </row>
    <row r="889" spans="42:42" x14ac:dyDescent="0.2">
      <c r="AP889" s="48"/>
    </row>
    <row r="890" spans="42:42" x14ac:dyDescent="0.2">
      <c r="AP890" s="48"/>
    </row>
    <row r="891" spans="42:42" x14ac:dyDescent="0.2">
      <c r="AP891" s="48"/>
    </row>
    <row r="892" spans="42:42" x14ac:dyDescent="0.2">
      <c r="AP892" s="48"/>
    </row>
    <row r="893" spans="42:42" x14ac:dyDescent="0.2">
      <c r="AP893" s="48"/>
    </row>
    <row r="894" spans="42:42" x14ac:dyDescent="0.2">
      <c r="AP894" s="48"/>
    </row>
    <row r="895" spans="42:42" x14ac:dyDescent="0.2">
      <c r="AP895" s="48"/>
    </row>
    <row r="896" spans="42:42" x14ac:dyDescent="0.2">
      <c r="AP896" s="48"/>
    </row>
    <row r="897" spans="42:42" x14ac:dyDescent="0.2">
      <c r="AP897" s="48"/>
    </row>
    <row r="898" spans="42:42" x14ac:dyDescent="0.2">
      <c r="AP898" s="48"/>
    </row>
    <row r="899" spans="42:42" x14ac:dyDescent="0.2">
      <c r="AP899" s="48"/>
    </row>
    <row r="900" spans="42:42" x14ac:dyDescent="0.2">
      <c r="AP900" s="48"/>
    </row>
    <row r="901" spans="42:42" x14ac:dyDescent="0.2">
      <c r="AP901" s="48"/>
    </row>
    <row r="902" spans="42:42" x14ac:dyDescent="0.2">
      <c r="AP902" s="48"/>
    </row>
    <row r="903" spans="42:42" x14ac:dyDescent="0.2">
      <c r="AP903" s="48"/>
    </row>
    <row r="904" spans="42:42" x14ac:dyDescent="0.2">
      <c r="AP904" s="48"/>
    </row>
    <row r="905" spans="42:42" x14ac:dyDescent="0.2">
      <c r="AP905" s="48"/>
    </row>
    <row r="906" spans="42:42" x14ac:dyDescent="0.2">
      <c r="AP906" s="48"/>
    </row>
    <row r="907" spans="42:42" x14ac:dyDescent="0.2">
      <c r="AP907" s="48"/>
    </row>
    <row r="908" spans="42:42" x14ac:dyDescent="0.2">
      <c r="AP908" s="48"/>
    </row>
    <row r="909" spans="42:42" x14ac:dyDescent="0.2">
      <c r="AP909" s="48"/>
    </row>
    <row r="910" spans="42:42" x14ac:dyDescent="0.2">
      <c r="AP910" s="48"/>
    </row>
    <row r="911" spans="42:42" x14ac:dyDescent="0.2">
      <c r="AP911" s="48"/>
    </row>
    <row r="912" spans="42:42" x14ac:dyDescent="0.2">
      <c r="AP912" s="48"/>
    </row>
    <row r="913" spans="42:42" x14ac:dyDescent="0.2">
      <c r="AP913" s="48"/>
    </row>
    <row r="914" spans="42:42" x14ac:dyDescent="0.2">
      <c r="AP914" s="48"/>
    </row>
    <row r="915" spans="42:42" x14ac:dyDescent="0.2">
      <c r="AP915" s="48"/>
    </row>
    <row r="916" spans="42:42" x14ac:dyDescent="0.2">
      <c r="AP916" s="48"/>
    </row>
    <row r="917" spans="42:42" x14ac:dyDescent="0.2">
      <c r="AP917" s="48"/>
    </row>
    <row r="918" spans="42:42" x14ac:dyDescent="0.2">
      <c r="AP918" s="48"/>
    </row>
    <row r="919" spans="42:42" x14ac:dyDescent="0.2">
      <c r="AP919" s="48"/>
    </row>
    <row r="920" spans="42:42" x14ac:dyDescent="0.2">
      <c r="AP920" s="48"/>
    </row>
    <row r="921" spans="42:42" x14ac:dyDescent="0.2">
      <c r="AP921" s="48"/>
    </row>
    <row r="922" spans="42:42" x14ac:dyDescent="0.2">
      <c r="AP922" s="48"/>
    </row>
    <row r="923" spans="42:42" x14ac:dyDescent="0.2">
      <c r="AP923" s="48"/>
    </row>
    <row r="924" spans="42:42" x14ac:dyDescent="0.2">
      <c r="AP924" s="48"/>
    </row>
    <row r="925" spans="42:42" x14ac:dyDescent="0.2">
      <c r="AP925" s="48"/>
    </row>
    <row r="926" spans="42:42" x14ac:dyDescent="0.2">
      <c r="AP926" s="48"/>
    </row>
    <row r="927" spans="42:42" x14ac:dyDescent="0.2">
      <c r="AP927" s="48"/>
    </row>
    <row r="928" spans="42:42" x14ac:dyDescent="0.2">
      <c r="AP928" s="48"/>
    </row>
    <row r="929" spans="42:42" x14ac:dyDescent="0.2">
      <c r="AP929" s="48"/>
    </row>
    <row r="930" spans="42:42" x14ac:dyDescent="0.2">
      <c r="AP930" s="48"/>
    </row>
    <row r="931" spans="42:42" x14ac:dyDescent="0.2">
      <c r="AP931" s="48"/>
    </row>
    <row r="932" spans="42:42" x14ac:dyDescent="0.2">
      <c r="AP932" s="48"/>
    </row>
    <row r="933" spans="42:42" x14ac:dyDescent="0.2">
      <c r="AP933" s="48"/>
    </row>
    <row r="934" spans="42:42" x14ac:dyDescent="0.2">
      <c r="AP934" s="48"/>
    </row>
    <row r="935" spans="42:42" x14ac:dyDescent="0.2">
      <c r="AP935" s="48"/>
    </row>
    <row r="936" spans="42:42" x14ac:dyDescent="0.2">
      <c r="AP936" s="48"/>
    </row>
    <row r="937" spans="42:42" x14ac:dyDescent="0.2">
      <c r="AP937" s="48"/>
    </row>
    <row r="938" spans="42:42" x14ac:dyDescent="0.2">
      <c r="AP938" s="48"/>
    </row>
    <row r="939" spans="42:42" x14ac:dyDescent="0.2">
      <c r="AP939" s="48"/>
    </row>
    <row r="940" spans="42:42" x14ac:dyDescent="0.2">
      <c r="AP940" s="48"/>
    </row>
    <row r="941" spans="42:42" x14ac:dyDescent="0.2">
      <c r="AP941" s="48"/>
    </row>
    <row r="942" spans="42:42" x14ac:dyDescent="0.2">
      <c r="AP942" s="48"/>
    </row>
    <row r="943" spans="42:42" x14ac:dyDescent="0.2">
      <c r="AP943" s="48"/>
    </row>
    <row r="944" spans="42:42" x14ac:dyDescent="0.2">
      <c r="AP944" s="48"/>
    </row>
    <row r="945" spans="42:42" x14ac:dyDescent="0.2">
      <c r="AP945" s="48"/>
    </row>
    <row r="946" spans="42:42" x14ac:dyDescent="0.2">
      <c r="AP946" s="48"/>
    </row>
    <row r="947" spans="42:42" x14ac:dyDescent="0.2">
      <c r="AP947" s="48"/>
    </row>
    <row r="948" spans="42:42" x14ac:dyDescent="0.2">
      <c r="AP948" s="48"/>
    </row>
    <row r="949" spans="42:42" x14ac:dyDescent="0.2">
      <c r="AP949" s="48"/>
    </row>
    <row r="950" spans="42:42" x14ac:dyDescent="0.2">
      <c r="AP950" s="48"/>
    </row>
    <row r="951" spans="42:42" x14ac:dyDescent="0.2">
      <c r="AP951" s="48"/>
    </row>
    <row r="952" spans="42:42" x14ac:dyDescent="0.2">
      <c r="AP952" s="48"/>
    </row>
    <row r="953" spans="42:42" x14ac:dyDescent="0.2">
      <c r="AP953" s="48"/>
    </row>
    <row r="954" spans="42:42" x14ac:dyDescent="0.2">
      <c r="AP954" s="48"/>
    </row>
    <row r="955" spans="42:42" x14ac:dyDescent="0.2">
      <c r="AP955" s="48"/>
    </row>
    <row r="956" spans="42:42" x14ac:dyDescent="0.2">
      <c r="AP956" s="48"/>
    </row>
    <row r="957" spans="42:42" x14ac:dyDescent="0.2">
      <c r="AP957" s="48"/>
    </row>
    <row r="958" spans="42:42" x14ac:dyDescent="0.2">
      <c r="AP958" s="48"/>
    </row>
    <row r="959" spans="42:42" x14ac:dyDescent="0.2">
      <c r="AP959" s="48"/>
    </row>
    <row r="960" spans="42:42" x14ac:dyDescent="0.2">
      <c r="AP960" s="48"/>
    </row>
    <row r="961" spans="42:42" x14ac:dyDescent="0.2">
      <c r="AP961" s="48"/>
    </row>
    <row r="962" spans="42:42" x14ac:dyDescent="0.2">
      <c r="AP962" s="48"/>
    </row>
    <row r="963" spans="42:42" x14ac:dyDescent="0.2">
      <c r="AP963" s="48"/>
    </row>
    <row r="964" spans="42:42" x14ac:dyDescent="0.2">
      <c r="AP964" s="48"/>
    </row>
    <row r="965" spans="42:42" x14ac:dyDescent="0.2">
      <c r="AP965" s="48"/>
    </row>
    <row r="966" spans="42:42" x14ac:dyDescent="0.2">
      <c r="AP966" s="48"/>
    </row>
    <row r="967" spans="42:42" x14ac:dyDescent="0.2">
      <c r="AP967" s="48"/>
    </row>
    <row r="968" spans="42:42" x14ac:dyDescent="0.2">
      <c r="AP968" s="48"/>
    </row>
    <row r="969" spans="42:42" x14ac:dyDescent="0.2">
      <c r="AP969" s="48"/>
    </row>
    <row r="970" spans="42:42" x14ac:dyDescent="0.2">
      <c r="AP970" s="48"/>
    </row>
    <row r="971" spans="42:42" x14ac:dyDescent="0.2">
      <c r="AP971" s="48"/>
    </row>
    <row r="972" spans="42:42" x14ac:dyDescent="0.2">
      <c r="AP972" s="48"/>
    </row>
    <row r="973" spans="42:42" x14ac:dyDescent="0.2">
      <c r="AP973" s="48"/>
    </row>
    <row r="974" spans="42:42" x14ac:dyDescent="0.2">
      <c r="AP974" s="48"/>
    </row>
    <row r="975" spans="42:42" x14ac:dyDescent="0.2">
      <c r="AP975" s="48"/>
    </row>
    <row r="976" spans="42:42" x14ac:dyDescent="0.2">
      <c r="AP976" s="48"/>
    </row>
    <row r="977" spans="42:42" x14ac:dyDescent="0.2">
      <c r="AP977" s="48"/>
    </row>
    <row r="978" spans="42:42" x14ac:dyDescent="0.2">
      <c r="AP978" s="48"/>
    </row>
    <row r="979" spans="42:42" x14ac:dyDescent="0.2">
      <c r="AP979" s="48"/>
    </row>
    <row r="980" spans="42:42" x14ac:dyDescent="0.2">
      <c r="AP980" s="48"/>
    </row>
    <row r="981" spans="42:42" x14ac:dyDescent="0.2">
      <c r="AP981" s="48"/>
    </row>
    <row r="982" spans="42:42" x14ac:dyDescent="0.2">
      <c r="AP982" s="48"/>
    </row>
    <row r="983" spans="42:42" x14ac:dyDescent="0.2">
      <c r="AP983" s="48"/>
    </row>
    <row r="984" spans="42:42" x14ac:dyDescent="0.2">
      <c r="AP984" s="48"/>
    </row>
    <row r="985" spans="42:42" x14ac:dyDescent="0.2">
      <c r="AP985" s="48"/>
    </row>
    <row r="986" spans="42:42" x14ac:dyDescent="0.2">
      <c r="AP986" s="48"/>
    </row>
    <row r="987" spans="42:42" x14ac:dyDescent="0.2">
      <c r="AP987" s="48"/>
    </row>
    <row r="988" spans="42:42" x14ac:dyDescent="0.2">
      <c r="AP988" s="48"/>
    </row>
    <row r="989" spans="42:42" x14ac:dyDescent="0.2">
      <c r="AP989" s="48"/>
    </row>
    <row r="990" spans="42:42" x14ac:dyDescent="0.2">
      <c r="AP990" s="48"/>
    </row>
    <row r="991" spans="42:42" x14ac:dyDescent="0.2">
      <c r="AP991" s="48"/>
    </row>
    <row r="992" spans="42:42" x14ac:dyDescent="0.2">
      <c r="AP992" s="48"/>
    </row>
    <row r="993" spans="42:42" x14ac:dyDescent="0.2">
      <c r="AP993" s="48"/>
    </row>
    <row r="994" spans="42:42" x14ac:dyDescent="0.2">
      <c r="AP994" s="48"/>
    </row>
    <row r="995" spans="42:42" x14ac:dyDescent="0.2">
      <c r="AP995" s="48"/>
    </row>
    <row r="996" spans="42:42" x14ac:dyDescent="0.2">
      <c r="AP996" s="48"/>
    </row>
    <row r="997" spans="42:42" x14ac:dyDescent="0.2">
      <c r="AP997" s="48"/>
    </row>
    <row r="998" spans="42:42" x14ac:dyDescent="0.2">
      <c r="AP998" s="48"/>
    </row>
    <row r="999" spans="42:42" x14ac:dyDescent="0.2">
      <c r="AP999" s="48"/>
    </row>
    <row r="1000" spans="42:42" x14ac:dyDescent="0.2">
      <c r="AP1000" s="48"/>
    </row>
    <row r="1001" spans="42:42" x14ac:dyDescent="0.2">
      <c r="AP1001" s="48"/>
    </row>
    <row r="1002" spans="42:42" x14ac:dyDescent="0.2">
      <c r="AP1002" s="48"/>
    </row>
    <row r="1003" spans="42:42" x14ac:dyDescent="0.2">
      <c r="AP1003" s="48"/>
    </row>
    <row r="1004" spans="42:42" x14ac:dyDescent="0.2">
      <c r="AP1004" s="48"/>
    </row>
    <row r="1005" spans="42:42" x14ac:dyDescent="0.2">
      <c r="AP1005" s="48"/>
    </row>
    <row r="1006" spans="42:42" x14ac:dyDescent="0.2">
      <c r="AP1006" s="48"/>
    </row>
    <row r="1007" spans="42:42" x14ac:dyDescent="0.2">
      <c r="AP1007" s="48"/>
    </row>
    <row r="1008" spans="42:42" x14ac:dyDescent="0.2">
      <c r="AP1008" s="48"/>
    </row>
    <row r="1009" spans="42:42" x14ac:dyDescent="0.2">
      <c r="AP1009" s="48"/>
    </row>
    <row r="1010" spans="42:42" x14ac:dyDescent="0.2">
      <c r="AP1010" s="48"/>
    </row>
    <row r="1011" spans="42:42" x14ac:dyDescent="0.2">
      <c r="AP1011" s="48"/>
    </row>
    <row r="1012" spans="42:42" x14ac:dyDescent="0.2">
      <c r="AP1012" s="48"/>
    </row>
    <row r="1013" spans="42:42" x14ac:dyDescent="0.2">
      <c r="AP1013" s="48"/>
    </row>
    <row r="1014" spans="42:42" x14ac:dyDescent="0.2">
      <c r="AP1014" s="48"/>
    </row>
    <row r="1015" spans="42:42" x14ac:dyDescent="0.2">
      <c r="AP1015" s="48"/>
    </row>
    <row r="1016" spans="42:42" x14ac:dyDescent="0.2">
      <c r="AP1016" s="48"/>
    </row>
    <row r="1017" spans="42:42" x14ac:dyDescent="0.2">
      <c r="AP1017" s="48"/>
    </row>
    <row r="1018" spans="42:42" x14ac:dyDescent="0.2">
      <c r="AP1018" s="48"/>
    </row>
    <row r="1019" spans="42:42" x14ac:dyDescent="0.2">
      <c r="AP1019" s="48"/>
    </row>
    <row r="1020" spans="42:42" x14ac:dyDescent="0.2">
      <c r="AP1020" s="48"/>
    </row>
    <row r="1021" spans="42:42" x14ac:dyDescent="0.2">
      <c r="AP1021" s="48"/>
    </row>
    <row r="1022" spans="42:42" x14ac:dyDescent="0.2">
      <c r="AP1022" s="48"/>
    </row>
    <row r="1023" spans="42:42" x14ac:dyDescent="0.2">
      <c r="AP1023" s="48"/>
    </row>
    <row r="1024" spans="42:42" x14ac:dyDescent="0.2">
      <c r="AP1024" s="48"/>
    </row>
    <row r="1025" spans="42:42" x14ac:dyDescent="0.2">
      <c r="AP1025" s="48"/>
    </row>
    <row r="1026" spans="42:42" x14ac:dyDescent="0.2">
      <c r="AP1026" s="48"/>
    </row>
    <row r="1027" spans="42:42" x14ac:dyDescent="0.2">
      <c r="AP1027" s="48"/>
    </row>
    <row r="1028" spans="42:42" x14ac:dyDescent="0.2">
      <c r="AP1028" s="48"/>
    </row>
    <row r="1029" spans="42:42" x14ac:dyDescent="0.2">
      <c r="AP1029" s="48"/>
    </row>
    <row r="1030" spans="42:42" x14ac:dyDescent="0.2">
      <c r="AP1030" s="48"/>
    </row>
    <row r="1031" spans="42:42" x14ac:dyDescent="0.2">
      <c r="AP1031" s="48"/>
    </row>
    <row r="1032" spans="42:42" x14ac:dyDescent="0.2">
      <c r="AP1032" s="48"/>
    </row>
    <row r="1033" spans="42:42" x14ac:dyDescent="0.2">
      <c r="AP1033" s="48"/>
    </row>
    <row r="1034" spans="42:42" x14ac:dyDescent="0.2">
      <c r="AP1034" s="48"/>
    </row>
    <row r="1035" spans="42:42" x14ac:dyDescent="0.2">
      <c r="AP1035" s="48"/>
    </row>
    <row r="1036" spans="42:42" x14ac:dyDescent="0.2">
      <c r="AP1036" s="48"/>
    </row>
    <row r="1037" spans="42:42" x14ac:dyDescent="0.2">
      <c r="AP1037" s="48"/>
    </row>
    <row r="1038" spans="42:42" x14ac:dyDescent="0.2">
      <c r="AP1038" s="48"/>
    </row>
    <row r="1039" spans="42:42" x14ac:dyDescent="0.2">
      <c r="AP1039" s="48"/>
    </row>
    <row r="1040" spans="42:42" x14ac:dyDescent="0.2">
      <c r="AP1040" s="48"/>
    </row>
    <row r="1041" spans="42:42" x14ac:dyDescent="0.2">
      <c r="AP1041" s="48"/>
    </row>
    <row r="1042" spans="42:42" x14ac:dyDescent="0.2">
      <c r="AP1042" s="48"/>
    </row>
    <row r="1043" spans="42:42" x14ac:dyDescent="0.2">
      <c r="AP1043" s="48"/>
    </row>
    <row r="1044" spans="42:42" x14ac:dyDescent="0.2">
      <c r="AP1044" s="48"/>
    </row>
    <row r="1045" spans="42:42" x14ac:dyDescent="0.2">
      <c r="AP1045" s="48"/>
    </row>
    <row r="1046" spans="42:42" x14ac:dyDescent="0.2">
      <c r="AP1046" s="48"/>
    </row>
    <row r="1047" spans="42:42" x14ac:dyDescent="0.2">
      <c r="AP1047" s="48"/>
    </row>
    <row r="1048" spans="42:42" x14ac:dyDescent="0.2">
      <c r="AP1048" s="48"/>
    </row>
    <row r="1049" spans="42:42" x14ac:dyDescent="0.2">
      <c r="AP1049" s="48"/>
    </row>
    <row r="1050" spans="42:42" x14ac:dyDescent="0.2">
      <c r="AP1050" s="48"/>
    </row>
    <row r="1051" spans="42:42" x14ac:dyDescent="0.2">
      <c r="AP1051" s="48"/>
    </row>
    <row r="1052" spans="42:42" x14ac:dyDescent="0.2">
      <c r="AP1052" s="48"/>
    </row>
    <row r="1053" spans="42:42" x14ac:dyDescent="0.2">
      <c r="AP1053" s="48"/>
    </row>
    <row r="1054" spans="42:42" x14ac:dyDescent="0.2">
      <c r="AP1054" s="48"/>
    </row>
    <row r="1055" spans="42:42" x14ac:dyDescent="0.2">
      <c r="AP1055" s="48"/>
    </row>
    <row r="1056" spans="42:42" x14ac:dyDescent="0.2">
      <c r="AP1056" s="48"/>
    </row>
    <row r="1057" spans="42:42" x14ac:dyDescent="0.2">
      <c r="AP1057" s="48"/>
    </row>
    <row r="1058" spans="42:42" x14ac:dyDescent="0.2">
      <c r="AP1058" s="48"/>
    </row>
    <row r="1059" spans="42:42" x14ac:dyDescent="0.2">
      <c r="AP1059" s="48"/>
    </row>
    <row r="1060" spans="42:42" x14ac:dyDescent="0.2">
      <c r="AP1060" s="48"/>
    </row>
    <row r="1061" spans="42:42" x14ac:dyDescent="0.2">
      <c r="AP1061" s="48"/>
    </row>
    <row r="1062" spans="42:42" x14ac:dyDescent="0.2">
      <c r="AP1062" s="48"/>
    </row>
    <row r="1063" spans="42:42" x14ac:dyDescent="0.2">
      <c r="AP1063" s="48"/>
    </row>
    <row r="1064" spans="42:42" x14ac:dyDescent="0.2">
      <c r="AP1064" s="48"/>
    </row>
    <row r="1065" spans="42:42" x14ac:dyDescent="0.2">
      <c r="AP1065" s="48"/>
    </row>
    <row r="1066" spans="42:42" x14ac:dyDescent="0.2">
      <c r="AP1066" s="48"/>
    </row>
    <row r="1067" spans="42:42" x14ac:dyDescent="0.2">
      <c r="AP1067" s="48"/>
    </row>
    <row r="1068" spans="42:42" x14ac:dyDescent="0.2">
      <c r="AP1068" s="48"/>
    </row>
    <row r="1069" spans="42:42" x14ac:dyDescent="0.2">
      <c r="AP1069" s="48"/>
    </row>
    <row r="1070" spans="42:42" x14ac:dyDescent="0.2">
      <c r="AP1070" s="48"/>
    </row>
    <row r="1071" spans="42:42" x14ac:dyDescent="0.2">
      <c r="AP1071" s="48"/>
    </row>
    <row r="1072" spans="42:42" x14ac:dyDescent="0.2">
      <c r="AP1072" s="48"/>
    </row>
    <row r="1073" spans="42:42" x14ac:dyDescent="0.2">
      <c r="AP1073" s="48"/>
    </row>
    <row r="1074" spans="42:42" x14ac:dyDescent="0.2">
      <c r="AP1074" s="48"/>
    </row>
    <row r="1075" spans="42:42" x14ac:dyDescent="0.2">
      <c r="AP1075" s="48"/>
    </row>
    <row r="1076" spans="42:42" x14ac:dyDescent="0.2">
      <c r="AP1076" s="48"/>
    </row>
    <row r="1077" spans="42:42" x14ac:dyDescent="0.2">
      <c r="AP1077" s="48"/>
    </row>
    <row r="1078" spans="42:42" x14ac:dyDescent="0.2">
      <c r="AP1078" s="48"/>
    </row>
    <row r="1079" spans="42:42" x14ac:dyDescent="0.2">
      <c r="AP1079" s="48"/>
    </row>
    <row r="1080" spans="42:42" x14ac:dyDescent="0.2">
      <c r="AP1080" s="48"/>
    </row>
    <row r="1081" spans="42:42" x14ac:dyDescent="0.2">
      <c r="AP1081" s="48"/>
    </row>
    <row r="1082" spans="42:42" x14ac:dyDescent="0.2">
      <c r="AP1082" s="48"/>
    </row>
    <row r="1083" spans="42:42" x14ac:dyDescent="0.2">
      <c r="AP1083" s="48"/>
    </row>
    <row r="1084" spans="42:42" x14ac:dyDescent="0.2">
      <c r="AP1084" s="48"/>
    </row>
    <row r="1085" spans="42:42" x14ac:dyDescent="0.2">
      <c r="AP1085" s="48"/>
    </row>
    <row r="1086" spans="42:42" x14ac:dyDescent="0.2">
      <c r="AP1086" s="48"/>
    </row>
    <row r="1087" spans="42:42" x14ac:dyDescent="0.2">
      <c r="AP1087" s="48"/>
    </row>
    <row r="1088" spans="42:42" x14ac:dyDescent="0.2">
      <c r="AP1088" s="48"/>
    </row>
    <row r="1089" spans="42:42" x14ac:dyDescent="0.2">
      <c r="AP1089" s="48"/>
    </row>
    <row r="1090" spans="42:42" x14ac:dyDescent="0.2">
      <c r="AP1090" s="48"/>
    </row>
    <row r="1091" spans="42:42" x14ac:dyDescent="0.2">
      <c r="AP1091" s="48"/>
    </row>
    <row r="1092" spans="42:42" x14ac:dyDescent="0.2">
      <c r="AP1092" s="48"/>
    </row>
    <row r="1093" spans="42:42" x14ac:dyDescent="0.2">
      <c r="AP1093" s="48"/>
    </row>
    <row r="1094" spans="42:42" x14ac:dyDescent="0.2">
      <c r="AP1094" s="48"/>
    </row>
    <row r="1095" spans="42:42" x14ac:dyDescent="0.2">
      <c r="AP1095" s="48"/>
    </row>
    <row r="1096" spans="42:42" x14ac:dyDescent="0.2">
      <c r="AP1096" s="48"/>
    </row>
    <row r="1097" spans="42:42" x14ac:dyDescent="0.2">
      <c r="AP1097" s="48"/>
    </row>
    <row r="1098" spans="42:42" x14ac:dyDescent="0.2">
      <c r="AP1098" s="48"/>
    </row>
    <row r="1099" spans="42:42" x14ac:dyDescent="0.2">
      <c r="AP1099" s="48"/>
    </row>
    <row r="1100" spans="42:42" x14ac:dyDescent="0.2">
      <c r="AP1100" s="48"/>
    </row>
    <row r="1101" spans="42:42" x14ac:dyDescent="0.2">
      <c r="AP1101" s="48"/>
    </row>
    <row r="1102" spans="42:42" x14ac:dyDescent="0.2">
      <c r="AP1102" s="48"/>
    </row>
    <row r="1103" spans="42:42" x14ac:dyDescent="0.2">
      <c r="AP1103" s="48"/>
    </row>
    <row r="1104" spans="42:42" x14ac:dyDescent="0.2">
      <c r="AP1104" s="48"/>
    </row>
    <row r="1105" spans="42:42" x14ac:dyDescent="0.2">
      <c r="AP1105" s="48"/>
    </row>
    <row r="1106" spans="42:42" x14ac:dyDescent="0.2">
      <c r="AP1106" s="48"/>
    </row>
    <row r="1107" spans="42:42" x14ac:dyDescent="0.2">
      <c r="AP1107" s="48"/>
    </row>
    <row r="1108" spans="42:42" x14ac:dyDescent="0.2">
      <c r="AP1108" s="48"/>
    </row>
    <row r="1109" spans="42:42" x14ac:dyDescent="0.2">
      <c r="AP1109" s="48"/>
    </row>
    <row r="1110" spans="42:42" x14ac:dyDescent="0.2">
      <c r="AP1110" s="48"/>
    </row>
    <row r="1111" spans="42:42" x14ac:dyDescent="0.2">
      <c r="AP1111" s="48"/>
    </row>
    <row r="1112" spans="42:42" x14ac:dyDescent="0.2">
      <c r="AP1112" s="48"/>
    </row>
    <row r="1113" spans="42:42" x14ac:dyDescent="0.2">
      <c r="AP1113" s="48"/>
    </row>
    <row r="1114" spans="42:42" x14ac:dyDescent="0.2">
      <c r="AP1114" s="48"/>
    </row>
    <row r="1115" spans="42:42" x14ac:dyDescent="0.2">
      <c r="AP1115" s="48"/>
    </row>
    <row r="1116" spans="42:42" x14ac:dyDescent="0.2">
      <c r="AP1116" s="48"/>
    </row>
    <row r="1117" spans="42:42" x14ac:dyDescent="0.2">
      <c r="AP1117" s="48"/>
    </row>
    <row r="1118" spans="42:42" x14ac:dyDescent="0.2">
      <c r="AP1118" s="48"/>
    </row>
    <row r="1119" spans="42:42" x14ac:dyDescent="0.2">
      <c r="AP1119" s="48"/>
    </row>
    <row r="1120" spans="42:42" x14ac:dyDescent="0.2">
      <c r="AP1120" s="48"/>
    </row>
    <row r="1121" spans="42:42" x14ac:dyDescent="0.2">
      <c r="AP1121" s="48"/>
    </row>
    <row r="1122" spans="42:42" x14ac:dyDescent="0.2">
      <c r="AP1122" s="48"/>
    </row>
    <row r="1123" spans="42:42" x14ac:dyDescent="0.2">
      <c r="AP1123" s="48"/>
    </row>
    <row r="1124" spans="42:42" x14ac:dyDescent="0.2">
      <c r="AP1124" s="48"/>
    </row>
    <row r="1125" spans="42:42" x14ac:dyDescent="0.2">
      <c r="AP1125" s="48"/>
    </row>
    <row r="1126" spans="42:42" x14ac:dyDescent="0.2">
      <c r="AP1126" s="48"/>
    </row>
    <row r="1127" spans="42:42" x14ac:dyDescent="0.2">
      <c r="AP1127" s="48"/>
    </row>
    <row r="1128" spans="42:42" x14ac:dyDescent="0.2">
      <c r="AP1128" s="48"/>
    </row>
    <row r="1129" spans="42:42" x14ac:dyDescent="0.2">
      <c r="AP1129" s="48"/>
    </row>
    <row r="1130" spans="42:42" x14ac:dyDescent="0.2">
      <c r="AP1130" s="48"/>
    </row>
    <row r="1131" spans="42:42" x14ac:dyDescent="0.2">
      <c r="AP1131" s="48"/>
    </row>
    <row r="1132" spans="42:42" x14ac:dyDescent="0.2">
      <c r="AP1132" s="48"/>
    </row>
    <row r="1133" spans="42:42" x14ac:dyDescent="0.2">
      <c r="AP1133" s="48"/>
    </row>
    <row r="1134" spans="42:42" x14ac:dyDescent="0.2">
      <c r="AP1134" s="48"/>
    </row>
    <row r="1135" spans="42:42" x14ac:dyDescent="0.2">
      <c r="AP1135" s="48"/>
    </row>
    <row r="1136" spans="42:42" x14ac:dyDescent="0.2">
      <c r="AP1136" s="48"/>
    </row>
    <row r="1137" spans="42:42" x14ac:dyDescent="0.2">
      <c r="AP1137" s="48"/>
    </row>
    <row r="1138" spans="42:42" x14ac:dyDescent="0.2">
      <c r="AP1138" s="48"/>
    </row>
    <row r="1139" spans="42:42" x14ac:dyDescent="0.2">
      <c r="AP1139" s="48"/>
    </row>
    <row r="1140" spans="42:42" x14ac:dyDescent="0.2">
      <c r="AP1140" s="48"/>
    </row>
    <row r="1141" spans="42:42" x14ac:dyDescent="0.2">
      <c r="AP1141" s="48"/>
    </row>
    <row r="1142" spans="42:42" x14ac:dyDescent="0.2">
      <c r="AP1142" s="48"/>
    </row>
    <row r="1143" spans="42:42" x14ac:dyDescent="0.2">
      <c r="AP1143" s="48"/>
    </row>
    <row r="1144" spans="42:42" x14ac:dyDescent="0.2">
      <c r="AP1144" s="48"/>
    </row>
    <row r="1145" spans="42:42" x14ac:dyDescent="0.2">
      <c r="AP1145" s="48"/>
    </row>
    <row r="1146" spans="42:42" x14ac:dyDescent="0.2">
      <c r="AP1146" s="48"/>
    </row>
    <row r="1147" spans="42:42" x14ac:dyDescent="0.2">
      <c r="AP1147" s="48"/>
    </row>
    <row r="1148" spans="42:42" x14ac:dyDescent="0.2">
      <c r="AP1148" s="48"/>
    </row>
    <row r="1149" spans="42:42" x14ac:dyDescent="0.2">
      <c r="AP1149" s="48"/>
    </row>
    <row r="1150" spans="42:42" x14ac:dyDescent="0.2">
      <c r="AP1150" s="48"/>
    </row>
    <row r="1151" spans="42:42" x14ac:dyDescent="0.2">
      <c r="AP1151" s="48"/>
    </row>
    <row r="1152" spans="42:42" x14ac:dyDescent="0.2">
      <c r="AP1152" s="48"/>
    </row>
    <row r="1153" spans="42:42" x14ac:dyDescent="0.2">
      <c r="AP1153" s="48"/>
    </row>
    <row r="1154" spans="42:42" x14ac:dyDescent="0.2">
      <c r="AP1154" s="48"/>
    </row>
    <row r="1155" spans="42:42" x14ac:dyDescent="0.2">
      <c r="AP1155" s="48"/>
    </row>
    <row r="1156" spans="42:42" x14ac:dyDescent="0.2">
      <c r="AP1156" s="48"/>
    </row>
    <row r="1157" spans="42:42" x14ac:dyDescent="0.2">
      <c r="AP1157" s="48"/>
    </row>
    <row r="1158" spans="42:42" x14ac:dyDescent="0.2">
      <c r="AP1158" s="48"/>
    </row>
    <row r="1159" spans="42:42" x14ac:dyDescent="0.2">
      <c r="AP1159" s="48"/>
    </row>
    <row r="1160" spans="42:42" x14ac:dyDescent="0.2">
      <c r="AP1160" s="48"/>
    </row>
    <row r="1161" spans="42:42" x14ac:dyDescent="0.2">
      <c r="AP1161" s="48"/>
    </row>
    <row r="1162" spans="42:42" x14ac:dyDescent="0.2">
      <c r="AP1162" s="48"/>
    </row>
    <row r="1163" spans="42:42" x14ac:dyDescent="0.2">
      <c r="AP1163" s="48"/>
    </row>
    <row r="1164" spans="42:42" x14ac:dyDescent="0.2">
      <c r="AP1164" s="48"/>
    </row>
    <row r="1165" spans="42:42" x14ac:dyDescent="0.2">
      <c r="AP1165" s="48"/>
    </row>
    <row r="1166" spans="42:42" x14ac:dyDescent="0.2">
      <c r="AP1166" s="48"/>
    </row>
    <row r="1167" spans="42:42" x14ac:dyDescent="0.2">
      <c r="AP1167" s="48"/>
    </row>
    <row r="1168" spans="42:42" x14ac:dyDescent="0.2">
      <c r="AP1168" s="48"/>
    </row>
    <row r="1169" spans="42:42" x14ac:dyDescent="0.2">
      <c r="AP1169" s="48"/>
    </row>
    <row r="1170" spans="42:42" x14ac:dyDescent="0.2">
      <c r="AP1170" s="48"/>
    </row>
    <row r="1171" spans="42:42" x14ac:dyDescent="0.2">
      <c r="AP1171" s="48"/>
    </row>
    <row r="1172" spans="42:42" x14ac:dyDescent="0.2">
      <c r="AP1172" s="48"/>
    </row>
    <row r="1173" spans="42:42" x14ac:dyDescent="0.2">
      <c r="AP1173" s="48"/>
    </row>
    <row r="1174" spans="42:42" x14ac:dyDescent="0.2">
      <c r="AP1174" s="48"/>
    </row>
    <row r="1175" spans="42:42" x14ac:dyDescent="0.2">
      <c r="AP1175" s="48"/>
    </row>
    <row r="1176" spans="42:42" x14ac:dyDescent="0.2">
      <c r="AP1176" s="48"/>
    </row>
    <row r="1177" spans="42:42" x14ac:dyDescent="0.2">
      <c r="AP1177" s="48"/>
    </row>
    <row r="1178" spans="42:42" x14ac:dyDescent="0.2">
      <c r="AP1178" s="48"/>
    </row>
    <row r="1179" spans="42:42" x14ac:dyDescent="0.2">
      <c r="AP1179" s="48"/>
    </row>
    <row r="1180" spans="42:42" x14ac:dyDescent="0.2">
      <c r="AP1180" s="48"/>
    </row>
    <row r="1181" spans="42:42" x14ac:dyDescent="0.2">
      <c r="AP1181" s="48"/>
    </row>
    <row r="1182" spans="42:42" x14ac:dyDescent="0.2">
      <c r="AP1182" s="48"/>
    </row>
    <row r="1183" spans="42:42" x14ac:dyDescent="0.2">
      <c r="AP1183" s="48"/>
    </row>
    <row r="1184" spans="42:42" x14ac:dyDescent="0.2">
      <c r="AP1184" s="48"/>
    </row>
    <row r="1185" spans="42:42" x14ac:dyDescent="0.2">
      <c r="AP1185" s="48"/>
    </row>
    <row r="1186" spans="42:42" x14ac:dyDescent="0.2">
      <c r="AP1186" s="48"/>
    </row>
    <row r="1187" spans="42:42" x14ac:dyDescent="0.2">
      <c r="AP1187" s="48"/>
    </row>
    <row r="1188" spans="42:42" x14ac:dyDescent="0.2">
      <c r="AP1188" s="48"/>
    </row>
    <row r="1189" spans="42:42" x14ac:dyDescent="0.2">
      <c r="AP1189" s="48"/>
    </row>
    <row r="1190" spans="42:42" x14ac:dyDescent="0.2">
      <c r="AP1190" s="48"/>
    </row>
    <row r="1191" spans="42:42" x14ac:dyDescent="0.2">
      <c r="AP1191" s="48"/>
    </row>
    <row r="1192" spans="42:42" x14ac:dyDescent="0.2">
      <c r="AP1192" s="48"/>
    </row>
    <row r="1193" spans="42:42" x14ac:dyDescent="0.2">
      <c r="AP1193" s="48"/>
    </row>
    <row r="1194" spans="42:42" x14ac:dyDescent="0.2">
      <c r="AP1194" s="48"/>
    </row>
    <row r="1195" spans="42:42" x14ac:dyDescent="0.2">
      <c r="AP1195" s="48"/>
    </row>
    <row r="1196" spans="42:42" x14ac:dyDescent="0.2">
      <c r="AP1196" s="48"/>
    </row>
    <row r="1197" spans="42:42" x14ac:dyDescent="0.2">
      <c r="AP1197" s="48"/>
    </row>
    <row r="1198" spans="42:42" x14ac:dyDescent="0.2">
      <c r="AP1198" s="48"/>
    </row>
    <row r="1199" spans="42:42" x14ac:dyDescent="0.2">
      <c r="AP1199" s="48"/>
    </row>
    <row r="1200" spans="42:42" x14ac:dyDescent="0.2">
      <c r="AP1200" s="48"/>
    </row>
    <row r="1201" spans="42:42" x14ac:dyDescent="0.2">
      <c r="AP1201" s="48"/>
    </row>
    <row r="1202" spans="42:42" x14ac:dyDescent="0.2">
      <c r="AP1202" s="48"/>
    </row>
    <row r="1203" spans="42:42" x14ac:dyDescent="0.2">
      <c r="AP1203" s="48"/>
    </row>
    <row r="1204" spans="42:42" x14ac:dyDescent="0.2">
      <c r="AP1204" s="48"/>
    </row>
    <row r="1205" spans="42:42" x14ac:dyDescent="0.2">
      <c r="AP1205" s="48"/>
    </row>
    <row r="1206" spans="42:42" x14ac:dyDescent="0.2">
      <c r="AP1206" s="48"/>
    </row>
    <row r="1207" spans="42:42" x14ac:dyDescent="0.2">
      <c r="AP1207" s="48"/>
    </row>
    <row r="1208" spans="42:42" x14ac:dyDescent="0.2">
      <c r="AP1208" s="48"/>
    </row>
    <row r="1209" spans="42:42" x14ac:dyDescent="0.2">
      <c r="AP1209" s="48"/>
    </row>
    <row r="1210" spans="42:42" x14ac:dyDescent="0.2">
      <c r="AP1210" s="48"/>
    </row>
    <row r="1211" spans="42:42" x14ac:dyDescent="0.2">
      <c r="AP1211" s="48"/>
    </row>
    <row r="1212" spans="42:42" x14ac:dyDescent="0.2">
      <c r="AP1212" s="48"/>
    </row>
    <row r="1213" spans="42:42" x14ac:dyDescent="0.2">
      <c r="AP1213" s="48"/>
    </row>
    <row r="1214" spans="42:42" x14ac:dyDescent="0.2">
      <c r="AP1214" s="48"/>
    </row>
    <row r="1215" spans="42:42" x14ac:dyDescent="0.2">
      <c r="AP1215" s="48"/>
    </row>
    <row r="1216" spans="42:42" x14ac:dyDescent="0.2">
      <c r="AP1216" s="48"/>
    </row>
  </sheetData>
  <autoFilter ref="A1:AU1216" xr:uid="{00000000-0001-0000-0000-000000000000}"/>
  <pageMargins left="0.75" right="0.75" top="1" bottom="1" header="0.5" footer="0.5"/>
  <pageSetup orientation="portrait" horizontalDpi="0" verticalDpi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B6F3D-6167-924A-A15B-A048763C7E33}">
  <dimension ref="A1:K12"/>
  <sheetViews>
    <sheetView workbookViewId="0">
      <pane ySplit="1" topLeftCell="A2" activePane="bottomLeft" state="frozen"/>
      <selection pane="bottomLeft" activeCell="F18" sqref="F18"/>
    </sheetView>
  </sheetViews>
  <sheetFormatPr baseColWidth="10" defaultColWidth="11.1640625" defaultRowHeight="16" x14ac:dyDescent="0.2"/>
  <cols>
    <col min="2" max="2" width="28.33203125" style="44" customWidth="1"/>
    <col min="4" max="4" width="20.33203125" customWidth="1"/>
    <col min="5" max="5" width="27.33203125" customWidth="1"/>
    <col min="6" max="6" width="17.5" customWidth="1"/>
    <col min="7" max="7" width="18.1640625" customWidth="1"/>
    <col min="8" max="8" width="15.83203125" bestFit="1" customWidth="1"/>
    <col min="9" max="11" width="17.1640625" customWidth="1"/>
  </cols>
  <sheetData>
    <row r="1" spans="1:11" ht="51" x14ac:dyDescent="0.2">
      <c r="B1" s="47" t="s">
        <v>74</v>
      </c>
      <c r="C1" s="46" t="s">
        <v>75</v>
      </c>
      <c r="D1" s="46" t="s">
        <v>99</v>
      </c>
      <c r="E1" s="46" t="s">
        <v>76</v>
      </c>
      <c r="G1" s="5" t="s">
        <v>77</v>
      </c>
      <c r="H1" s="5" t="s">
        <v>78</v>
      </c>
      <c r="I1" s="5" t="s">
        <v>79</v>
      </c>
      <c r="J1" s="5" t="s">
        <v>80</v>
      </c>
    </row>
    <row r="2" spans="1:11" ht="17" x14ac:dyDescent="0.2">
      <c r="B2" s="45" t="s">
        <v>81</v>
      </c>
      <c r="C2" s="31">
        <f>COUNTA(rothc_yearly_carbon_stock_predi!A2:A4)</f>
        <v>3</v>
      </c>
      <c r="D2" s="40" t="s">
        <v>100</v>
      </c>
      <c r="E2" s="45"/>
      <c r="G2" s="41">
        <f>$C$4*$C10/rothc_yearly_carbon_stock_predi!AL12</f>
        <v>0.61961919402079335</v>
      </c>
      <c r="H2" s="41">
        <f>$C$4*$C11/rothc_yearly_carbon_stock_predi!AM12</f>
        <v>0.62123295295873282</v>
      </c>
      <c r="I2" s="41">
        <f>$C$4*$C12/rothc_yearly_carbon_stock_predi!AN12</f>
        <v>0.66329226145176545</v>
      </c>
      <c r="J2" s="41">
        <f>AVERAGE(G2:I2)</f>
        <v>0.63471480281043047</v>
      </c>
    </row>
    <row r="3" spans="1:11" ht="17" x14ac:dyDescent="0.2">
      <c r="B3" s="45" t="s">
        <v>82</v>
      </c>
      <c r="C3" s="40">
        <v>3</v>
      </c>
      <c r="D3" s="40" t="s">
        <v>101</v>
      </c>
      <c r="E3" s="45"/>
    </row>
    <row r="4" spans="1:11" ht="17" x14ac:dyDescent="0.2">
      <c r="B4" s="45" t="s">
        <v>87</v>
      </c>
      <c r="C4" s="57">
        <f>_xlfn.T.INV(0.666, C2-1)</f>
        <v>0.49775168384918905</v>
      </c>
      <c r="D4" s="40" t="s">
        <v>102</v>
      </c>
      <c r="E4" s="57"/>
    </row>
    <row r="5" spans="1:11" ht="63" customHeight="1" x14ac:dyDescent="0.2">
      <c r="A5" t="s">
        <v>88</v>
      </c>
      <c r="B5" s="45" t="s">
        <v>90</v>
      </c>
      <c r="C5" s="45">
        <v>3.6139018366109976</v>
      </c>
      <c r="D5" s="40" t="s">
        <v>89</v>
      </c>
      <c r="E5" s="40" t="s">
        <v>103</v>
      </c>
      <c r="H5" s="74" t="s">
        <v>117</v>
      </c>
      <c r="I5" s="74"/>
      <c r="J5" s="74"/>
      <c r="K5" s="74"/>
    </row>
    <row r="6" spans="1:11" ht="34" x14ac:dyDescent="0.2">
      <c r="A6" t="s">
        <v>91</v>
      </c>
      <c r="B6" s="45" t="s">
        <v>92</v>
      </c>
      <c r="C6" s="45">
        <v>2.0004300294008895E-13</v>
      </c>
      <c r="D6" s="40" t="s">
        <v>89</v>
      </c>
      <c r="E6" s="40" t="s">
        <v>104</v>
      </c>
    </row>
    <row r="7" spans="1:11" ht="68" x14ac:dyDescent="0.2">
      <c r="A7" t="s">
        <v>93</v>
      </c>
      <c r="B7" s="45" t="s">
        <v>112</v>
      </c>
      <c r="C7" s="45">
        <v>3.8727067592914137</v>
      </c>
      <c r="D7" s="40" t="s">
        <v>89</v>
      </c>
      <c r="E7" s="40" t="s">
        <v>105</v>
      </c>
    </row>
    <row r="8" spans="1:11" ht="68" x14ac:dyDescent="0.2">
      <c r="A8" t="s">
        <v>94</v>
      </c>
      <c r="B8" s="45" t="s">
        <v>111</v>
      </c>
      <c r="C8" s="45">
        <v>3.873650718847315</v>
      </c>
      <c r="D8" s="40" t="s">
        <v>89</v>
      </c>
      <c r="E8" s="40" t="s">
        <v>106</v>
      </c>
    </row>
    <row r="9" spans="1:11" ht="68" x14ac:dyDescent="0.2">
      <c r="A9" t="s">
        <v>95</v>
      </c>
      <c r="B9" s="45" t="s">
        <v>113</v>
      </c>
      <c r="C9" s="45">
        <v>3.8374396128391357</v>
      </c>
      <c r="D9" s="40" t="s">
        <v>89</v>
      </c>
      <c r="E9" s="40" t="s">
        <v>107</v>
      </c>
    </row>
    <row r="10" spans="1:11" ht="34" x14ac:dyDescent="0.2">
      <c r="A10" t="s">
        <v>96</v>
      </c>
      <c r="B10" s="45" t="s">
        <v>114</v>
      </c>
      <c r="C10" s="45">
        <v>2.2359082899693812</v>
      </c>
      <c r="D10" s="40" t="s">
        <v>89</v>
      </c>
      <c r="E10" s="40" t="s">
        <v>108</v>
      </c>
    </row>
    <row r="11" spans="1:11" ht="34" x14ac:dyDescent="0.2">
      <c r="A11" t="s">
        <v>97</v>
      </c>
      <c r="B11" s="45" t="s">
        <v>115</v>
      </c>
      <c r="C11" s="45">
        <v>2.2364532852730847</v>
      </c>
      <c r="D11" s="40" t="s">
        <v>89</v>
      </c>
      <c r="E11" s="40" t="s">
        <v>109</v>
      </c>
    </row>
    <row r="12" spans="1:11" ht="34" x14ac:dyDescent="0.2">
      <c r="A12" t="s">
        <v>98</v>
      </c>
      <c r="B12" s="45" t="s">
        <v>116</v>
      </c>
      <c r="C12" s="45">
        <v>2.2155467934716082</v>
      </c>
      <c r="D12" s="40" t="s">
        <v>89</v>
      </c>
      <c r="E12" s="40" t="s">
        <v>110</v>
      </c>
    </row>
  </sheetData>
  <mergeCells count="1">
    <mergeCell ref="H5:K5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ER Projection</vt:lpstr>
      <vt:lpstr>rothc_yearly_carbon_stock_predi</vt:lpstr>
      <vt:lpstr>Uncertainty calculation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Clark</dc:creator>
  <cp:keywords/>
  <dc:description/>
  <cp:lastModifiedBy>Yashaswini</cp:lastModifiedBy>
  <cp:revision/>
  <dcterms:created xsi:type="dcterms:W3CDTF">2024-06-05T23:57:33Z</dcterms:created>
  <dcterms:modified xsi:type="dcterms:W3CDTF">2025-06-10T07:06:21Z</dcterms:modified>
  <cp:category/>
  <cp:contentStatus/>
</cp:coreProperties>
</file>