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235" yWindow="465" windowWidth="20730" windowHeight="11760" activeTab="3"/>
  </bookViews>
  <sheets>
    <sheet name="BOYABAT HEPP" sheetId="1" r:id="rId1"/>
    <sheet name="Project Emission" sheetId="2" r:id="rId2"/>
    <sheet name="Reservoir Area" sheetId="3" r:id="rId3"/>
    <sheet name="ER" sheetId="4" r:id="rId4"/>
    <sheet name="Vintage Base Comparison" sheetId="5" r:id="rId5"/>
    <sheet name="Revised_EPI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8" i="4"/>
  <c r="C9" i="4"/>
  <c r="C10" i="4"/>
  <c r="F10" i="4" s="1"/>
  <c r="C11" i="4"/>
  <c r="C12" i="4"/>
  <c r="C6" i="4"/>
  <c r="F20" i="6"/>
  <c r="F79" i="6" s="1"/>
  <c r="F7" i="6"/>
  <c r="F8" i="4"/>
  <c r="G11" i="5" s="1"/>
  <c r="H11" i="5" s="1"/>
  <c r="F16" i="5"/>
  <c r="H5" i="5"/>
  <c r="F11" i="4"/>
  <c r="F12" i="4"/>
  <c r="F9" i="4"/>
  <c r="B36" i="3"/>
  <c r="C78" i="2"/>
  <c r="C79" i="2"/>
  <c r="C80" i="2"/>
  <c r="C77" i="2"/>
  <c r="C65" i="2"/>
  <c r="C66" i="2"/>
  <c r="C67" i="2"/>
  <c r="C68" i="2"/>
  <c r="C69" i="2"/>
  <c r="C70" i="2"/>
  <c r="C71" i="2"/>
  <c r="C72" i="2"/>
  <c r="C73" i="2"/>
  <c r="C74" i="2"/>
  <c r="C75" i="2"/>
  <c r="C64" i="2"/>
  <c r="C52" i="2"/>
  <c r="C53" i="2"/>
  <c r="C54" i="2"/>
  <c r="C55" i="2"/>
  <c r="C56" i="2"/>
  <c r="C57" i="2"/>
  <c r="C58" i="2"/>
  <c r="C59" i="2"/>
  <c r="C60" i="2"/>
  <c r="C61" i="2"/>
  <c r="C62" i="2"/>
  <c r="C51" i="2"/>
  <c r="C39" i="2"/>
  <c r="C40" i="2"/>
  <c r="C41" i="2"/>
  <c r="C42" i="2"/>
  <c r="C43" i="2"/>
  <c r="C44" i="2"/>
  <c r="C45" i="2"/>
  <c r="C46" i="2"/>
  <c r="C47" i="2"/>
  <c r="C48" i="2"/>
  <c r="C49" i="2"/>
  <c r="C38" i="2"/>
  <c r="C26" i="2"/>
  <c r="C27" i="2"/>
  <c r="C28" i="2"/>
  <c r="C29" i="2"/>
  <c r="C30" i="2"/>
  <c r="C31" i="2"/>
  <c r="C32" i="2"/>
  <c r="C33" i="2"/>
  <c r="C34" i="2"/>
  <c r="C35" i="2"/>
  <c r="C36" i="2"/>
  <c r="C25" i="2"/>
  <c r="C13" i="2"/>
  <c r="C14" i="2"/>
  <c r="C15" i="2"/>
  <c r="C16" i="2"/>
  <c r="C17" i="2"/>
  <c r="C18" i="2"/>
  <c r="C19" i="2"/>
  <c r="C20" i="2"/>
  <c r="C21" i="2"/>
  <c r="C22" i="2"/>
  <c r="C23" i="2"/>
  <c r="C12" i="2"/>
  <c r="C7" i="2"/>
  <c r="C8" i="2"/>
  <c r="C9" i="2"/>
  <c r="C10" i="2"/>
  <c r="C6" i="2"/>
  <c r="C79" i="6"/>
  <c r="B59" i="6"/>
  <c r="C59" i="6"/>
  <c r="B77" i="6"/>
  <c r="C77" i="6"/>
  <c r="D77" i="6"/>
  <c r="B72" i="6"/>
  <c r="C72" i="6"/>
  <c r="B46" i="6"/>
  <c r="C46" i="6"/>
  <c r="B33" i="6"/>
  <c r="C33" i="6"/>
  <c r="B20" i="6"/>
  <c r="C20" i="6"/>
  <c r="B7" i="6"/>
  <c r="B79" i="6" s="1"/>
  <c r="C7" i="6"/>
  <c r="D7" i="6"/>
  <c r="F15" i="6"/>
  <c r="F35" i="6"/>
  <c r="F50" i="6"/>
  <c r="F61" i="6"/>
  <c r="F62" i="6"/>
  <c r="F76" i="6"/>
  <c r="F8" i="6"/>
  <c r="D8" i="6"/>
  <c r="D9" i="6"/>
  <c r="F9" i="6" s="1"/>
  <c r="D10" i="6"/>
  <c r="F10" i="6" s="1"/>
  <c r="D11" i="6"/>
  <c r="F11" i="6" s="1"/>
  <c r="D12" i="6"/>
  <c r="F12" i="6" s="1"/>
  <c r="D13" i="6"/>
  <c r="F13" i="6" s="1"/>
  <c r="D14" i="6"/>
  <c r="F14" i="6" s="1"/>
  <c r="D15" i="6"/>
  <c r="D20" i="6" s="1"/>
  <c r="D16" i="6"/>
  <c r="F16" i="6" s="1"/>
  <c r="D17" i="6"/>
  <c r="F17" i="6" s="1"/>
  <c r="D18" i="6"/>
  <c r="F18" i="6" s="1"/>
  <c r="D19" i="6"/>
  <c r="F19" i="6" s="1"/>
  <c r="D21" i="6"/>
  <c r="F21" i="6" s="1"/>
  <c r="D22" i="6"/>
  <c r="F22" i="6" s="1"/>
  <c r="D23" i="6"/>
  <c r="F23" i="6" s="1"/>
  <c r="D24" i="6"/>
  <c r="F24" i="6" s="1"/>
  <c r="D25" i="6"/>
  <c r="F25" i="6" s="1"/>
  <c r="D26" i="6"/>
  <c r="F26" i="6" s="1"/>
  <c r="D27" i="6"/>
  <c r="F27" i="6" s="1"/>
  <c r="D28" i="6"/>
  <c r="F28" i="6" s="1"/>
  <c r="D29" i="6"/>
  <c r="F29" i="6" s="1"/>
  <c r="D30" i="6"/>
  <c r="F30" i="6" s="1"/>
  <c r="D31" i="6"/>
  <c r="F31" i="6" s="1"/>
  <c r="D32" i="6"/>
  <c r="F32" i="6" s="1"/>
  <c r="D34" i="6"/>
  <c r="D46" i="6" s="1"/>
  <c r="D35" i="6"/>
  <c r="D36" i="6"/>
  <c r="F36" i="6" s="1"/>
  <c r="D37" i="6"/>
  <c r="F37" i="6" s="1"/>
  <c r="D38" i="6"/>
  <c r="F38" i="6" s="1"/>
  <c r="D39" i="6"/>
  <c r="F39" i="6" s="1"/>
  <c r="D40" i="6"/>
  <c r="F40" i="6" s="1"/>
  <c r="D41" i="6"/>
  <c r="F41" i="6" s="1"/>
  <c r="D42" i="6"/>
  <c r="F42" i="6" s="1"/>
  <c r="D43" i="6"/>
  <c r="F43" i="6" s="1"/>
  <c r="D44" i="6"/>
  <c r="F44" i="6" s="1"/>
  <c r="D45" i="6"/>
  <c r="F45" i="6" s="1"/>
  <c r="D47" i="6"/>
  <c r="F47" i="6" s="1"/>
  <c r="D48" i="6"/>
  <c r="F48" i="6" s="1"/>
  <c r="D49" i="6"/>
  <c r="F49" i="6" s="1"/>
  <c r="D50" i="6"/>
  <c r="D59" i="6" s="1"/>
  <c r="D51" i="6"/>
  <c r="F51" i="6" s="1"/>
  <c r="D52" i="6"/>
  <c r="F52" i="6" s="1"/>
  <c r="D53" i="6"/>
  <c r="F53" i="6" s="1"/>
  <c r="D54" i="6"/>
  <c r="F54" i="6" s="1"/>
  <c r="D55" i="6"/>
  <c r="F55" i="6" s="1"/>
  <c r="D56" i="6"/>
  <c r="F56" i="6" s="1"/>
  <c r="D57" i="6"/>
  <c r="F57" i="6" s="1"/>
  <c r="D58" i="6"/>
  <c r="F58" i="6" s="1"/>
  <c r="D60" i="6"/>
  <c r="F60" i="6" s="1"/>
  <c r="D61" i="6"/>
  <c r="D62" i="6"/>
  <c r="D63" i="6"/>
  <c r="F63" i="6" s="1"/>
  <c r="D64" i="6"/>
  <c r="F64" i="6" s="1"/>
  <c r="D65" i="6"/>
  <c r="F65" i="6" s="1"/>
  <c r="D66" i="6"/>
  <c r="F66" i="6" s="1"/>
  <c r="D67" i="6"/>
  <c r="F67" i="6" s="1"/>
  <c r="D68" i="6"/>
  <c r="F68" i="6" s="1"/>
  <c r="D69" i="6"/>
  <c r="F69" i="6" s="1"/>
  <c r="D70" i="6"/>
  <c r="F70" i="6" s="1"/>
  <c r="D71" i="6"/>
  <c r="F71" i="6" s="1"/>
  <c r="D73" i="6"/>
  <c r="F73" i="6" s="1"/>
  <c r="D74" i="6"/>
  <c r="F74" i="6" s="1"/>
  <c r="D75" i="6"/>
  <c r="F75" i="6" s="1"/>
  <c r="D76" i="6"/>
  <c r="D3" i="6"/>
  <c r="F3" i="6" s="1"/>
  <c r="D4" i="6"/>
  <c r="F4" i="6" s="1"/>
  <c r="D5" i="6"/>
  <c r="F5" i="6" s="1"/>
  <c r="D6" i="6"/>
  <c r="F6" i="6" s="1"/>
  <c r="D2" i="6"/>
  <c r="F2" i="6" s="1"/>
  <c r="C14" i="4" l="1"/>
  <c r="D33" i="6"/>
  <c r="D79" i="6" s="1"/>
  <c r="F34" i="6"/>
  <c r="D72" i="6"/>
  <c r="F77" i="6"/>
  <c r="J15" i="6" s="1"/>
  <c r="F33" i="6"/>
  <c r="J7" i="6" s="1"/>
  <c r="F59" i="6"/>
  <c r="J11" i="6" s="1"/>
  <c r="F72" i="6"/>
  <c r="F46" i="6"/>
  <c r="F15" i="5"/>
  <c r="F13" i="5"/>
  <c r="F12" i="5"/>
  <c r="F11" i="5"/>
  <c r="F10" i="5"/>
  <c r="F9" i="5"/>
  <c r="E24" i="1"/>
  <c r="G24" i="1" s="1"/>
  <c r="J24" i="1"/>
  <c r="K24" i="1"/>
  <c r="M24" i="1" s="1"/>
  <c r="E25" i="1"/>
  <c r="G25" i="1" s="1"/>
  <c r="J25" i="1"/>
  <c r="L25" i="1" s="1"/>
  <c r="O25" i="1" s="1"/>
  <c r="K25" i="1"/>
  <c r="M25" i="1" s="1"/>
  <c r="E26" i="1"/>
  <c r="G26" i="1" s="1"/>
  <c r="J26" i="1"/>
  <c r="L26" i="1" s="1"/>
  <c r="O26" i="1" s="1"/>
  <c r="K26" i="1"/>
  <c r="M26" i="1" s="1"/>
  <c r="E27" i="1"/>
  <c r="G27" i="1"/>
  <c r="J27" i="1"/>
  <c r="L27" i="1" s="1"/>
  <c r="O27" i="1" s="1"/>
  <c r="K27" i="1"/>
  <c r="M27" i="1" s="1"/>
  <c r="E28" i="1"/>
  <c r="G28" i="1" s="1"/>
  <c r="J28" i="1"/>
  <c r="L28" i="1" s="1"/>
  <c r="O28" i="1" s="1"/>
  <c r="K28" i="1"/>
  <c r="M28" i="1" s="1"/>
  <c r="E30" i="1"/>
  <c r="G30" i="1" s="1"/>
  <c r="J30" i="1"/>
  <c r="L30" i="1" s="1"/>
  <c r="O30" i="1" s="1"/>
  <c r="K30" i="1"/>
  <c r="M30" i="1" s="1"/>
  <c r="E31" i="1"/>
  <c r="G31" i="1" s="1"/>
  <c r="J31" i="1"/>
  <c r="L31" i="1" s="1"/>
  <c r="O31" i="1" s="1"/>
  <c r="K31" i="1"/>
  <c r="M31" i="1" s="1"/>
  <c r="E32" i="1"/>
  <c r="G32" i="1" s="1"/>
  <c r="J32" i="1"/>
  <c r="L32" i="1" s="1"/>
  <c r="O32" i="1" s="1"/>
  <c r="K32" i="1"/>
  <c r="M32" i="1" s="1"/>
  <c r="E33" i="1"/>
  <c r="G33" i="1" s="1"/>
  <c r="J33" i="1"/>
  <c r="L33" i="1" s="1"/>
  <c r="O33" i="1" s="1"/>
  <c r="K33" i="1"/>
  <c r="M33" i="1" s="1"/>
  <c r="E34" i="1"/>
  <c r="G34" i="1"/>
  <c r="J34" i="1"/>
  <c r="K34" i="1"/>
  <c r="M34" i="1" s="1"/>
  <c r="L34" i="1"/>
  <c r="O34" i="1" s="1"/>
  <c r="E35" i="1"/>
  <c r="G35" i="1"/>
  <c r="J35" i="1"/>
  <c r="L35" i="1" s="1"/>
  <c r="O35" i="1" s="1"/>
  <c r="K35" i="1"/>
  <c r="M35" i="1" s="1"/>
  <c r="E36" i="1"/>
  <c r="G36" i="1"/>
  <c r="J36" i="1"/>
  <c r="L36" i="1" s="1"/>
  <c r="O36" i="1" s="1"/>
  <c r="K36" i="1"/>
  <c r="M36" i="1" s="1"/>
  <c r="E37" i="1"/>
  <c r="G37" i="1" s="1"/>
  <c r="J37" i="1"/>
  <c r="L37" i="1" s="1"/>
  <c r="O37" i="1" s="1"/>
  <c r="K37" i="1"/>
  <c r="M37" i="1" s="1"/>
  <c r="E38" i="1"/>
  <c r="G38" i="1"/>
  <c r="J38" i="1"/>
  <c r="K38" i="1"/>
  <c r="M38" i="1" s="1"/>
  <c r="L38" i="1"/>
  <c r="O38" i="1" s="1"/>
  <c r="E39" i="1"/>
  <c r="G39" i="1" s="1"/>
  <c r="J39" i="1"/>
  <c r="L39" i="1" s="1"/>
  <c r="O39" i="1" s="1"/>
  <c r="K39" i="1"/>
  <c r="M39" i="1" s="1"/>
  <c r="E40" i="1"/>
  <c r="G40" i="1" s="1"/>
  <c r="J40" i="1"/>
  <c r="L40" i="1" s="1"/>
  <c r="O40" i="1" s="1"/>
  <c r="K40" i="1"/>
  <c r="M40" i="1" s="1"/>
  <c r="E41" i="1"/>
  <c r="G41" i="1"/>
  <c r="J41" i="1"/>
  <c r="L41" i="1" s="1"/>
  <c r="O41" i="1" s="1"/>
  <c r="K41" i="1"/>
  <c r="M41" i="1" s="1"/>
  <c r="E43" i="1"/>
  <c r="G43" i="1" s="1"/>
  <c r="J43" i="1"/>
  <c r="L43" i="1" s="1"/>
  <c r="O43" i="1" s="1"/>
  <c r="K43" i="1"/>
  <c r="M43" i="1" s="1"/>
  <c r="E44" i="1"/>
  <c r="G44" i="1" s="1"/>
  <c r="J44" i="1"/>
  <c r="L44" i="1" s="1"/>
  <c r="O44" i="1" s="1"/>
  <c r="K44" i="1"/>
  <c r="M44" i="1" s="1"/>
  <c r="E45" i="1"/>
  <c r="G45" i="1" s="1"/>
  <c r="J45" i="1"/>
  <c r="L45" i="1" s="1"/>
  <c r="O45" i="1" s="1"/>
  <c r="K45" i="1"/>
  <c r="M45" i="1" s="1"/>
  <c r="E46" i="1"/>
  <c r="G46" i="1" s="1"/>
  <c r="J46" i="1"/>
  <c r="L46" i="1" s="1"/>
  <c r="O46" i="1" s="1"/>
  <c r="K46" i="1"/>
  <c r="M46" i="1" s="1"/>
  <c r="E47" i="1"/>
  <c r="G47" i="1" s="1"/>
  <c r="J47" i="1"/>
  <c r="L47" i="1" s="1"/>
  <c r="O47" i="1" s="1"/>
  <c r="K47" i="1"/>
  <c r="M47" i="1" s="1"/>
  <c r="E48" i="1"/>
  <c r="G48" i="1" s="1"/>
  <c r="J48" i="1"/>
  <c r="L48" i="1" s="1"/>
  <c r="O48" i="1" s="1"/>
  <c r="K48" i="1"/>
  <c r="M48" i="1"/>
  <c r="E49" i="1"/>
  <c r="G49" i="1" s="1"/>
  <c r="J49" i="1"/>
  <c r="L49" i="1" s="1"/>
  <c r="O49" i="1" s="1"/>
  <c r="K49" i="1"/>
  <c r="M49" i="1" s="1"/>
  <c r="E50" i="1"/>
  <c r="G50" i="1" s="1"/>
  <c r="J50" i="1"/>
  <c r="L50" i="1" s="1"/>
  <c r="O50" i="1" s="1"/>
  <c r="K50" i="1"/>
  <c r="M50" i="1" s="1"/>
  <c r="E51" i="1"/>
  <c r="G51" i="1" s="1"/>
  <c r="J51" i="1"/>
  <c r="L51" i="1" s="1"/>
  <c r="O51" i="1" s="1"/>
  <c r="K51" i="1"/>
  <c r="M51" i="1" s="1"/>
  <c r="E52" i="1"/>
  <c r="G52" i="1" s="1"/>
  <c r="J52" i="1"/>
  <c r="L52" i="1" s="1"/>
  <c r="O52" i="1" s="1"/>
  <c r="K52" i="1"/>
  <c r="M52" i="1" s="1"/>
  <c r="E53" i="1"/>
  <c r="G53" i="1"/>
  <c r="J53" i="1"/>
  <c r="L53" i="1" s="1"/>
  <c r="O53" i="1" s="1"/>
  <c r="K53" i="1"/>
  <c r="M53" i="1" s="1"/>
  <c r="E54" i="1"/>
  <c r="G54" i="1" s="1"/>
  <c r="J54" i="1"/>
  <c r="L54" i="1" s="1"/>
  <c r="O54" i="1" s="1"/>
  <c r="K54" i="1"/>
  <c r="M54" i="1" s="1"/>
  <c r="E55" i="1"/>
  <c r="G55" i="1" s="1"/>
  <c r="E56" i="1"/>
  <c r="G56" i="1" s="1"/>
  <c r="J56" i="1"/>
  <c r="L56" i="1" s="1"/>
  <c r="O56" i="1" s="1"/>
  <c r="K56" i="1"/>
  <c r="M56" i="1" s="1"/>
  <c r="E57" i="1"/>
  <c r="G57" i="1" s="1"/>
  <c r="J57" i="1"/>
  <c r="L57" i="1" s="1"/>
  <c r="O57" i="1" s="1"/>
  <c r="K57" i="1"/>
  <c r="M57" i="1" s="1"/>
  <c r="E58" i="1"/>
  <c r="G58" i="1" s="1"/>
  <c r="J58" i="1"/>
  <c r="L58" i="1" s="1"/>
  <c r="O58" i="1" s="1"/>
  <c r="K58" i="1"/>
  <c r="M58" i="1"/>
  <c r="E59" i="1"/>
  <c r="G59" i="1"/>
  <c r="J59" i="1"/>
  <c r="L59" i="1" s="1"/>
  <c r="O59" i="1" s="1"/>
  <c r="K59" i="1"/>
  <c r="M59" i="1" s="1"/>
  <c r="E60" i="1"/>
  <c r="G60" i="1"/>
  <c r="J60" i="1"/>
  <c r="L60" i="1" s="1"/>
  <c r="O60" i="1" s="1"/>
  <c r="K60" i="1"/>
  <c r="M60" i="1" s="1"/>
  <c r="E61" i="1"/>
  <c r="G61" i="1" s="1"/>
  <c r="J61" i="1"/>
  <c r="L61" i="1" s="1"/>
  <c r="O61" i="1" s="1"/>
  <c r="K61" i="1"/>
  <c r="M61" i="1" s="1"/>
  <c r="E62" i="1"/>
  <c r="G62" i="1"/>
  <c r="J62" i="1"/>
  <c r="L62" i="1" s="1"/>
  <c r="O62" i="1" s="1"/>
  <c r="K62" i="1"/>
  <c r="M62" i="1" s="1"/>
  <c r="E63" i="1"/>
  <c r="G63" i="1" s="1"/>
  <c r="J63" i="1"/>
  <c r="L63" i="1" s="1"/>
  <c r="O63" i="1" s="1"/>
  <c r="K63" i="1"/>
  <c r="M63" i="1" s="1"/>
  <c r="E64" i="1"/>
  <c r="G64" i="1" s="1"/>
  <c r="J64" i="1"/>
  <c r="L64" i="1" s="1"/>
  <c r="O64" i="1" s="1"/>
  <c r="K64" i="1"/>
  <c r="M64" i="1" s="1"/>
  <c r="E65" i="1"/>
  <c r="G65" i="1" s="1"/>
  <c r="J65" i="1"/>
  <c r="L65" i="1" s="1"/>
  <c r="O65" i="1" s="1"/>
  <c r="K65" i="1"/>
  <c r="M65" i="1" s="1"/>
  <c r="E66" i="1"/>
  <c r="G66" i="1" s="1"/>
  <c r="J66" i="1"/>
  <c r="L66" i="1" s="1"/>
  <c r="O66" i="1" s="1"/>
  <c r="K66" i="1"/>
  <c r="M66" i="1" s="1"/>
  <c r="E67" i="1"/>
  <c r="G67" i="1" s="1"/>
  <c r="J67" i="1"/>
  <c r="L67" i="1" s="1"/>
  <c r="K67" i="1"/>
  <c r="M67" i="1" s="1"/>
  <c r="E68" i="1"/>
  <c r="G68" i="1" s="1"/>
  <c r="E69" i="1"/>
  <c r="G69" i="1"/>
  <c r="J69" i="1"/>
  <c r="L69" i="1" s="1"/>
  <c r="O69" i="1" s="1"/>
  <c r="K69" i="1"/>
  <c r="M69" i="1" s="1"/>
  <c r="E70" i="1"/>
  <c r="G70" i="1" s="1"/>
  <c r="J70" i="1"/>
  <c r="L70" i="1" s="1"/>
  <c r="O70" i="1" s="1"/>
  <c r="K70" i="1"/>
  <c r="M70" i="1" s="1"/>
  <c r="E71" i="1"/>
  <c r="G71" i="1" s="1"/>
  <c r="J71" i="1"/>
  <c r="L71" i="1" s="1"/>
  <c r="O71" i="1" s="1"/>
  <c r="K71" i="1"/>
  <c r="M71" i="1"/>
  <c r="E72" i="1"/>
  <c r="G72" i="1" s="1"/>
  <c r="J72" i="1"/>
  <c r="L72" i="1" s="1"/>
  <c r="O72" i="1" s="1"/>
  <c r="K72" i="1"/>
  <c r="M72" i="1" s="1"/>
  <c r="E73" i="1"/>
  <c r="G73" i="1"/>
  <c r="J73" i="1"/>
  <c r="L73" i="1" s="1"/>
  <c r="O73" i="1" s="1"/>
  <c r="K73" i="1"/>
  <c r="M73" i="1" s="1"/>
  <c r="E74" i="1"/>
  <c r="G74" i="1" s="1"/>
  <c r="J74" i="1"/>
  <c r="L74" i="1" s="1"/>
  <c r="O74" i="1" s="1"/>
  <c r="K74" i="1"/>
  <c r="M74" i="1" s="1"/>
  <c r="E75" i="1"/>
  <c r="G75" i="1"/>
  <c r="J75" i="1"/>
  <c r="L75" i="1" s="1"/>
  <c r="O75" i="1" s="1"/>
  <c r="K75" i="1"/>
  <c r="M75" i="1" s="1"/>
  <c r="E76" i="1"/>
  <c r="G76" i="1" s="1"/>
  <c r="J76" i="1"/>
  <c r="L76" i="1" s="1"/>
  <c r="O76" i="1" s="1"/>
  <c r="K76" i="1"/>
  <c r="M76" i="1"/>
  <c r="E77" i="1"/>
  <c r="G77" i="1" s="1"/>
  <c r="J77" i="1"/>
  <c r="L77" i="1" s="1"/>
  <c r="O77" i="1" s="1"/>
  <c r="K77" i="1"/>
  <c r="M77" i="1"/>
  <c r="E78" i="1"/>
  <c r="G78" i="1" s="1"/>
  <c r="J78" i="1"/>
  <c r="L78" i="1" s="1"/>
  <c r="O78" i="1" s="1"/>
  <c r="K78" i="1"/>
  <c r="M78" i="1" s="1"/>
  <c r="E79" i="1"/>
  <c r="G79" i="1" s="1"/>
  <c r="J79" i="1"/>
  <c r="L79" i="1" s="1"/>
  <c r="O79" i="1" s="1"/>
  <c r="K79" i="1"/>
  <c r="M79" i="1" s="1"/>
  <c r="E80" i="1"/>
  <c r="G80" i="1" s="1"/>
  <c r="J80" i="1"/>
  <c r="K80" i="1"/>
  <c r="M80" i="1" s="1"/>
  <c r="L80" i="1"/>
  <c r="O80" i="1" s="1"/>
  <c r="E81" i="1"/>
  <c r="G81" i="1" s="1"/>
  <c r="E82" i="1"/>
  <c r="G82" i="1"/>
  <c r="J82" i="1"/>
  <c r="L82" i="1" s="1"/>
  <c r="O82" i="1" s="1"/>
  <c r="K82" i="1"/>
  <c r="M82" i="1" s="1"/>
  <c r="E83" i="1"/>
  <c r="G83" i="1" s="1"/>
  <c r="J83" i="1"/>
  <c r="K83" i="1"/>
  <c r="L83" i="1"/>
  <c r="M83" i="1"/>
  <c r="O83" i="1"/>
  <c r="E84" i="1"/>
  <c r="G84" i="1" s="1"/>
  <c r="J84" i="1"/>
  <c r="L84" i="1" s="1"/>
  <c r="O84" i="1" s="1"/>
  <c r="K84" i="1"/>
  <c r="M84" i="1" s="1"/>
  <c r="E85" i="1"/>
  <c r="G85" i="1" s="1"/>
  <c r="J85" i="1"/>
  <c r="L85" i="1" s="1"/>
  <c r="O85" i="1" s="1"/>
  <c r="K85" i="1"/>
  <c r="M85" i="1" s="1"/>
  <c r="E86" i="1"/>
  <c r="G86" i="1"/>
  <c r="J86" i="1"/>
  <c r="L86" i="1" s="1"/>
  <c r="O86" i="1" s="1"/>
  <c r="K86" i="1"/>
  <c r="M86" i="1" s="1"/>
  <c r="E87" i="1"/>
  <c r="G87" i="1" s="1"/>
  <c r="J87" i="1"/>
  <c r="L87" i="1" s="1"/>
  <c r="O87" i="1" s="1"/>
  <c r="K87" i="1"/>
  <c r="M87" i="1" s="1"/>
  <c r="E88" i="1"/>
  <c r="G88" i="1" s="1"/>
  <c r="J88" i="1"/>
  <c r="L88" i="1" s="1"/>
  <c r="O88" i="1" s="1"/>
  <c r="K88" i="1"/>
  <c r="M88" i="1"/>
  <c r="E89" i="1"/>
  <c r="G89" i="1" s="1"/>
  <c r="J89" i="1"/>
  <c r="K89" i="1"/>
  <c r="M89" i="1" s="1"/>
  <c r="L89" i="1"/>
  <c r="O89" i="1" s="1"/>
  <c r="E90" i="1"/>
  <c r="G90" i="1"/>
  <c r="J90" i="1"/>
  <c r="L90" i="1" s="1"/>
  <c r="O90" i="1" s="1"/>
  <c r="K90" i="1"/>
  <c r="M90" i="1" s="1"/>
  <c r="E91" i="1"/>
  <c r="G91" i="1" s="1"/>
  <c r="J91" i="1"/>
  <c r="L91" i="1" s="1"/>
  <c r="O91" i="1" s="1"/>
  <c r="K91" i="1"/>
  <c r="M91" i="1" s="1"/>
  <c r="E92" i="1"/>
  <c r="G92" i="1"/>
  <c r="J92" i="1"/>
  <c r="K92" i="1"/>
  <c r="M92" i="1" s="1"/>
  <c r="L92" i="1"/>
  <c r="O92" i="1" s="1"/>
  <c r="E93" i="1"/>
  <c r="G93" i="1" s="1"/>
  <c r="J93" i="1"/>
  <c r="L93" i="1" s="1"/>
  <c r="O93" i="1" s="1"/>
  <c r="K93" i="1"/>
  <c r="M93" i="1" s="1"/>
  <c r="E95" i="1"/>
  <c r="G95" i="1" s="1"/>
  <c r="J95" i="1"/>
  <c r="L95" i="1" s="1"/>
  <c r="O95" i="1" s="1"/>
  <c r="K95" i="1"/>
  <c r="M95" i="1" s="1"/>
  <c r="E96" i="1"/>
  <c r="G96" i="1" s="1"/>
  <c r="J96" i="1"/>
  <c r="K96" i="1"/>
  <c r="L96" i="1"/>
  <c r="O96" i="1" s="1"/>
  <c r="M96" i="1"/>
  <c r="E97" i="1"/>
  <c r="G97" i="1" s="1"/>
  <c r="J97" i="1"/>
  <c r="L97" i="1" s="1"/>
  <c r="O97" i="1" s="1"/>
  <c r="K97" i="1"/>
  <c r="M97" i="1" s="1"/>
  <c r="E98" i="1"/>
  <c r="G98" i="1" s="1"/>
  <c r="J98" i="1"/>
  <c r="L98" i="1" s="1"/>
  <c r="O98" i="1" s="1"/>
  <c r="K98" i="1"/>
  <c r="M98" i="1"/>
  <c r="J9" i="6" l="1"/>
  <c r="J13" i="6"/>
  <c r="L24" i="1"/>
  <c r="O24" i="1" s="1"/>
  <c r="J108" i="1"/>
  <c r="J5" i="6"/>
  <c r="F7" i="4" s="1"/>
  <c r="J3" i="6"/>
  <c r="E14" i="4"/>
  <c r="J17" i="6" l="1"/>
  <c r="D7" i="2"/>
  <c r="D8" i="2"/>
  <c r="D9" i="2"/>
  <c r="D10" i="2"/>
  <c r="D13" i="2"/>
  <c r="D14" i="2"/>
  <c r="D15" i="2"/>
  <c r="D16" i="2"/>
  <c r="D17" i="2"/>
  <c r="D18" i="2"/>
  <c r="D19" i="2"/>
  <c r="D20" i="2"/>
  <c r="D21" i="2"/>
  <c r="D22" i="2"/>
  <c r="D23" i="2"/>
  <c r="D26" i="2"/>
  <c r="D27" i="2"/>
  <c r="D28" i="2"/>
  <c r="D29" i="2"/>
  <c r="D30" i="2"/>
  <c r="D31" i="2"/>
  <c r="D32" i="2"/>
  <c r="D33" i="2"/>
  <c r="D34" i="2"/>
  <c r="D35" i="2"/>
  <c r="D36" i="2"/>
  <c r="D39" i="2"/>
  <c r="D40" i="2"/>
  <c r="D41" i="2"/>
  <c r="D42" i="2"/>
  <c r="D43" i="2"/>
  <c r="D44" i="2"/>
  <c r="D45" i="2"/>
  <c r="D46" i="2"/>
  <c r="D47" i="2"/>
  <c r="D48" i="2"/>
  <c r="D49" i="2"/>
  <c r="D52" i="2"/>
  <c r="D53" i="2"/>
  <c r="D54" i="2"/>
  <c r="D55" i="2"/>
  <c r="D56" i="2"/>
  <c r="D57" i="2"/>
  <c r="D58" i="2"/>
  <c r="D59" i="2"/>
  <c r="D60" i="2"/>
  <c r="D61" i="2"/>
  <c r="D62" i="2"/>
  <c r="D65" i="2"/>
  <c r="D66" i="2"/>
  <c r="D67" i="2"/>
  <c r="D68" i="2"/>
  <c r="D69" i="2"/>
  <c r="D70" i="2"/>
  <c r="D71" i="2"/>
  <c r="D72" i="2"/>
  <c r="D73" i="2"/>
  <c r="D74" i="2"/>
  <c r="D75" i="2"/>
  <c r="D78" i="2"/>
  <c r="D79" i="2"/>
  <c r="D80" i="2"/>
  <c r="C81" i="2" l="1"/>
  <c r="D77" i="2"/>
  <c r="C37" i="2"/>
  <c r="D25" i="2"/>
  <c r="C11" i="2"/>
  <c r="D6" i="2"/>
  <c r="D11" i="2" s="1"/>
  <c r="K3" i="6" s="1"/>
  <c r="C76" i="2"/>
  <c r="D64" i="2"/>
  <c r="C50" i="2"/>
  <c r="D38" i="2"/>
  <c r="C63" i="2"/>
  <c r="D51" i="2"/>
  <c r="C24" i="2"/>
  <c r="D12" i="2"/>
  <c r="O13" i="1"/>
  <c r="M14" i="1"/>
  <c r="O14" i="1" s="1"/>
  <c r="M12" i="1"/>
  <c r="O12" i="1" s="1"/>
  <c r="M8" i="1"/>
  <c r="M7" i="1"/>
  <c r="O7" i="1" s="1"/>
  <c r="M3" i="6" l="1"/>
  <c r="D50" i="2"/>
  <c r="D63" i="2"/>
  <c r="D76" i="2"/>
  <c r="D81" i="2"/>
  <c r="D37" i="2"/>
  <c r="D24" i="2"/>
  <c r="K5" i="6" s="1"/>
  <c r="M5" i="6" s="1"/>
  <c r="D6" i="4"/>
  <c r="F6" i="4" s="1"/>
  <c r="F14" i="4" s="1"/>
  <c r="G16" i="5" s="1"/>
  <c r="H16" i="5" s="1"/>
  <c r="O8" i="1"/>
  <c r="C83" i="2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F106" i="1"/>
  <c r="F108" i="1"/>
  <c r="F100" i="1"/>
  <c r="F101" i="1"/>
  <c r="F102" i="1"/>
  <c r="F103" i="1"/>
  <c r="F104" i="1"/>
  <c r="F105" i="1"/>
  <c r="M9" i="1"/>
  <c r="D8" i="4" l="1"/>
  <c r="K7" i="6"/>
  <c r="M7" i="6" s="1"/>
  <c r="D12" i="4"/>
  <c r="K15" i="6"/>
  <c r="M15" i="6" s="1"/>
  <c r="D10" i="4"/>
  <c r="K11" i="6"/>
  <c r="M11" i="6" s="1"/>
  <c r="D11" i="4"/>
  <c r="K13" i="6"/>
  <c r="M13" i="6" s="1"/>
  <c r="D9" i="4"/>
  <c r="K9" i="6"/>
  <c r="M9" i="6" s="1"/>
  <c r="M17" i="6" s="1"/>
  <c r="K17" i="6"/>
  <c r="D83" i="2"/>
  <c r="D7" i="4"/>
  <c r="L109" i="1"/>
  <c r="O9" i="1"/>
  <c r="D108" i="1"/>
  <c r="K108" i="1"/>
  <c r="M109" i="1" s="1"/>
  <c r="E106" i="1"/>
  <c r="G106" i="1" s="1"/>
  <c r="E104" i="1"/>
  <c r="G104" i="1" s="1"/>
  <c r="C108" i="1"/>
  <c r="L108" i="1" s="1"/>
  <c r="E101" i="1"/>
  <c r="G101" i="1" s="1"/>
  <c r="E102" i="1"/>
  <c r="G102" i="1" s="1"/>
  <c r="E105" i="1"/>
  <c r="G105" i="1" s="1"/>
  <c r="M10" i="1"/>
  <c r="M11" i="1"/>
  <c r="E100" i="1"/>
  <c r="G100" i="1" s="1"/>
  <c r="E103" i="1"/>
  <c r="G103" i="1" s="1"/>
  <c r="D14" i="4" l="1"/>
  <c r="O108" i="1"/>
  <c r="O11" i="1"/>
  <c r="O10" i="1"/>
  <c r="M108" i="1"/>
  <c r="D12" i="1"/>
  <c r="H102" i="1"/>
  <c r="D11" i="1"/>
  <c r="H101" i="1"/>
  <c r="D15" i="1"/>
  <c r="H105" i="1"/>
  <c r="D14" i="1"/>
  <c r="H104" i="1"/>
  <c r="D13" i="1"/>
  <c r="H103" i="1"/>
  <c r="D10" i="1"/>
  <c r="H100" i="1"/>
  <c r="D16" i="1"/>
  <c r="H106" i="1"/>
  <c r="E108" i="1"/>
  <c r="G108" i="1" s="1"/>
  <c r="D17" i="1" s="1"/>
  <c r="F15" i="1" l="1"/>
  <c r="F11" i="1"/>
  <c r="F16" i="1"/>
  <c r="F13" i="1"/>
  <c r="F14" i="1"/>
  <c r="F12" i="1"/>
  <c r="F10" i="1"/>
  <c r="H108" i="1"/>
  <c r="G10" i="5" l="1"/>
  <c r="H10" i="5" s="1"/>
  <c r="N9" i="1"/>
  <c r="Q9" i="1" s="1"/>
  <c r="N10" i="1"/>
  <c r="Q10" i="1" s="1"/>
  <c r="G15" i="5"/>
  <c r="H15" i="5" s="1"/>
  <c r="N14" i="1"/>
  <c r="Q14" i="1" s="1"/>
  <c r="G14" i="5"/>
  <c r="H14" i="5" s="1"/>
  <c r="N13" i="1"/>
  <c r="Q13" i="1" s="1"/>
  <c r="G13" i="5"/>
  <c r="H13" i="5" s="1"/>
  <c r="N12" i="1"/>
  <c r="Q12" i="1" s="1"/>
  <c r="N11" i="1"/>
  <c r="Q11" i="1" s="1"/>
  <c r="G12" i="5"/>
  <c r="H12" i="5" s="1"/>
  <c r="F17" i="1"/>
  <c r="N7" i="1" l="1"/>
  <c r="G9" i="5"/>
  <c r="H9" i="5" s="1"/>
  <c r="N8" i="1"/>
  <c r="Q8" i="1" s="1"/>
  <c r="Q7" i="1" l="1"/>
</calcChain>
</file>

<file path=xl/sharedStrings.xml><?xml version="1.0" encoding="utf-8"?>
<sst xmlns="http://schemas.openxmlformats.org/spreadsheetml/2006/main" count="391" uniqueCount="215">
  <si>
    <t>Month</t>
  </si>
  <si>
    <t>(A)
Electricity
supplied to
the grid
[kWh]</t>
  </si>
  <si>
    <t>(B)
Electricity
consumption
from the grid
[kWh]</t>
  </si>
  <si>
    <t>(C) = (A) - (B)
EG (ID 8)
Net electricity
supplied to the grid
[kWh]</t>
  </si>
  <si>
    <t>Project Name:</t>
  </si>
  <si>
    <t>Monitoring Period:</t>
  </si>
  <si>
    <t>Project Emissions (PE)</t>
  </si>
  <si>
    <t>Baseline Emissions (BE)</t>
  </si>
  <si>
    <t>Leakege (L)</t>
  </si>
  <si>
    <t>Emission Reductions (ER)</t>
  </si>
  <si>
    <t>[t CO2-eq]</t>
  </si>
  <si>
    <t>(ER=BE-PE-L)</t>
  </si>
  <si>
    <t>t CO2-eq</t>
  </si>
  <si>
    <t>Rounded Value</t>
  </si>
  <si>
    <r>
      <t>EF  [tCO</t>
    </r>
    <r>
      <rPr>
        <b/>
        <vertAlign val="subscript"/>
        <sz val="12"/>
        <rFont val="Times New Roman"/>
        <family val="1"/>
        <charset val="162"/>
      </rPr>
      <t>2</t>
    </r>
    <r>
      <rPr>
        <b/>
        <sz val="12"/>
        <rFont val="Times New Roman"/>
        <family val="1"/>
        <charset val="162"/>
      </rPr>
      <t>/MWh]</t>
    </r>
  </si>
  <si>
    <r>
      <t>Baseline
emission:
BR = EG * EF)
[t CO</t>
    </r>
    <r>
      <rPr>
        <b/>
        <vertAlign val="subscript"/>
        <sz val="12"/>
        <rFont val="Times New Roman"/>
        <family val="1"/>
        <charset val="162"/>
      </rPr>
      <t>2</t>
    </r>
    <r>
      <rPr>
        <b/>
        <sz val="12"/>
        <rFont val="Times New Roman"/>
        <family val="1"/>
        <charset val="162"/>
      </rPr>
      <t>-eq]</t>
    </r>
  </si>
  <si>
    <t>February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</si>
  <si>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</si>
  <si>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</si>
  <si>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</si>
  <si>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</si>
  <si>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</si>
  <si>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</si>
  <si>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</si>
  <si>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</si>
  <si>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</si>
  <si>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</si>
  <si>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</si>
  <si>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</si>
  <si>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</si>
  <si>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</si>
  <si>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</si>
  <si>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</si>
  <si>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</si>
  <si>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</si>
  <si>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</si>
  <si>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</si>
  <si>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</si>
  <si>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</si>
  <si>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</si>
  <si>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</si>
  <si>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</si>
  <si>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</si>
  <si>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</si>
  <si>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</si>
  <si>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Sum (01/01/2017 - 31/12/2017)</t>
  </si>
  <si>
    <t>Sum (01/01/2018 - 31/12/2018)</t>
  </si>
  <si>
    <t xml:space="preserve">Second Monitoring Period </t>
  </si>
  <si>
    <t>March 2015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</si>
  <si>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</si>
  <si>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</si>
  <si>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</si>
  <si>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</si>
  <si>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</si>
  <si>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</si>
  <si>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</si>
  <si>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</si>
  <si>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</si>
  <si>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</si>
  <si>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</si>
  <si>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</si>
  <si>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</si>
  <si>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</si>
  <si>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</si>
  <si>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</si>
  <si>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</si>
  <si>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</si>
  <si>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</si>
  <si>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</si>
  <si>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</si>
  <si>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</si>
  <si>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</si>
  <si>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</si>
  <si>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</si>
  <si>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(A) için EPIAS ile OSOS (tutanak)  farkı</t>
  </si>
  <si>
    <t>Sum (01/01/2015 - 31/12/2015)</t>
  </si>
  <si>
    <t>Sum (01/01/2016 - 31/12/2016)</t>
  </si>
  <si>
    <t xml:space="preserve">According to PDD </t>
  </si>
  <si>
    <t xml:space="preserve">tCO2 eq </t>
  </si>
  <si>
    <t xml:space="preserve">Annual Electricity Generation </t>
  </si>
  <si>
    <t>Combined Margin</t>
  </si>
  <si>
    <t>ER Expectation Value</t>
  </si>
  <si>
    <t>tCO2/MWh</t>
  </si>
  <si>
    <t>MW</t>
  </si>
  <si>
    <t>Days</t>
  </si>
  <si>
    <t>VCS  Project ID:</t>
  </si>
  <si>
    <t xml:space="preserve">Boyabat Hydroelectric Power Plant 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</si>
  <si>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</si>
  <si>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</si>
  <si>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</si>
  <si>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</si>
  <si>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</si>
  <si>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</si>
  <si>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</si>
  <si>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</si>
  <si>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</si>
  <si>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</si>
  <si>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</si>
  <si>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</si>
  <si>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</si>
  <si>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</si>
  <si>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Sum (01/08/2014 - 31/12/2014)</t>
  </si>
  <si>
    <t>(B) için  EPIAS ile OSOS (Tutanak) farkı</t>
  </si>
  <si>
    <t>V C S</t>
  </si>
  <si>
    <t>365 Days</t>
  </si>
  <si>
    <t>Monitoring Period</t>
  </si>
  <si>
    <t>2100 Days</t>
  </si>
  <si>
    <t>Between 1/08/2014 and 01/05/2020</t>
  </si>
  <si>
    <t>Between 1/01/2020 and 01/05/2020</t>
  </si>
  <si>
    <t>Electricity Generation (kwh)</t>
  </si>
  <si>
    <t>153 Days</t>
  </si>
  <si>
    <t>121 Days</t>
  </si>
  <si>
    <t>Actutual</t>
  </si>
  <si>
    <t>Difference</t>
  </si>
  <si>
    <t>01/08/2014-31/12/2014</t>
  </si>
  <si>
    <t>Gross Electricity Production</t>
  </si>
  <si>
    <t>Project Emission</t>
  </si>
  <si>
    <t>(A)
Electricity
supplied to
the grid
[MWh]</t>
  </si>
  <si>
    <t>tCO2e</t>
  </si>
  <si>
    <t>kgCO2e/MWh</t>
  </si>
  <si>
    <t>PEy</t>
  </si>
  <si>
    <t>TOTAL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</si>
  <si>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</si>
  <si>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</si>
  <si>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</si>
  <si>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</si>
  <si>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</si>
  <si>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</si>
  <si>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</si>
  <si>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GRAND TOTAL</t>
  </si>
  <si>
    <t>The area of reservoir lake is determined indirectly as a correlation to the lake level using the following
graph.</t>
  </si>
  <si>
    <t>Accordingly the power density is calculated as follow:</t>
  </si>
  <si>
    <t>calculated.</t>
  </si>
  <si>
    <t>Baseline
emissions or
removals</t>
  </si>
  <si>
    <t>Project
emissions or
removals</t>
  </si>
  <si>
    <t>Leakage
emissions</t>
  </si>
  <si>
    <t xml:space="preserve">Net GHG
emission
reductions or
removals </t>
  </si>
  <si>
    <t>Year</t>
  </si>
  <si>
    <t>2014 (01/08/2014 - 31/12/2014)</t>
  </si>
  <si>
    <t>2015 (01/01/2015 - 31/12/2015)</t>
  </si>
  <si>
    <t>2016 (01/01/2016 - 31/12/2016)</t>
  </si>
  <si>
    <t>2017 (01/01/2017 - 31/12/2017)</t>
  </si>
  <si>
    <t>2018 (01/01/2018 - 31/12/2018)</t>
  </si>
  <si>
    <t>EFres*</t>
  </si>
  <si>
    <t>*Default emission factor for emissions from reservoirs</t>
  </si>
  <si>
    <t>Decision by EB 23</t>
  </si>
  <si>
    <t>90 kgCO2e/MWh</t>
  </si>
  <si>
    <t>from  01/08/2014 to 30/04/2020</t>
  </si>
  <si>
    <t>Total Baseline for the Second Monitoring</t>
  </si>
  <si>
    <t>Vintage 2014 Baseline</t>
  </si>
  <si>
    <t>Vintage 2015 Baseline</t>
  </si>
  <si>
    <t>Vintage 2016 Basaeline</t>
  </si>
  <si>
    <t>Vintage 2017 Baseline</t>
  </si>
  <si>
    <t>Vintage 2018 Baseline</t>
  </si>
  <si>
    <t>Vintage 2019 Baseline</t>
  </si>
  <si>
    <t>Vintage 2020 Baseline</t>
  </si>
  <si>
    <t>Emission Reduction Calculations</t>
  </si>
  <si>
    <t>2019 (01/01/2019- 31/12/2019)</t>
  </si>
  <si>
    <t>2020 (01/01/2020- 30/04/2020)</t>
  </si>
  <si>
    <t>Sum (01/01/2019- 31/12/2019)</t>
  </si>
  <si>
    <t>Sum (01/01/2020- 30/04/2020)</t>
  </si>
  <si>
    <t>Sum (01/08/2014 - 30/04/2020)</t>
  </si>
  <si>
    <t>Unit-1
Electricity
supplied to
the grid</t>
  </si>
  <si>
    <t>Unit-2
Electricity
supplied to
the grid</t>
  </si>
  <si>
    <t>Unit-3
Electricity
supplied to
the grid</t>
  </si>
  <si>
    <t>Unit-1  Electricity
consumption
from the grid</t>
  </si>
  <si>
    <t>Unit-2  Electricity
consumption
from the grid</t>
  </si>
  <si>
    <t>Unit-3  Electricity
consumption
from the grid</t>
  </si>
  <si>
    <t>For A-EPİAŞ ( Supplied Amount (kWh)</t>
  </si>
  <si>
    <t>For B-EPİAŞ Electricity Consumption Amount (kWh)</t>
  </si>
  <si>
    <t>Table of values according OSOS-OSF (values in kWh)</t>
  </si>
  <si>
    <t>Comparision Main and Cross Check Source</t>
  </si>
  <si>
    <t>Boyabay HPP Internal Records</t>
  </si>
  <si>
    <t>Please see "ER" Sheet.</t>
  </si>
  <si>
    <t xml:space="preserve">No leakage is to be accounted by the Project. This is in line with the registered VCS PD and applicable methodology ACM0002 version 14.0. </t>
  </si>
  <si>
    <t xml:space="preserve">Project emissions are negligable. In accordance to the registered VCS PD and applicable methodology ACM0002 version 14.0, no project emissions are to be accounted by the Project. </t>
  </si>
  <si>
    <t>**</t>
  </si>
  <si>
    <t>The reservoir related project emissions can be calculated according to the following formula:
PEHP,y= (EFRes X TEGy) / 1000</t>
  </si>
  <si>
    <t xml:space="preserve">https://cdm.unfccc.int/filestorage/A/0/4/A04BWNRKLUEP6O1QX75YVTH28JDICZ/EB%2075_repan13_ACM0002_ver%2014.0.pdf?t=aE98cjF6bjJxfDDgo_ujn8diq4aW0-8q7nyt </t>
  </si>
  <si>
    <t>Please see Section 5.4.3</t>
  </si>
  <si>
    <t>Rounded Down Value</t>
  </si>
  <si>
    <t>Actual</t>
  </si>
  <si>
    <t>Estimation</t>
  </si>
  <si>
    <t>Monitoring Period Includes</t>
  </si>
  <si>
    <t xml:space="preserve"> </t>
  </si>
  <si>
    <t xml:space="preserve">Total 2014 </t>
  </si>
  <si>
    <r>
      <t>EF  [tCO</t>
    </r>
    <r>
      <rPr>
        <b/>
        <vertAlign val="subscript"/>
        <sz val="11"/>
        <rFont val="Calibri"/>
        <family val="2"/>
        <charset val="162"/>
        <scheme val="minor"/>
      </rPr>
      <t>2</t>
    </r>
    <r>
      <rPr>
        <b/>
        <sz val="11"/>
        <rFont val="Calibri"/>
        <family val="2"/>
        <charset val="162"/>
        <scheme val="minor"/>
      </rPr>
      <t>/MWh]</t>
    </r>
  </si>
  <si>
    <r>
      <t>Baseline
emission:
BR = EG * EF)
[t CO</t>
    </r>
    <r>
      <rPr>
        <b/>
        <vertAlign val="subscript"/>
        <sz val="11"/>
        <rFont val="Calibri"/>
        <family val="2"/>
        <charset val="162"/>
        <scheme val="minor"/>
      </rPr>
      <t>2</t>
    </r>
    <r>
      <rPr>
        <b/>
        <sz val="11"/>
        <rFont val="Calibri"/>
        <family val="2"/>
        <charset val="162"/>
        <scheme val="minor"/>
      </rPr>
      <t>-eq]</t>
    </r>
  </si>
  <si>
    <t>Total 2015</t>
  </si>
  <si>
    <t>Total 2016</t>
  </si>
  <si>
    <t xml:space="preserve">Total 2017 </t>
  </si>
  <si>
    <t xml:space="preserve">Total 2018 </t>
  </si>
  <si>
    <t>Total 2019</t>
  </si>
  <si>
    <t>Total 2020</t>
  </si>
  <si>
    <t>Baseline emissions or removals</t>
  </si>
  <si>
    <r>
      <t>(tCO</t>
    </r>
    <r>
      <rPr>
        <b/>
        <vertAlign val="subscript"/>
        <sz val="10.5"/>
        <color rgb="FFFFFFFF"/>
        <rFont val="Franklin Gothic Book"/>
        <family val="2"/>
        <charset val="162"/>
      </rPr>
      <t>2</t>
    </r>
    <r>
      <rPr>
        <b/>
        <sz val="10.5"/>
        <color rgb="FFFFFFFF"/>
        <rFont val="Franklin Gothic Book"/>
        <family val="2"/>
        <charset val="162"/>
      </rPr>
      <t>e)</t>
    </r>
  </si>
  <si>
    <r>
      <t>Project emissions or removals (tCO</t>
    </r>
    <r>
      <rPr>
        <b/>
        <vertAlign val="subscript"/>
        <sz val="10.5"/>
        <color rgb="FFFFFFFF"/>
        <rFont val="Franklin Gothic Book"/>
        <family val="2"/>
        <charset val="162"/>
      </rPr>
      <t>2</t>
    </r>
    <r>
      <rPr>
        <b/>
        <sz val="10.5"/>
        <color rgb="FFFFFFFF"/>
        <rFont val="Franklin Gothic Book"/>
        <family val="2"/>
        <charset val="162"/>
      </rPr>
      <t>e)</t>
    </r>
  </si>
  <si>
    <r>
      <t>Leakage emissions (tCO</t>
    </r>
    <r>
      <rPr>
        <b/>
        <vertAlign val="subscript"/>
        <sz val="10.5"/>
        <color rgb="FFFFFFFF"/>
        <rFont val="Franklin Gothic Book"/>
        <family val="2"/>
        <charset val="162"/>
      </rPr>
      <t>2</t>
    </r>
    <r>
      <rPr>
        <b/>
        <sz val="10.5"/>
        <color rgb="FFFFFFFF"/>
        <rFont val="Franklin Gothic Book"/>
        <family val="2"/>
        <charset val="162"/>
      </rPr>
      <t>e)</t>
    </r>
  </si>
  <si>
    <t>Net GHG emission reductions or removals</t>
  </si>
  <si>
    <t>(01/08/2014-31/12/2014)</t>
  </si>
  <si>
    <t>(01/01/2015-31/12/2015)</t>
  </si>
  <si>
    <t>(01/01/2016-31/12/2016)</t>
  </si>
  <si>
    <t>(01/01/2017-31/12/2017)</t>
  </si>
  <si>
    <t>(01/01/2018-31/12/2018)</t>
  </si>
  <si>
    <t>(01/01/2019-31/12/2019)</t>
  </si>
  <si>
    <t>(01/01/2020-30/04/2020)</t>
  </si>
  <si>
    <t>Total</t>
  </si>
  <si>
    <t>Main Sourece: EPAİŞ Records</t>
  </si>
  <si>
    <t>Between 1/08/2014 and 30/04/2020</t>
  </si>
  <si>
    <t>Between 1/01/2020 and 30/04/2020</t>
  </si>
  <si>
    <t>513,000,000 W /65,400,000 m2=7.844 W/m2</t>
  </si>
  <si>
    <t>The maximum water level recorded is 330 m.</t>
  </si>
  <si>
    <t>Since power density (7.844 W/m2) is &gt;4 W/m2 but &lt; 10 W/m2 the project emissions needs to be</t>
  </si>
  <si>
    <t>The Lake area that corresponds to that level is determined to be approximately 65,400,000 m2.</t>
  </si>
  <si>
    <t>Reference: The registered PD and first verification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</si>
</sst>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#,##0.000"/>
    <numFmt numFmtId="166" formatCode="0.0000"/>
    <numFmt numFmtId="167" formatCode="0.000000%"/>
    <numFmt numFmtId="168" formatCode="0.0000000%"/>
    <numFmt numFmtId="169" formatCode="_-* #,##0_-;\-* #,##0_-;_-* &quot;-&quot;??_-;_-@_-"/>
  </numFmts>
  <fonts count="46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indexed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vertAlign val="subscript"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color indexed="10"/>
      <name val="Times New Roman"/>
      <family val="1"/>
      <charset val="162"/>
    </font>
    <font>
      <b/>
      <sz val="12"/>
      <name val="Times New Roman"/>
      <family val="1"/>
    </font>
    <font>
      <sz val="11"/>
      <color indexed="10"/>
      <name val="Times New Roman"/>
      <family val="1"/>
      <charset val="162"/>
    </font>
    <font>
      <b/>
      <sz val="11"/>
      <color indexed="10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vertAlign val="subscript"/>
      <sz val="11"/>
      <name val="Calibri"/>
      <family val="2"/>
      <charset val="162"/>
      <scheme val="minor"/>
    </font>
    <font>
      <b/>
      <sz val="10.5"/>
      <color rgb="FFFFFFFF"/>
      <name val="Franklin Gothic Book"/>
      <family val="2"/>
      <charset val="162"/>
    </font>
    <font>
      <sz val="9.5"/>
      <color rgb="FF404040"/>
      <name val="Franklin Gothic Book"/>
      <family val="2"/>
      <charset val="162"/>
    </font>
    <font>
      <b/>
      <sz val="9.5"/>
      <color rgb="FF404040"/>
      <name val="Franklin Gothic Book"/>
      <family val="2"/>
      <charset val="162"/>
    </font>
    <font>
      <b/>
      <vertAlign val="subscript"/>
      <sz val="10.5"/>
      <color rgb="FFFFFFFF"/>
      <name val="Franklin Gothic Book"/>
      <family val="2"/>
      <charset val="162"/>
    </font>
    <font>
      <b/>
      <i/>
      <sz val="11"/>
      <color theme="1"/>
      <name val="Calibri"/>
      <family val="2"/>
      <charset val="16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double">
        <color rgb="FFFFFFFF"/>
      </bottom>
      <diagonal/>
    </border>
    <border>
      <left style="medium">
        <color rgb="FFFFFFFF"/>
      </left>
      <right style="medium">
        <color rgb="FFFFFFFF"/>
      </right>
      <top style="double">
        <color rgb="FFFFFFFF"/>
      </top>
      <bottom/>
      <diagonal/>
    </border>
  </borders>
  <cellStyleXfs count="3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6" applyNumberFormat="0" applyAlignment="0" applyProtection="0"/>
    <xf numFmtId="0" fontId="12" fillId="7" borderId="5" applyNumberFormat="0" applyAlignment="0" applyProtection="0"/>
    <xf numFmtId="0" fontId="1" fillId="0" borderId="0"/>
    <xf numFmtId="0" fontId="2" fillId="0" borderId="0"/>
    <xf numFmtId="0" fontId="3" fillId="17" borderId="7" applyNumberFormat="0" applyFon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34">
    <xf numFmtId="0" fontId="0" fillId="0" borderId="0" xfId="0"/>
    <xf numFmtId="0" fontId="27" fillId="18" borderId="9" xfId="0" applyFont="1" applyFill="1" applyBorder="1"/>
    <xf numFmtId="0" fontId="27" fillId="18" borderId="10" xfId="0" applyFont="1" applyFill="1" applyBorder="1"/>
    <xf numFmtId="0" fontId="27" fillId="18" borderId="11" xfId="0" applyFont="1" applyFill="1" applyBorder="1"/>
    <xf numFmtId="0" fontId="27" fillId="0" borderId="0" xfId="0" applyFont="1"/>
    <xf numFmtId="0" fontId="27" fillId="18" borderId="12" xfId="0" applyFont="1" applyFill="1" applyBorder="1"/>
    <xf numFmtId="0" fontId="15" fillId="18" borderId="0" xfId="29" applyFont="1" applyFill="1" applyBorder="1" applyAlignment="1"/>
    <xf numFmtId="0" fontId="27" fillId="18" borderId="13" xfId="0" applyFont="1" applyFill="1" applyBorder="1"/>
    <xf numFmtId="0" fontId="16" fillId="18" borderId="0" xfId="0" applyFont="1" applyFill="1" applyBorder="1"/>
    <xf numFmtId="0" fontId="16" fillId="18" borderId="9" xfId="0" applyFont="1" applyFill="1" applyBorder="1"/>
    <xf numFmtId="0" fontId="16" fillId="18" borderId="11" xfId="0" applyFont="1" applyFill="1" applyBorder="1"/>
    <xf numFmtId="0" fontId="16" fillId="18" borderId="14" xfId="0" applyFont="1" applyFill="1" applyBorder="1"/>
    <xf numFmtId="0" fontId="16" fillId="18" borderId="15" xfId="0" applyFont="1" applyFill="1" applyBorder="1"/>
    <xf numFmtId="0" fontId="16" fillId="18" borderId="16" xfId="0" applyFont="1" applyFill="1" applyBorder="1"/>
    <xf numFmtId="0" fontId="16" fillId="18" borderId="12" xfId="0" applyFont="1" applyFill="1" applyBorder="1"/>
    <xf numFmtId="0" fontId="16" fillId="18" borderId="13" xfId="0" applyFont="1" applyFill="1" applyBorder="1"/>
    <xf numFmtId="0" fontId="16" fillId="18" borderId="17" xfId="0" applyFont="1" applyFill="1" applyBorder="1"/>
    <xf numFmtId="0" fontId="16" fillId="18" borderId="18" xfId="0" applyFont="1" applyFill="1" applyBorder="1"/>
    <xf numFmtId="0" fontId="21" fillId="18" borderId="0" xfId="28" applyFont="1" applyFill="1" applyBorder="1" applyAlignment="1">
      <alignment horizontal="left"/>
    </xf>
    <xf numFmtId="0" fontId="22" fillId="18" borderId="0" xfId="28" applyFont="1" applyFill="1" applyBorder="1"/>
    <xf numFmtId="0" fontId="17" fillId="19" borderId="19" xfId="29" applyFont="1" applyFill="1" applyBorder="1" applyAlignment="1">
      <alignment horizontal="center" vertical="center"/>
    </xf>
    <xf numFmtId="0" fontId="17" fillId="19" borderId="20" xfId="29" applyFont="1" applyFill="1" applyBorder="1" applyAlignment="1">
      <alignment horizontal="center" vertical="center" wrapText="1"/>
    </xf>
    <xf numFmtId="0" fontId="17" fillId="19" borderId="21" xfId="29" applyFont="1" applyFill="1" applyBorder="1" applyAlignment="1">
      <alignment horizontal="center" vertical="center" wrapText="1"/>
    </xf>
    <xf numFmtId="49" fontId="24" fillId="18" borderId="17" xfId="28" applyNumberFormat="1" applyFont="1" applyFill="1" applyBorder="1" applyAlignment="1">
      <alignment horizontal="center"/>
    </xf>
    <xf numFmtId="3" fontId="24" fillId="18" borderId="22" xfId="28" applyNumberFormat="1" applyFont="1" applyFill="1" applyBorder="1" applyAlignment="1">
      <alignment horizontal="right"/>
    </xf>
    <xf numFmtId="3" fontId="25" fillId="18" borderId="22" xfId="29" applyNumberFormat="1" applyFont="1" applyFill="1" applyBorder="1" applyAlignment="1">
      <alignment horizontal="right"/>
    </xf>
    <xf numFmtId="165" fontId="24" fillId="18" borderId="22" xfId="29" applyNumberFormat="1" applyFont="1" applyFill="1" applyBorder="1" applyAlignment="1">
      <alignment horizontal="right"/>
    </xf>
    <xf numFmtId="4" fontId="17" fillId="18" borderId="23" xfId="29" applyNumberFormat="1" applyFont="1" applyFill="1" applyBorder="1" applyAlignment="1">
      <alignment horizontal="right"/>
    </xf>
    <xf numFmtId="49" fontId="24" fillId="18" borderId="24" xfId="28" applyNumberFormat="1" applyFont="1" applyFill="1" applyBorder="1" applyAlignment="1">
      <alignment horizontal="center"/>
    </xf>
    <xf numFmtId="49" fontId="17" fillId="18" borderId="19" xfId="28" applyNumberFormat="1" applyFont="1" applyFill="1" applyBorder="1" applyAlignment="1">
      <alignment horizontal="center" wrapText="1"/>
    </xf>
    <xf numFmtId="3" fontId="18" fillId="18" borderId="21" xfId="0" applyNumberFormat="1" applyFont="1" applyFill="1" applyBorder="1"/>
    <xf numFmtId="49" fontId="17" fillId="18" borderId="25" xfId="28" applyNumberFormat="1" applyFont="1" applyFill="1" applyBorder="1" applyAlignment="1">
      <alignment horizontal="center" wrapText="1"/>
    </xf>
    <xf numFmtId="3" fontId="18" fillId="18" borderId="26" xfId="0" applyNumberFormat="1" applyFont="1" applyFill="1" applyBorder="1"/>
    <xf numFmtId="3" fontId="18" fillId="18" borderId="27" xfId="0" applyNumberFormat="1" applyFont="1" applyFill="1" applyBorder="1"/>
    <xf numFmtId="0" fontId="17" fillId="19" borderId="28" xfId="29" applyFont="1" applyFill="1" applyBorder="1" applyAlignment="1">
      <alignment horizontal="center" vertical="center" wrapText="1"/>
    </xf>
    <xf numFmtId="0" fontId="19" fillId="19" borderId="29" xfId="0" applyFont="1" applyFill="1" applyBorder="1" applyAlignment="1">
      <alignment horizontal="center"/>
    </xf>
    <xf numFmtId="165" fontId="17" fillId="19" borderId="29" xfId="29" applyNumberFormat="1" applyFont="1" applyFill="1" applyBorder="1" applyAlignment="1">
      <alignment horizontal="center"/>
    </xf>
    <xf numFmtId="3" fontId="17" fillId="19" borderId="29" xfId="28" applyNumberFormat="1" applyFont="1" applyFill="1" applyBorder="1" applyAlignment="1">
      <alignment horizontal="center"/>
    </xf>
    <xf numFmtId="3" fontId="17" fillId="19" borderId="29" xfId="29" applyNumberFormat="1" applyFont="1" applyFill="1" applyBorder="1" applyAlignment="1">
      <alignment horizontal="center"/>
    </xf>
    <xf numFmtId="0" fontId="16" fillId="18" borderId="27" xfId="0" applyFont="1" applyFill="1" applyBorder="1"/>
    <xf numFmtId="3" fontId="30" fillId="0" borderId="0" xfId="0" applyNumberFormat="1" applyFont="1"/>
    <xf numFmtId="4" fontId="27" fillId="0" borderId="0" xfId="0" applyNumberFormat="1" applyFont="1"/>
    <xf numFmtId="49" fontId="17" fillId="18" borderId="22" xfId="28" applyNumberFormat="1" applyFont="1" applyFill="1" applyBorder="1" applyAlignment="1">
      <alignment horizontal="center" wrapText="1"/>
    </xf>
    <xf numFmtId="166" fontId="27" fillId="0" borderId="0" xfId="0" applyNumberFormat="1" applyFont="1"/>
    <xf numFmtId="0" fontId="16" fillId="0" borderId="0" xfId="0" applyFont="1"/>
    <xf numFmtId="4" fontId="31" fillId="0" borderId="0" xfId="0" applyNumberFormat="1" applyFont="1"/>
    <xf numFmtId="0" fontId="17" fillId="18" borderId="32" xfId="29" applyFont="1" applyFill="1" applyBorder="1" applyAlignment="1">
      <alignment horizontal="center" vertical="center" wrapText="1"/>
    </xf>
    <xf numFmtId="4" fontId="28" fillId="18" borderId="33" xfId="0" applyNumberFormat="1" applyFont="1" applyFill="1" applyBorder="1"/>
    <xf numFmtId="0" fontId="16" fillId="18" borderId="34" xfId="0" applyFont="1" applyFill="1" applyBorder="1"/>
    <xf numFmtId="0" fontId="16" fillId="18" borderId="35" xfId="0" applyFont="1" applyFill="1" applyBorder="1" applyAlignment="1">
      <alignment vertical="center"/>
    </xf>
    <xf numFmtId="3" fontId="31" fillId="18" borderId="34" xfId="0" applyNumberFormat="1" applyFont="1" applyFill="1" applyBorder="1" applyAlignment="1">
      <alignment horizontal="center"/>
    </xf>
    <xf numFmtId="3" fontId="27" fillId="0" borderId="0" xfId="0" applyNumberFormat="1" applyFont="1"/>
    <xf numFmtId="165" fontId="27" fillId="0" borderId="0" xfId="0" applyNumberFormat="1" applyFont="1"/>
    <xf numFmtId="3" fontId="16" fillId="0" borderId="0" xfId="0" applyNumberFormat="1" applyFont="1"/>
    <xf numFmtId="4" fontId="16" fillId="0" borderId="0" xfId="0" applyNumberFormat="1" applyFont="1"/>
    <xf numFmtId="10" fontId="16" fillId="0" borderId="0" xfId="0" applyNumberFormat="1" applyFont="1"/>
    <xf numFmtId="4" fontId="28" fillId="18" borderId="31" xfId="0" applyNumberFormat="1" applyFont="1" applyFill="1" applyBorder="1"/>
    <xf numFmtId="17" fontId="27" fillId="18" borderId="12" xfId="0" applyNumberFormat="1" applyFont="1" applyFill="1" applyBorder="1"/>
    <xf numFmtId="49" fontId="29" fillId="18" borderId="36" xfId="28" applyNumberFormat="1" applyFont="1" applyFill="1" applyBorder="1" applyAlignment="1">
      <alignment horizontal="center" wrapText="1"/>
    </xf>
    <xf numFmtId="0" fontId="27" fillId="0" borderId="22" xfId="0" applyFont="1" applyBorder="1"/>
    <xf numFmtId="0" fontId="27" fillId="0" borderId="10" xfId="0" applyFont="1" applyBorder="1"/>
    <xf numFmtId="0" fontId="27" fillId="0" borderId="11" xfId="0" applyFont="1" applyBorder="1"/>
    <xf numFmtId="0" fontId="16" fillId="0" borderId="0" xfId="0" applyFont="1" applyBorder="1"/>
    <xf numFmtId="0" fontId="27" fillId="0" borderId="0" xfId="0" applyFont="1" applyBorder="1"/>
    <xf numFmtId="0" fontId="27" fillId="0" borderId="13" xfId="0" applyFont="1" applyBorder="1"/>
    <xf numFmtId="0" fontId="27" fillId="0" borderId="12" xfId="0" applyFont="1" applyBorder="1"/>
    <xf numFmtId="1" fontId="33" fillId="0" borderId="13" xfId="0" applyNumberFormat="1" applyFont="1" applyBorder="1"/>
    <xf numFmtId="0" fontId="33" fillId="0" borderId="13" xfId="0" applyFont="1" applyBorder="1"/>
    <xf numFmtId="0" fontId="27" fillId="0" borderId="39" xfId="0" applyFont="1" applyBorder="1"/>
    <xf numFmtId="0" fontId="27" fillId="0" borderId="30" xfId="0" applyFont="1" applyBorder="1"/>
    <xf numFmtId="3" fontId="27" fillId="0" borderId="30" xfId="0" applyNumberFormat="1" applyFont="1" applyBorder="1"/>
    <xf numFmtId="4" fontId="27" fillId="0" borderId="30" xfId="0" applyNumberFormat="1" applyFont="1" applyBorder="1"/>
    <xf numFmtId="0" fontId="27" fillId="0" borderId="40" xfId="0" applyFont="1" applyBorder="1"/>
    <xf numFmtId="0" fontId="33" fillId="0" borderId="10" xfId="0" applyFont="1" applyBorder="1"/>
    <xf numFmtId="4" fontId="27" fillId="0" borderId="12" xfId="0" applyNumberFormat="1" applyFont="1" applyBorder="1"/>
    <xf numFmtId="1" fontId="27" fillId="0" borderId="13" xfId="0" applyNumberFormat="1" applyFont="1" applyBorder="1"/>
    <xf numFmtId="4" fontId="27" fillId="0" borderId="39" xfId="0" applyNumberFormat="1" applyFont="1" applyBorder="1"/>
    <xf numFmtId="0" fontId="33" fillId="0" borderId="33" xfId="0" applyFont="1" applyBorder="1"/>
    <xf numFmtId="3" fontId="27" fillId="0" borderId="41" xfId="0" applyNumberFormat="1" applyFont="1" applyBorder="1"/>
    <xf numFmtId="3" fontId="27" fillId="0" borderId="42" xfId="0" applyNumberFormat="1" applyFont="1" applyBorder="1"/>
    <xf numFmtId="4" fontId="27" fillId="0" borderId="41" xfId="0" applyNumberFormat="1" applyFont="1" applyBorder="1"/>
    <xf numFmtId="4" fontId="27" fillId="0" borderId="42" xfId="0" applyNumberFormat="1" applyFont="1" applyBorder="1"/>
    <xf numFmtId="0" fontId="33" fillId="0" borderId="33" xfId="0" applyFont="1" applyBorder="1" applyAlignment="1">
      <alignment horizontal="center"/>
    </xf>
    <xf numFmtId="9" fontId="27" fillId="0" borderId="41" xfId="33" applyFont="1" applyBorder="1"/>
    <xf numFmtId="9" fontId="27" fillId="0" borderId="42" xfId="33" applyFont="1" applyBorder="1"/>
    <xf numFmtId="0" fontId="16" fillId="0" borderId="13" xfId="0" applyFont="1" applyBorder="1"/>
    <xf numFmtId="0" fontId="16" fillId="0" borderId="30" xfId="0" applyFont="1" applyBorder="1"/>
    <xf numFmtId="0" fontId="33" fillId="24" borderId="0" xfId="0" applyFont="1" applyFill="1" applyBorder="1"/>
    <xf numFmtId="0" fontId="33" fillId="24" borderId="13" xfId="0" applyFont="1" applyFill="1" applyBorder="1" applyAlignment="1">
      <alignment horizontal="right"/>
    </xf>
    <xf numFmtId="4" fontId="33" fillId="24" borderId="41" xfId="0" applyNumberFormat="1" applyFont="1" applyFill="1" applyBorder="1"/>
    <xf numFmtId="3" fontId="33" fillId="24" borderId="41" xfId="0" applyNumberFormat="1" applyFont="1" applyFill="1" applyBorder="1"/>
    <xf numFmtId="4" fontId="33" fillId="24" borderId="12" xfId="0" applyNumberFormat="1" applyFont="1" applyFill="1" applyBorder="1"/>
    <xf numFmtId="1" fontId="33" fillId="24" borderId="13" xfId="0" applyNumberFormat="1" applyFont="1" applyFill="1" applyBorder="1"/>
    <xf numFmtId="9" fontId="33" fillId="24" borderId="41" xfId="33" applyFont="1" applyFill="1" applyBorder="1"/>
    <xf numFmtId="3" fontId="18" fillId="24" borderId="21" xfId="0" applyNumberFormat="1" applyFont="1" applyFill="1" applyBorder="1"/>
    <xf numFmtId="0" fontId="17" fillId="20" borderId="43" xfId="29" applyFont="1" applyFill="1" applyBorder="1" applyAlignment="1">
      <alignment horizontal="center" vertical="center" wrapText="1"/>
    </xf>
    <xf numFmtId="0" fontId="17" fillId="21" borderId="43" xfId="29" applyFont="1" applyFill="1" applyBorder="1" applyAlignment="1">
      <alignment horizontal="center" vertical="center" wrapText="1"/>
    </xf>
    <xf numFmtId="3" fontId="16" fillId="22" borderId="22" xfId="0" applyNumberFormat="1" applyFont="1" applyFill="1" applyBorder="1" applyAlignment="1">
      <alignment horizontal="center"/>
    </xf>
    <xf numFmtId="3" fontId="30" fillId="0" borderId="22" xfId="0" applyNumberFormat="1" applyFont="1" applyBorder="1"/>
    <xf numFmtId="3" fontId="16" fillId="0" borderId="22" xfId="0" applyNumberFormat="1" applyFont="1" applyFill="1" applyBorder="1" applyAlignment="1">
      <alignment horizontal="center"/>
    </xf>
    <xf numFmtId="3" fontId="30" fillId="0" borderId="22" xfId="0" applyNumberFormat="1" applyFont="1" applyFill="1" applyBorder="1"/>
    <xf numFmtId="168" fontId="33" fillId="0" borderId="22" xfId="33" applyNumberFormat="1" applyFont="1" applyBorder="1"/>
    <xf numFmtId="166" fontId="33" fillId="0" borderId="0" xfId="0" applyNumberFormat="1" applyFont="1"/>
    <xf numFmtId="167" fontId="30" fillId="0" borderId="0" xfId="33" applyNumberFormat="1" applyFont="1"/>
    <xf numFmtId="164" fontId="0" fillId="0" borderId="0" xfId="34" applyFont="1"/>
    <xf numFmtId="0" fontId="0" fillId="0" borderId="22" xfId="0" applyBorder="1"/>
    <xf numFmtId="169" fontId="0" fillId="0" borderId="22" xfId="34" applyNumberFormat="1" applyFont="1" applyBorder="1"/>
    <xf numFmtId="169" fontId="0" fillId="0" borderId="28" xfId="34" applyNumberFormat="1" applyFont="1" applyBorder="1"/>
    <xf numFmtId="0" fontId="34" fillId="0" borderId="0" xfId="0" applyFont="1"/>
    <xf numFmtId="3" fontId="0" fillId="0" borderId="22" xfId="0" applyNumberFormat="1" applyBorder="1"/>
    <xf numFmtId="169" fontId="0" fillId="0" borderId="22" xfId="0" applyNumberFormat="1" applyBorder="1"/>
    <xf numFmtId="49" fontId="17" fillId="24" borderId="22" xfId="28" applyNumberFormat="1" applyFont="1" applyFill="1" applyBorder="1" applyAlignment="1">
      <alignment horizontal="center" wrapText="1"/>
    </xf>
    <xf numFmtId="3" fontId="35" fillId="24" borderId="22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 vertical="center" wrapText="1"/>
    </xf>
    <xf numFmtId="3" fontId="33" fillId="0" borderId="44" xfId="0" applyNumberFormat="1" applyFont="1" applyBorder="1" applyAlignment="1">
      <alignment horizontal="center" vertical="center"/>
    </xf>
    <xf numFmtId="3" fontId="33" fillId="0" borderId="45" xfId="0" applyNumberFormat="1" applyFont="1" applyBorder="1" applyAlignment="1">
      <alignment horizontal="center" vertical="center"/>
    </xf>
    <xf numFmtId="3" fontId="31" fillId="0" borderId="45" xfId="0" applyNumberFormat="1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168" fontId="33" fillId="0" borderId="46" xfId="33" applyNumberFormat="1" applyFont="1" applyBorder="1" applyAlignment="1">
      <alignment horizontal="center" vertical="center"/>
    </xf>
    <xf numFmtId="3" fontId="17" fillId="18" borderId="23" xfId="29" applyNumberFormat="1" applyFont="1" applyFill="1" applyBorder="1" applyAlignment="1">
      <alignment horizontal="right"/>
    </xf>
    <xf numFmtId="0" fontId="16" fillId="0" borderId="28" xfId="0" applyFont="1" applyBorder="1" applyAlignment="1">
      <alignment horizontal="center"/>
    </xf>
    <xf numFmtId="0" fontId="33" fillId="24" borderId="39" xfId="0" applyFont="1" applyFill="1" applyBorder="1"/>
    <xf numFmtId="0" fontId="33" fillId="24" borderId="30" xfId="0" applyFont="1" applyFill="1" applyBorder="1"/>
    <xf numFmtId="0" fontId="33" fillId="24" borderId="40" xfId="0" applyFont="1" applyFill="1" applyBorder="1" applyAlignment="1">
      <alignment horizontal="right"/>
    </xf>
    <xf numFmtId="3" fontId="33" fillId="24" borderId="42" xfId="0" applyNumberFormat="1" applyFont="1" applyFill="1" applyBorder="1"/>
    <xf numFmtId="9" fontId="33" fillId="24" borderId="42" xfId="33" applyFont="1" applyFill="1" applyBorder="1"/>
    <xf numFmtId="169" fontId="32" fillId="0" borderId="22" xfId="34" applyNumberFormat="1" applyFont="1" applyBorder="1" applyAlignment="1">
      <alignment horizontal="center"/>
    </xf>
    <xf numFmtId="169" fontId="32" fillId="0" borderId="22" xfId="0" applyNumberFormat="1" applyFont="1" applyBorder="1"/>
    <xf numFmtId="0" fontId="32" fillId="0" borderId="22" xfId="0" applyFont="1" applyBorder="1"/>
    <xf numFmtId="169" fontId="32" fillId="25" borderId="22" xfId="0" applyNumberFormat="1" applyFont="1" applyFill="1" applyBorder="1"/>
    <xf numFmtId="49" fontId="38" fillId="18" borderId="22" xfId="28" applyNumberFormat="1" applyFont="1" applyFill="1" applyBorder="1" applyAlignment="1">
      <alignment horizontal="center"/>
    </xf>
    <xf numFmtId="49" fontId="38" fillId="25" borderId="22" xfId="28" applyNumberFormat="1" applyFont="1" applyFill="1" applyBorder="1" applyAlignment="1">
      <alignment horizontal="center"/>
    </xf>
    <xf numFmtId="0" fontId="39" fillId="25" borderId="19" xfId="29" applyFont="1" applyFill="1" applyBorder="1" applyAlignment="1">
      <alignment horizontal="center" vertical="center"/>
    </xf>
    <xf numFmtId="0" fontId="39" fillId="25" borderId="20" xfId="29" applyFont="1" applyFill="1" applyBorder="1" applyAlignment="1">
      <alignment horizontal="center" vertical="center" wrapText="1"/>
    </xf>
    <xf numFmtId="0" fontId="39" fillId="25" borderId="21" xfId="29" applyFont="1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/>
    </xf>
    <xf numFmtId="169" fontId="0" fillId="25" borderId="22" xfId="0" applyNumberFormat="1" applyFill="1" applyBorder="1" applyAlignment="1">
      <alignment horizontal="center"/>
    </xf>
    <xf numFmtId="0" fontId="41" fillId="26" borderId="49" xfId="0" applyFont="1" applyFill="1" applyBorder="1" applyAlignment="1">
      <alignment vertical="center" wrapText="1"/>
    </xf>
    <xf numFmtId="0" fontId="41" fillId="26" borderId="50" xfId="0" applyFont="1" applyFill="1" applyBorder="1" applyAlignment="1">
      <alignment vertical="center" wrapText="1"/>
    </xf>
    <xf numFmtId="0" fontId="43" fillId="27" borderId="50" xfId="0" applyFont="1" applyFill="1" applyBorder="1" applyAlignment="1">
      <alignment horizontal="center" vertical="center" wrapText="1"/>
    </xf>
    <xf numFmtId="169" fontId="43" fillId="27" borderId="50" xfId="0" applyNumberFormat="1" applyFont="1" applyFill="1" applyBorder="1" applyAlignment="1">
      <alignment horizontal="center" vertical="center" wrapText="1"/>
    </xf>
    <xf numFmtId="169" fontId="43" fillId="27" borderId="50" xfId="34" applyNumberFormat="1" applyFont="1" applyFill="1" applyBorder="1" applyAlignment="1">
      <alignment horizontal="center" vertical="center" wrapText="1"/>
    </xf>
    <xf numFmtId="0" fontId="43" fillId="27" borderId="48" xfId="0" applyFont="1" applyFill="1" applyBorder="1" applyAlignment="1">
      <alignment horizontal="center" vertical="center" wrapText="1"/>
    </xf>
    <xf numFmtId="49" fontId="39" fillId="18" borderId="22" xfId="28" applyNumberFormat="1" applyFont="1" applyFill="1" applyBorder="1" applyAlignment="1">
      <alignment horizontal="center"/>
    </xf>
    <xf numFmtId="169" fontId="35" fillId="24" borderId="22" xfId="0" applyNumberFormat="1" applyFont="1" applyFill="1" applyBorder="1"/>
    <xf numFmtId="169" fontId="35" fillId="25" borderId="22" xfId="0" applyNumberFormat="1" applyFont="1" applyFill="1" applyBorder="1"/>
    <xf numFmtId="3" fontId="35" fillId="25" borderId="22" xfId="0" applyNumberFormat="1" applyFont="1" applyFill="1" applyBorder="1"/>
    <xf numFmtId="169" fontId="35" fillId="25" borderId="22" xfId="34" applyNumberFormat="1" applyFont="1" applyFill="1" applyBorder="1"/>
    <xf numFmtId="0" fontId="0" fillId="0" borderId="0" xfId="0" applyFont="1"/>
    <xf numFmtId="0" fontId="0" fillId="0" borderId="22" xfId="0" applyFont="1" applyBorder="1"/>
    <xf numFmtId="0" fontId="37" fillId="0" borderId="0" xfId="35" applyFont="1"/>
    <xf numFmtId="0" fontId="35" fillId="0" borderId="22" xfId="0" applyFont="1" applyBorder="1" applyAlignment="1">
      <alignment horizontal="center"/>
    </xf>
    <xf numFmtId="0" fontId="35" fillId="0" borderId="22" xfId="0" applyFont="1" applyBorder="1" applyAlignment="1">
      <alignment horizontal="center" vertical="center"/>
    </xf>
    <xf numFmtId="0" fontId="45" fillId="0" borderId="0" xfId="0" applyFont="1"/>
    <xf numFmtId="0" fontId="39" fillId="25" borderId="37" xfId="29" applyFont="1" applyFill="1" applyBorder="1" applyAlignment="1">
      <alignment horizontal="center" vertical="center" wrapText="1"/>
    </xf>
    <xf numFmtId="49" fontId="38" fillId="18" borderId="24" xfId="28" applyNumberFormat="1" applyFont="1" applyFill="1" applyBorder="1" applyAlignment="1">
      <alignment horizontal="center"/>
    </xf>
    <xf numFmtId="3" fontId="38" fillId="18" borderId="22" xfId="28" applyNumberFormat="1" applyFont="1" applyFill="1" applyBorder="1" applyAlignment="1">
      <alignment horizontal="right"/>
    </xf>
    <xf numFmtId="49" fontId="38" fillId="18" borderId="17" xfId="28" applyNumberFormat="1" applyFont="1" applyFill="1" applyBorder="1" applyAlignment="1">
      <alignment horizontal="center"/>
    </xf>
    <xf numFmtId="49" fontId="39" fillId="25" borderId="17" xfId="28" applyNumberFormat="1" applyFont="1" applyFill="1" applyBorder="1" applyAlignment="1">
      <alignment horizontal="center"/>
    </xf>
    <xf numFmtId="3" fontId="39" fillId="25" borderId="22" xfId="28" applyNumberFormat="1" applyFont="1" applyFill="1" applyBorder="1" applyAlignment="1">
      <alignment horizontal="right"/>
    </xf>
    <xf numFmtId="49" fontId="39" fillId="25" borderId="24" xfId="28" applyNumberFormat="1" applyFont="1" applyFill="1" applyBorder="1" applyAlignment="1">
      <alignment horizontal="center"/>
    </xf>
    <xf numFmtId="0" fontId="35" fillId="25" borderId="22" xfId="0" applyFont="1" applyFill="1" applyBorder="1" applyAlignment="1"/>
    <xf numFmtId="0" fontId="42" fillId="27" borderId="52" xfId="0" applyFont="1" applyFill="1" applyBorder="1" applyAlignment="1">
      <alignment horizontal="center" vertical="center" wrapText="1"/>
    </xf>
    <xf numFmtId="0" fontId="42" fillId="27" borderId="48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33" fillId="0" borderId="22" xfId="0" applyFont="1" applyBorder="1"/>
    <xf numFmtId="0" fontId="33" fillId="0" borderId="22" xfId="0" applyFont="1" applyBorder="1" applyAlignment="1">
      <alignment horizontal="center"/>
    </xf>
    <xf numFmtId="3" fontId="27" fillId="0" borderId="22" xfId="0" applyNumberFormat="1" applyFont="1" applyBorder="1"/>
    <xf numFmtId="9" fontId="27" fillId="0" borderId="22" xfId="33" applyFont="1" applyBorder="1"/>
    <xf numFmtId="0" fontId="42" fillId="27" borderId="51" xfId="0" applyFont="1" applyFill="1" applyBorder="1" applyAlignment="1">
      <alignment horizontal="center" vertical="center" wrapText="1"/>
    </xf>
    <xf numFmtId="3" fontId="0" fillId="0" borderId="0" xfId="0" applyNumberFormat="1" applyFill="1"/>
    <xf numFmtId="10" fontId="31" fillId="0" borderId="36" xfId="0" applyNumberFormat="1" applyFont="1" applyBorder="1" applyAlignment="1">
      <alignment horizontal="center"/>
    </xf>
    <xf numFmtId="10" fontId="31" fillId="0" borderId="27" xfId="0" applyNumberFormat="1" applyFont="1" applyBorder="1" applyAlignment="1">
      <alignment horizontal="center"/>
    </xf>
    <xf numFmtId="10" fontId="31" fillId="0" borderId="38" xfId="0" applyNumberFormat="1" applyFont="1" applyBorder="1" applyAlignment="1">
      <alignment horizontal="center"/>
    </xf>
    <xf numFmtId="0" fontId="18" fillId="0" borderId="3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18" borderId="9" xfId="0" applyFont="1" applyFill="1" applyBorder="1" applyAlignment="1">
      <alignment horizontal="center"/>
    </xf>
    <xf numFmtId="0" fontId="33" fillId="18" borderId="10" xfId="0" applyFont="1" applyFill="1" applyBorder="1" applyAlignment="1">
      <alignment horizontal="center"/>
    </xf>
    <xf numFmtId="0" fontId="33" fillId="18" borderId="11" xfId="0" applyFont="1" applyFill="1" applyBorder="1" applyAlignment="1">
      <alignment horizontal="center"/>
    </xf>
    <xf numFmtId="0" fontId="33" fillId="18" borderId="12" xfId="0" applyFont="1" applyFill="1" applyBorder="1" applyAlignment="1">
      <alignment horizontal="center"/>
    </xf>
    <xf numFmtId="0" fontId="33" fillId="18" borderId="0" xfId="0" applyFont="1" applyFill="1" applyBorder="1" applyAlignment="1">
      <alignment horizontal="center"/>
    </xf>
    <xf numFmtId="0" fontId="33" fillId="18" borderId="13" xfId="0" applyFont="1" applyFill="1" applyBorder="1" applyAlignment="1">
      <alignment horizontal="center"/>
    </xf>
    <xf numFmtId="0" fontId="16" fillId="18" borderId="39" xfId="0" applyFont="1" applyFill="1" applyBorder="1" applyAlignment="1">
      <alignment horizontal="center"/>
    </xf>
    <xf numFmtId="0" fontId="16" fillId="18" borderId="30" xfId="0" applyFont="1" applyFill="1" applyBorder="1" applyAlignment="1">
      <alignment horizontal="center"/>
    </xf>
    <xf numFmtId="0" fontId="16" fillId="18" borderId="40" xfId="0" applyFont="1" applyFill="1" applyBorder="1" applyAlignment="1">
      <alignment horizontal="center"/>
    </xf>
    <xf numFmtId="0" fontId="20" fillId="23" borderId="36" xfId="0" applyFont="1" applyFill="1" applyBorder="1" applyAlignment="1">
      <alignment horizontal="center"/>
    </xf>
    <xf numFmtId="0" fontId="20" fillId="23" borderId="27" xfId="0" applyFont="1" applyFill="1" applyBorder="1" applyAlignment="1">
      <alignment horizontal="center"/>
    </xf>
    <xf numFmtId="0" fontId="20" fillId="23" borderId="38" xfId="0" applyFont="1" applyFill="1" applyBorder="1" applyAlignment="1">
      <alignment horizontal="center"/>
    </xf>
    <xf numFmtId="0" fontId="16" fillId="18" borderId="39" xfId="0" applyFont="1" applyFill="1" applyBorder="1" applyAlignment="1">
      <alignment horizontal="left" wrapText="1"/>
    </xf>
    <xf numFmtId="0" fontId="16" fillId="18" borderId="30" xfId="0" applyFont="1" applyFill="1" applyBorder="1" applyAlignment="1">
      <alignment horizontal="left" wrapText="1"/>
    </xf>
    <xf numFmtId="49" fontId="26" fillId="23" borderId="36" xfId="28" applyNumberFormat="1" applyFont="1" applyFill="1" applyBorder="1" applyAlignment="1">
      <alignment horizontal="center"/>
    </xf>
    <xf numFmtId="49" fontId="26" fillId="23" borderId="27" xfId="28" applyNumberFormat="1" applyFont="1" applyFill="1" applyBorder="1" applyAlignment="1">
      <alignment horizontal="center"/>
    </xf>
    <xf numFmtId="49" fontId="26" fillId="23" borderId="38" xfId="28" applyNumberFormat="1" applyFont="1" applyFill="1" applyBorder="1" applyAlignment="1">
      <alignment horizontal="center"/>
    </xf>
    <xf numFmtId="0" fontId="16" fillId="18" borderId="36" xfId="0" applyFont="1" applyFill="1" applyBorder="1" applyAlignment="1">
      <alignment horizontal="left" wrapText="1"/>
    </xf>
    <xf numFmtId="0" fontId="16" fillId="18" borderId="27" xfId="0" applyFont="1" applyFill="1" applyBorder="1" applyAlignment="1">
      <alignment horizontal="left" wrapText="1"/>
    </xf>
    <xf numFmtId="0" fontId="16" fillId="18" borderId="38" xfId="0" applyFont="1" applyFill="1" applyBorder="1" applyAlignment="1">
      <alignment horizontal="left" wrapText="1"/>
    </xf>
    <xf numFmtId="0" fontId="20" fillId="23" borderId="0" xfId="0" applyFont="1" applyFill="1" applyBorder="1" applyAlignment="1">
      <alignment horizontal="center"/>
    </xf>
    <xf numFmtId="0" fontId="25" fillId="18" borderId="36" xfId="0" applyFont="1" applyFill="1" applyBorder="1" applyAlignment="1">
      <alignment horizontal="left" wrapText="1"/>
    </xf>
    <xf numFmtId="0" fontId="25" fillId="18" borderId="27" xfId="0" applyFont="1" applyFill="1" applyBorder="1" applyAlignment="1">
      <alignment horizontal="left" wrapText="1"/>
    </xf>
    <xf numFmtId="0" fontId="25" fillId="18" borderId="38" xfId="0" applyFont="1" applyFill="1" applyBorder="1" applyAlignment="1">
      <alignment horizontal="left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7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169" fontId="42" fillId="27" borderId="53" xfId="0" applyNumberFormat="1" applyFont="1" applyFill="1" applyBorder="1" applyAlignment="1">
      <alignment horizontal="center" vertical="center" wrapText="1"/>
    </xf>
    <xf numFmtId="0" fontId="42" fillId="27" borderId="52" xfId="0" applyFont="1" applyFill="1" applyBorder="1" applyAlignment="1">
      <alignment horizontal="center" vertical="center" wrapText="1"/>
    </xf>
    <xf numFmtId="169" fontId="42" fillId="27" borderId="53" xfId="34" applyNumberFormat="1" applyFont="1" applyFill="1" applyBorder="1" applyAlignment="1">
      <alignment horizontal="center" vertical="center" wrapText="1"/>
    </xf>
    <xf numFmtId="169" fontId="42" fillId="27" borderId="52" xfId="34" applyNumberFormat="1" applyFont="1" applyFill="1" applyBorder="1" applyAlignment="1">
      <alignment horizontal="center" vertical="center" wrapText="1"/>
    </xf>
    <xf numFmtId="0" fontId="42" fillId="27" borderId="53" xfId="0" applyFont="1" applyFill="1" applyBorder="1" applyAlignment="1">
      <alignment horizontal="center" vertical="center" wrapText="1"/>
    </xf>
    <xf numFmtId="169" fontId="42" fillId="27" borderId="47" xfId="0" applyNumberFormat="1" applyFont="1" applyFill="1" applyBorder="1" applyAlignment="1">
      <alignment horizontal="center" vertical="center" wrapText="1"/>
    </xf>
    <xf numFmtId="0" fontId="42" fillId="27" borderId="48" xfId="0" applyFont="1" applyFill="1" applyBorder="1" applyAlignment="1">
      <alignment horizontal="center" vertical="center" wrapText="1"/>
    </xf>
    <xf numFmtId="0" fontId="41" fillId="26" borderId="47" xfId="0" applyFont="1" applyFill="1" applyBorder="1" applyAlignment="1">
      <alignment horizontal="center" vertical="center" wrapText="1"/>
    </xf>
    <xf numFmtId="0" fontId="41" fillId="26" borderId="48" xfId="0" applyFont="1" applyFill="1" applyBorder="1" applyAlignment="1">
      <alignment horizontal="center" vertical="center" wrapText="1"/>
    </xf>
    <xf numFmtId="0" fontId="41" fillId="26" borderId="47" xfId="0" applyFont="1" applyFill="1" applyBorder="1" applyAlignment="1">
      <alignment vertical="center" wrapText="1"/>
    </xf>
    <xf numFmtId="0" fontId="41" fillId="26" borderId="48" xfId="0" applyFont="1" applyFill="1" applyBorder="1" applyAlignment="1">
      <alignment vertical="center" wrapText="1"/>
    </xf>
    <xf numFmtId="169" fontId="42" fillId="27" borderId="47" xfId="34" applyNumberFormat="1" applyFont="1" applyFill="1" applyBorder="1" applyAlignment="1">
      <alignment horizontal="center" vertical="center" wrapText="1"/>
    </xf>
    <xf numFmtId="169" fontId="42" fillId="27" borderId="48" xfId="34" applyNumberFormat="1" applyFont="1" applyFill="1" applyBorder="1" applyAlignment="1">
      <alignment horizontal="center" vertical="center" wrapText="1"/>
    </xf>
    <xf numFmtId="0" fontId="42" fillId="27" borderId="47" xfId="0" applyFont="1" applyFill="1" applyBorder="1" applyAlignment="1">
      <alignment horizontal="center" vertical="center" wrapText="1"/>
    </xf>
  </cellXfs>
  <cellStyles count="36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Çıkış" xfId="26"/>
    <cellStyle name="Comma" xfId="34" builtinId="3"/>
    <cellStyle name="Giriş" xfId="27"/>
    <cellStyle name="Hyperlink" xfId="35" builtinId="8"/>
    <cellStyle name="Normal" xfId="0" builtinId="0"/>
    <cellStyle name="Normal 2" xfId="28"/>
    <cellStyle name="Normal_Sheet1" xfId="29"/>
    <cellStyle name="Not" xfId="30"/>
    <cellStyle name="Percent" xfId="33" builtinId="5"/>
    <cellStyle name="Toplam" xfId="31"/>
    <cellStyle name="Uyarı Metni" xfId="3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6</xdr:row>
      <xdr:rowOff>9525</xdr:rowOff>
    </xdr:from>
    <xdr:to>
      <xdr:col>10</xdr:col>
      <xdr:colOff>247650</xdr:colOff>
      <xdr:row>26</xdr:row>
      <xdr:rowOff>44450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A7C6DCB1-39EF-42DD-97BE-0F8484E4A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95375"/>
          <a:ext cx="5915025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m.unfccc.int/filestorage/A/0/4/A04BWNRKLUEP6O1QX75YVTH28JDICZ/EB%2075_repan13_ACM0002_ver%2014.0.pdf?t=aE98cjF6bjJxfDDgo_ujn8diq4aW0-8q7ny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0"/>
  <sheetViews>
    <sheetView showGridLines="0" topLeftCell="C84" zoomScale="70" zoomScaleNormal="70" workbookViewId="0">
      <selection activeCell="H108" sqref="H108"/>
    </sheetView>
  </sheetViews>
  <sheetFormatPr defaultColWidth="11.42578125" defaultRowHeight="15"/>
  <cols>
    <col min="1" max="1" width="3.28515625" style="4" customWidth="1"/>
    <col min="2" max="2" width="19" style="4" customWidth="1"/>
    <col min="3" max="3" width="21.7109375" style="4" customWidth="1"/>
    <col min="4" max="4" width="22.28515625" style="4" customWidth="1"/>
    <col min="5" max="5" width="20.42578125" style="4" customWidth="1"/>
    <col min="6" max="6" width="22.42578125" style="4" customWidth="1"/>
    <col min="7" max="7" width="23.7109375" style="4" customWidth="1"/>
    <col min="8" max="8" width="15.28515625" style="4" bestFit="1" customWidth="1"/>
    <col min="9" max="9" width="1.7109375" style="4" customWidth="1"/>
    <col min="10" max="11" width="14.140625" style="4" customWidth="1"/>
    <col min="12" max="12" width="10.85546875" style="4" bestFit="1" customWidth="1"/>
    <col min="13" max="13" width="12.42578125" style="4" bestFit="1" customWidth="1"/>
    <col min="14" max="14" width="11.42578125" style="4"/>
    <col min="15" max="15" width="13.7109375" style="4" customWidth="1"/>
    <col min="16" max="16" width="13.140625" style="4" customWidth="1"/>
    <col min="17" max="21" width="11" style="4" customWidth="1"/>
    <col min="22" max="16384" width="11.42578125" style="4"/>
  </cols>
  <sheetData>
    <row r="1" spans="1:19">
      <c r="A1" s="1"/>
      <c r="B1" s="2"/>
      <c r="C1" s="2"/>
      <c r="D1" s="2"/>
      <c r="E1" s="2"/>
      <c r="F1" s="2"/>
      <c r="G1" s="2"/>
      <c r="H1" s="3"/>
      <c r="I1" s="44" t="s">
        <v>79</v>
      </c>
      <c r="K1" s="51"/>
      <c r="L1" s="44" t="s">
        <v>83</v>
      </c>
    </row>
    <row r="2" spans="1:19" ht="16.5" thickBot="1">
      <c r="A2" s="5"/>
      <c r="B2" s="6"/>
      <c r="C2" s="6"/>
      <c r="D2" s="6"/>
      <c r="E2" s="6"/>
      <c r="F2" s="6"/>
      <c r="G2" s="6"/>
      <c r="H2" s="7"/>
      <c r="I2" s="44" t="s">
        <v>80</v>
      </c>
      <c r="K2" s="52">
        <v>0.51400000000000001</v>
      </c>
      <c r="L2" s="44" t="s">
        <v>82</v>
      </c>
    </row>
    <row r="3" spans="1:19">
      <c r="A3" s="5"/>
      <c r="B3" s="182" t="s">
        <v>103</v>
      </c>
      <c r="C3" s="183"/>
      <c r="D3" s="183"/>
      <c r="E3" s="183"/>
      <c r="F3" s="183"/>
      <c r="G3" s="184"/>
      <c r="H3" s="7"/>
      <c r="I3" s="44" t="s">
        <v>81</v>
      </c>
      <c r="K3" s="51">
        <v>580882</v>
      </c>
      <c r="L3" s="44" t="s">
        <v>78</v>
      </c>
      <c r="M3" s="44" t="s">
        <v>104</v>
      </c>
      <c r="O3" s="44" t="s">
        <v>105</v>
      </c>
      <c r="Q3" s="44" t="s">
        <v>106</v>
      </c>
    </row>
    <row r="4" spans="1:19">
      <c r="A4" s="5"/>
      <c r="B4" s="185" t="s">
        <v>47</v>
      </c>
      <c r="C4" s="186"/>
      <c r="D4" s="186"/>
      <c r="E4" s="186"/>
      <c r="F4" s="186"/>
      <c r="G4" s="187"/>
      <c r="H4" s="7"/>
    </row>
    <row r="5" spans="1:19" ht="15.75" thickBot="1">
      <c r="A5" s="5"/>
      <c r="B5" s="188" t="s">
        <v>156</v>
      </c>
      <c r="C5" s="189"/>
      <c r="D5" s="189"/>
      <c r="E5" s="189"/>
      <c r="F5" s="189"/>
      <c r="G5" s="190"/>
      <c r="H5" s="7"/>
      <c r="N5" s="44" t="s">
        <v>112</v>
      </c>
    </row>
    <row r="6" spans="1:19" ht="15" customHeight="1" thickBot="1">
      <c r="A6" s="5"/>
      <c r="B6" s="8"/>
      <c r="C6" s="8"/>
      <c r="D6" s="39"/>
      <c r="E6" s="8"/>
      <c r="F6" s="8"/>
      <c r="G6" s="8"/>
      <c r="H6" s="7"/>
      <c r="I6" s="60"/>
      <c r="J6" s="73" t="s">
        <v>84</v>
      </c>
      <c r="K6" s="60"/>
      <c r="L6" s="61"/>
      <c r="M6" s="77" t="s">
        <v>78</v>
      </c>
      <c r="N6" s="77" t="s">
        <v>78</v>
      </c>
      <c r="O6" s="180" t="s">
        <v>109</v>
      </c>
      <c r="P6" s="181"/>
      <c r="Q6" s="82" t="s">
        <v>113</v>
      </c>
      <c r="R6" s="60"/>
      <c r="S6" s="61"/>
    </row>
    <row r="7" spans="1:19">
      <c r="A7" s="5"/>
      <c r="B7" s="9" t="s">
        <v>4</v>
      </c>
      <c r="C7" s="10"/>
      <c r="D7" s="8" t="s">
        <v>86</v>
      </c>
      <c r="E7" s="10"/>
      <c r="F7" s="8"/>
      <c r="G7" s="8"/>
      <c r="H7" s="7"/>
      <c r="I7" s="87" t="s">
        <v>77</v>
      </c>
      <c r="J7" s="87" t="s">
        <v>107</v>
      </c>
      <c r="K7" s="87"/>
      <c r="L7" s="88"/>
      <c r="M7" s="89">
        <f>(K3/365)*2100</f>
        <v>3342060.8219178081</v>
      </c>
      <c r="N7" s="90">
        <f>ER!F14</f>
        <v>1681349</v>
      </c>
      <c r="O7" s="91">
        <f>M7/K2</f>
        <v>6502063.855871222</v>
      </c>
      <c r="P7" s="92"/>
      <c r="Q7" s="93">
        <f>(M7-N7)/M7</f>
        <v>0.49691250710536899</v>
      </c>
      <c r="R7" s="63"/>
      <c r="S7" s="64"/>
    </row>
    <row r="8" spans="1:19" ht="15.75" thickBot="1">
      <c r="A8" s="5"/>
      <c r="B8" s="11" t="s">
        <v>85</v>
      </c>
      <c r="C8" s="12"/>
      <c r="D8" s="13">
        <v>1345</v>
      </c>
      <c r="E8" s="12"/>
      <c r="F8" s="8"/>
      <c r="G8" s="8"/>
      <c r="H8" s="7"/>
      <c r="I8" s="63"/>
      <c r="J8" s="62" t="s">
        <v>114</v>
      </c>
      <c r="K8" s="63"/>
      <c r="L8" s="64"/>
      <c r="M8" s="80">
        <f>K3/365*153</f>
        <v>243493.00273972601</v>
      </c>
      <c r="N8" s="78">
        <f>ER!F6</f>
        <v>216089</v>
      </c>
      <c r="O8" s="74">
        <f>M8/0.514</f>
        <v>473721.79521347472</v>
      </c>
      <c r="P8" s="75"/>
      <c r="Q8" s="83">
        <f t="shared" ref="Q8:Q13" si="0">(M8-N8)/M8</f>
        <v>0.11254533983064244</v>
      </c>
      <c r="R8" s="63"/>
      <c r="S8" s="66" t="s">
        <v>110</v>
      </c>
    </row>
    <row r="9" spans="1:19" ht="16.5" thickBot="1">
      <c r="A9" s="5"/>
      <c r="B9" s="14" t="s">
        <v>5</v>
      </c>
      <c r="C9" s="15"/>
      <c r="D9" s="8" t="s">
        <v>147</v>
      </c>
      <c r="E9" s="15"/>
      <c r="F9" s="46" t="s">
        <v>13</v>
      </c>
      <c r="G9" s="8"/>
      <c r="H9" s="7"/>
      <c r="I9" s="63"/>
      <c r="J9" s="63">
        <v>2015</v>
      </c>
      <c r="K9" s="63"/>
      <c r="L9" s="64"/>
      <c r="M9" s="80">
        <f>K3</f>
        <v>580882</v>
      </c>
      <c r="N9" s="78">
        <f>ER!F7</f>
        <v>389352</v>
      </c>
      <c r="O9" s="74">
        <f t="shared" ref="O9:O13" si="1">M9/0.514</f>
        <v>1130120.6225680935</v>
      </c>
      <c r="P9" s="64"/>
      <c r="Q9" s="83">
        <f t="shared" si="0"/>
        <v>0.3297227319834321</v>
      </c>
      <c r="R9" s="63"/>
      <c r="S9" s="64"/>
    </row>
    <row r="10" spans="1:19" ht="15.75" thickBot="1">
      <c r="A10" s="5"/>
      <c r="B10" s="16" t="s">
        <v>149</v>
      </c>
      <c r="C10" s="17"/>
      <c r="D10" s="47">
        <f>G100</f>
        <v>262170.01760000002</v>
      </c>
      <c r="E10" s="48" t="s">
        <v>12</v>
      </c>
      <c r="F10" s="50">
        <f>H100</f>
        <v>262170</v>
      </c>
      <c r="G10" s="8"/>
      <c r="H10" s="7"/>
      <c r="I10" s="63"/>
      <c r="J10" s="63">
        <v>2016</v>
      </c>
      <c r="K10" s="63"/>
      <c r="L10" s="64"/>
      <c r="M10" s="80">
        <f>K3</f>
        <v>580882</v>
      </c>
      <c r="N10" s="78">
        <f>ER!F8</f>
        <v>347851</v>
      </c>
      <c r="O10" s="74">
        <f t="shared" si="1"/>
        <v>1130120.6225680935</v>
      </c>
      <c r="P10" s="64"/>
      <c r="Q10" s="83">
        <f t="shared" si="0"/>
        <v>0.40116753488660345</v>
      </c>
      <c r="R10" s="63"/>
      <c r="S10" s="64"/>
    </row>
    <row r="11" spans="1:19" ht="15.75" thickBot="1">
      <c r="A11" s="5"/>
      <c r="B11" s="16" t="s">
        <v>150</v>
      </c>
      <c r="C11" s="17"/>
      <c r="D11" s="47">
        <f t="shared" ref="D11:D16" si="2">G101</f>
        <v>472909.87368000002</v>
      </c>
      <c r="E11" s="48" t="s">
        <v>12</v>
      </c>
      <c r="F11" s="50">
        <f t="shared" ref="F11:F16" si="3">H101</f>
        <v>472909</v>
      </c>
      <c r="G11" s="8"/>
      <c r="H11" s="7"/>
      <c r="I11" s="63"/>
      <c r="J11" s="63">
        <v>2018</v>
      </c>
      <c r="K11" s="62"/>
      <c r="L11" s="64"/>
      <c r="M11" s="80">
        <f>K3</f>
        <v>580882</v>
      </c>
      <c r="N11" s="78">
        <f>ER!F9</f>
        <v>245899</v>
      </c>
      <c r="O11" s="74">
        <f t="shared" si="1"/>
        <v>1130120.6225680935</v>
      </c>
      <c r="P11" s="64"/>
      <c r="Q11" s="83">
        <f t="shared" si="0"/>
        <v>0.57667994532452371</v>
      </c>
      <c r="R11" s="63"/>
      <c r="S11" s="64"/>
    </row>
    <row r="12" spans="1:19" ht="15.75" thickBot="1">
      <c r="A12" s="65"/>
      <c r="B12" s="16" t="s">
        <v>151</v>
      </c>
      <c r="C12" s="17"/>
      <c r="D12" s="47">
        <f t="shared" si="2"/>
        <v>422319.67554000003</v>
      </c>
      <c r="E12" s="48" t="s">
        <v>12</v>
      </c>
      <c r="F12" s="50">
        <f t="shared" si="3"/>
        <v>422319</v>
      </c>
      <c r="G12" s="63"/>
      <c r="H12" s="64"/>
      <c r="I12" s="63"/>
      <c r="J12" s="62">
        <v>2018</v>
      </c>
      <c r="K12" s="63"/>
      <c r="L12" s="85"/>
      <c r="M12" s="80">
        <f>K3</f>
        <v>580882</v>
      </c>
      <c r="N12" s="78">
        <f>ER!F10</f>
        <v>196537</v>
      </c>
      <c r="O12" s="74">
        <f t="shared" si="1"/>
        <v>1130120.6225680935</v>
      </c>
      <c r="P12" s="64"/>
      <c r="Q12" s="83">
        <f t="shared" si="0"/>
        <v>0.66165761720969152</v>
      </c>
      <c r="R12" s="63"/>
      <c r="S12" s="64"/>
    </row>
    <row r="13" spans="1:19" ht="15.75" thickBot="1">
      <c r="A13" s="5"/>
      <c r="B13" s="16" t="s">
        <v>152</v>
      </c>
      <c r="C13" s="17"/>
      <c r="D13" s="47">
        <f t="shared" si="2"/>
        <v>298727.48118</v>
      </c>
      <c r="E13" s="48" t="s">
        <v>12</v>
      </c>
      <c r="F13" s="50">
        <f t="shared" si="3"/>
        <v>298727</v>
      </c>
      <c r="G13" s="8"/>
      <c r="H13" s="7"/>
      <c r="I13" s="63"/>
      <c r="J13" s="63">
        <v>2019</v>
      </c>
      <c r="K13" s="63"/>
      <c r="L13" s="64"/>
      <c r="M13" s="80">
        <v>580882</v>
      </c>
      <c r="N13" s="78">
        <f>ER!F11</f>
        <v>273972</v>
      </c>
      <c r="O13" s="74">
        <f t="shared" si="1"/>
        <v>1130120.6225680935</v>
      </c>
      <c r="P13" s="64"/>
      <c r="Q13" s="83">
        <f t="shared" si="0"/>
        <v>0.5283517134288892</v>
      </c>
      <c r="R13" s="63"/>
      <c r="S13" s="64"/>
    </row>
    <row r="14" spans="1:19" ht="15.75" thickBot="1">
      <c r="A14" s="5"/>
      <c r="B14" s="16" t="s">
        <v>153</v>
      </c>
      <c r="C14" s="17"/>
      <c r="D14" s="47">
        <f t="shared" si="2"/>
        <v>238853.46130000002</v>
      </c>
      <c r="E14" s="48" t="s">
        <v>12</v>
      </c>
      <c r="F14" s="50">
        <f t="shared" si="3"/>
        <v>238853</v>
      </c>
      <c r="G14" s="8"/>
      <c r="H14" s="7"/>
      <c r="I14" s="69"/>
      <c r="J14" s="86" t="s">
        <v>108</v>
      </c>
      <c r="K14" s="86"/>
      <c r="L14" s="72"/>
      <c r="M14" s="81">
        <f>K3/365*121</f>
        <v>192566.36164383561</v>
      </c>
      <c r="N14" s="79">
        <f>ER!F12</f>
        <v>11649</v>
      </c>
      <c r="O14" s="76">
        <f>M14/0.514</f>
        <v>374642.72693353234</v>
      </c>
      <c r="P14" s="72"/>
      <c r="Q14" s="84">
        <f>(M14-N14)/M14</f>
        <v>0.93950656853793812</v>
      </c>
      <c r="R14" s="63"/>
      <c r="S14" s="67" t="s">
        <v>111</v>
      </c>
    </row>
    <row r="15" spans="1:19" ht="15.75" thickBot="1">
      <c r="A15" s="5"/>
      <c r="B15" s="16" t="s">
        <v>154</v>
      </c>
      <c r="C15" s="17"/>
      <c r="D15" s="47">
        <f t="shared" si="2"/>
        <v>332597.48547999997</v>
      </c>
      <c r="E15" s="48" t="s">
        <v>12</v>
      </c>
      <c r="F15" s="50">
        <f t="shared" si="3"/>
        <v>332597</v>
      </c>
      <c r="G15" s="8"/>
      <c r="H15" s="7"/>
      <c r="I15" s="69"/>
      <c r="J15" s="69"/>
      <c r="K15" s="69"/>
      <c r="L15" s="69"/>
      <c r="M15" s="69"/>
      <c r="N15" s="70"/>
      <c r="O15" s="71"/>
      <c r="P15" s="69"/>
      <c r="Q15" s="69"/>
      <c r="R15" s="69"/>
      <c r="S15" s="72"/>
    </row>
    <row r="16" spans="1:19" ht="15.75" thickBot="1">
      <c r="A16" s="65"/>
      <c r="B16" s="16" t="s">
        <v>155</v>
      </c>
      <c r="C16" s="17"/>
      <c r="D16" s="47">
        <f t="shared" si="2"/>
        <v>14294.468500000001</v>
      </c>
      <c r="E16" s="48" t="s">
        <v>12</v>
      </c>
      <c r="F16" s="50">
        <f t="shared" si="3"/>
        <v>14294</v>
      </c>
      <c r="G16" s="63"/>
      <c r="H16" s="64"/>
      <c r="J16" s="41"/>
      <c r="K16" s="44"/>
    </row>
    <row r="17" spans="1:21" ht="24" customHeight="1" thickBot="1">
      <c r="A17" s="5"/>
      <c r="B17" s="194" t="s">
        <v>148</v>
      </c>
      <c r="C17" s="195"/>
      <c r="D17" s="56">
        <f>G108</f>
        <v>2041872.46328</v>
      </c>
      <c r="E17" s="49" t="s">
        <v>12</v>
      </c>
      <c r="F17" s="50">
        <f>H108</f>
        <v>2041869</v>
      </c>
      <c r="G17" s="8"/>
      <c r="H17" s="7"/>
      <c r="J17" s="54"/>
      <c r="K17" s="53"/>
      <c r="L17" s="51"/>
      <c r="M17" s="43"/>
      <c r="N17" s="55"/>
      <c r="O17" s="44"/>
    </row>
    <row r="18" spans="1:21" ht="15.75" thickBot="1">
      <c r="A18" s="5"/>
      <c r="B18" s="8"/>
      <c r="C18" s="8"/>
      <c r="D18" s="8"/>
      <c r="E18" s="8"/>
      <c r="F18" s="63"/>
      <c r="G18" s="8"/>
      <c r="H18" s="7"/>
    </row>
    <row r="19" spans="1:21" ht="15.75" thickBot="1">
      <c r="A19" s="5"/>
      <c r="B19" s="191" t="s">
        <v>7</v>
      </c>
      <c r="C19" s="192"/>
      <c r="D19" s="192"/>
      <c r="E19" s="192"/>
      <c r="F19" s="192"/>
      <c r="G19" s="193"/>
      <c r="H19" s="7"/>
      <c r="J19" s="45"/>
      <c r="K19" s="44"/>
    </row>
    <row r="20" spans="1:21" ht="15.75" thickBot="1">
      <c r="A20" s="5"/>
      <c r="B20" s="8"/>
      <c r="C20" s="8"/>
      <c r="D20" s="8"/>
      <c r="E20" s="8"/>
      <c r="F20" s="8"/>
      <c r="G20" s="8"/>
      <c r="H20" s="7"/>
    </row>
    <row r="21" spans="1:21" ht="15.75" thickBot="1">
      <c r="A21" s="5"/>
      <c r="B21" s="18" t="s">
        <v>170</v>
      </c>
      <c r="C21" s="18"/>
      <c r="D21" s="18"/>
      <c r="E21" s="18"/>
      <c r="F21" s="18"/>
      <c r="G21" s="18"/>
      <c r="H21" s="7"/>
      <c r="J21" s="171" t="s">
        <v>207</v>
      </c>
      <c r="K21" s="172"/>
      <c r="L21" s="172"/>
      <c r="M21" s="173"/>
      <c r="P21" s="177" t="s">
        <v>172</v>
      </c>
      <c r="Q21" s="178"/>
      <c r="R21" s="178"/>
      <c r="S21" s="178"/>
      <c r="T21" s="178"/>
      <c r="U21" s="179"/>
    </row>
    <row r="22" spans="1:21" ht="15.75" thickBot="1">
      <c r="A22" s="5"/>
      <c r="B22" s="19"/>
      <c r="C22" s="19"/>
      <c r="D22" s="19"/>
      <c r="E22" s="19"/>
      <c r="F22" s="19"/>
      <c r="G22" s="19"/>
      <c r="H22" s="7"/>
    </row>
    <row r="23" spans="1:21" ht="90">
      <c r="A23" s="5"/>
      <c r="B23" s="20" t="s">
        <v>0</v>
      </c>
      <c r="C23" s="21" t="s">
        <v>1</v>
      </c>
      <c r="D23" s="21" t="s">
        <v>2</v>
      </c>
      <c r="E23" s="21" t="s">
        <v>3</v>
      </c>
      <c r="F23" s="21" t="s">
        <v>14</v>
      </c>
      <c r="G23" s="22" t="s">
        <v>15</v>
      </c>
      <c r="H23" s="7"/>
      <c r="J23" s="95" t="s">
        <v>168</v>
      </c>
      <c r="K23" s="95" t="s">
        <v>169</v>
      </c>
      <c r="L23" s="96" t="s">
        <v>74</v>
      </c>
      <c r="M23" s="96" t="s">
        <v>102</v>
      </c>
      <c r="P23" s="113" t="s">
        <v>162</v>
      </c>
      <c r="Q23" s="113" t="s">
        <v>165</v>
      </c>
      <c r="R23" s="113" t="s">
        <v>163</v>
      </c>
      <c r="S23" s="113" t="s">
        <v>166</v>
      </c>
      <c r="T23" s="113" t="s">
        <v>164</v>
      </c>
      <c r="U23" s="113" t="s">
        <v>167</v>
      </c>
    </row>
    <row r="24" spans="1:21" ht="15" customHeight="1">
      <c r="A24" s="5"/>
      <c r="B24" s="28" t="s">
        <v>49</v>
      </c>
      <c r="C24" s="24">
        <v>137131620.00000003</v>
      </c>
      <c r="D24" s="24">
        <v>303220</v>
      </c>
      <c r="E24" s="25">
        <f t="shared" ref="E24:E76" si="4">C24-D24</f>
        <v>136828400.00000003</v>
      </c>
      <c r="F24" s="26">
        <v>0.51400000000000001</v>
      </c>
      <c r="G24" s="119">
        <f t="shared" ref="G24:G76" si="5">(E24/1000)*F24</f>
        <v>70329.79760000002</v>
      </c>
      <c r="H24" s="7"/>
      <c r="J24" s="97">
        <f t="shared" ref="J24:K28" si="6">+P24+R24+T24</f>
        <v>137131600</v>
      </c>
      <c r="K24" s="97">
        <f t="shared" si="6"/>
        <v>303222</v>
      </c>
      <c r="L24" s="98">
        <f>C24-J24</f>
        <v>20.000000029802322</v>
      </c>
      <c r="M24" s="98">
        <f>D24-K24</f>
        <v>-2</v>
      </c>
      <c r="N24" s="59"/>
      <c r="O24" s="101">
        <f>L24/C24</f>
        <v>1.4584528374857904E-7</v>
      </c>
      <c r="P24" s="59">
        <v>44616214</v>
      </c>
      <c r="Q24" s="59">
        <v>151134</v>
      </c>
      <c r="R24" s="59">
        <v>42469112</v>
      </c>
      <c r="S24" s="59">
        <v>55761</v>
      </c>
      <c r="T24" s="59">
        <v>50046274</v>
      </c>
      <c r="U24" s="59">
        <v>96327</v>
      </c>
    </row>
    <row r="25" spans="1:21" ht="15" customHeight="1">
      <c r="A25" s="5"/>
      <c r="B25" s="28" t="s">
        <v>50</v>
      </c>
      <c r="C25" s="24">
        <v>103178509.99999997</v>
      </c>
      <c r="D25" s="24">
        <v>332590</v>
      </c>
      <c r="E25" s="25">
        <f t="shared" si="4"/>
        <v>102845919.99999997</v>
      </c>
      <c r="F25" s="26">
        <v>0.51400000000000001</v>
      </c>
      <c r="G25" s="119">
        <f t="shared" si="5"/>
        <v>52862.802879999988</v>
      </c>
      <c r="H25" s="7"/>
      <c r="J25" s="97">
        <f t="shared" si="6"/>
        <v>103178515</v>
      </c>
      <c r="K25" s="97">
        <f t="shared" si="6"/>
        <v>332584</v>
      </c>
      <c r="L25" s="98">
        <f t="shared" ref="L25:L76" si="7">C25-J25</f>
        <v>-5.0000000298023224</v>
      </c>
      <c r="M25" s="98">
        <f t="shared" ref="M25:M76" si="8">D25-K25</f>
        <v>6</v>
      </c>
      <c r="N25" s="59"/>
      <c r="O25" s="101">
        <f>L25/C25</f>
        <v>-4.8459703767793544E-8</v>
      </c>
      <c r="P25" s="59">
        <v>31145913</v>
      </c>
      <c r="Q25" s="59">
        <v>120479</v>
      </c>
      <c r="R25" s="59">
        <v>37768849</v>
      </c>
      <c r="S25" s="59">
        <v>51973</v>
      </c>
      <c r="T25" s="59">
        <v>34263753</v>
      </c>
      <c r="U25" s="59">
        <v>160132</v>
      </c>
    </row>
    <row r="26" spans="1:21" ht="15" customHeight="1">
      <c r="A26" s="5"/>
      <c r="B26" s="28" t="s">
        <v>51</v>
      </c>
      <c r="C26" s="24">
        <v>96886260.000000015</v>
      </c>
      <c r="D26" s="24">
        <v>448980</v>
      </c>
      <c r="E26" s="25">
        <f t="shared" si="4"/>
        <v>96437280.000000015</v>
      </c>
      <c r="F26" s="26">
        <v>0.51400000000000001</v>
      </c>
      <c r="G26" s="119">
        <f t="shared" si="5"/>
        <v>49568.761920000004</v>
      </c>
      <c r="H26" s="7"/>
      <c r="J26" s="97">
        <f t="shared" si="6"/>
        <v>96886222</v>
      </c>
      <c r="K26" s="97">
        <f t="shared" si="6"/>
        <v>448292</v>
      </c>
      <c r="L26" s="98">
        <f t="shared" si="7"/>
        <v>38.000000014901161</v>
      </c>
      <c r="M26" s="98">
        <f t="shared" si="8"/>
        <v>688</v>
      </c>
      <c r="N26" s="59"/>
      <c r="O26" s="101">
        <f t="shared" ref="O26:O88" si="9">L26/C26</f>
        <v>3.9221247692811298E-7</v>
      </c>
      <c r="P26" s="59">
        <v>32254560</v>
      </c>
      <c r="Q26" s="59">
        <v>174374</v>
      </c>
      <c r="R26" s="59">
        <v>36239495</v>
      </c>
      <c r="S26" s="59">
        <v>66131</v>
      </c>
      <c r="T26" s="59">
        <v>28392167</v>
      </c>
      <c r="U26" s="59">
        <v>207787</v>
      </c>
    </row>
    <row r="27" spans="1:21" ht="15" customHeight="1">
      <c r="A27" s="5"/>
      <c r="B27" s="23" t="s">
        <v>52</v>
      </c>
      <c r="C27" s="24">
        <v>91508010.00000003</v>
      </c>
      <c r="D27" s="24">
        <v>435159.99999999994</v>
      </c>
      <c r="E27" s="25">
        <f t="shared" si="4"/>
        <v>91072850.00000003</v>
      </c>
      <c r="F27" s="26">
        <v>0.51400000000000001</v>
      </c>
      <c r="G27" s="119">
        <f t="shared" si="5"/>
        <v>46811.444900000017</v>
      </c>
      <c r="H27" s="7"/>
      <c r="J27" s="97">
        <f t="shared" si="6"/>
        <v>91508009</v>
      </c>
      <c r="K27" s="97">
        <f t="shared" si="6"/>
        <v>435172</v>
      </c>
      <c r="L27" s="98">
        <f t="shared" si="7"/>
        <v>1.0000000298023224</v>
      </c>
      <c r="M27" s="98">
        <f t="shared" si="8"/>
        <v>-12.000000000058208</v>
      </c>
      <c r="N27" s="59"/>
      <c r="O27" s="101">
        <f t="shared" si="9"/>
        <v>1.0928005425998467E-8</v>
      </c>
      <c r="P27" s="59">
        <v>30405267</v>
      </c>
      <c r="Q27" s="59">
        <v>240399</v>
      </c>
      <c r="R27" s="59">
        <v>26313248</v>
      </c>
      <c r="S27" s="59">
        <v>64539</v>
      </c>
      <c r="T27" s="59">
        <v>34789494</v>
      </c>
      <c r="U27" s="59">
        <v>130234</v>
      </c>
    </row>
    <row r="28" spans="1:21" ht="15" customHeight="1">
      <c r="A28" s="5"/>
      <c r="B28" s="23" t="s">
        <v>53</v>
      </c>
      <c r="C28" s="24">
        <v>83300060.000000015</v>
      </c>
      <c r="D28" s="24">
        <v>426110</v>
      </c>
      <c r="E28" s="25">
        <f t="shared" si="4"/>
        <v>82873950.000000015</v>
      </c>
      <c r="F28" s="26">
        <v>0.51400000000000001</v>
      </c>
      <c r="G28" s="119">
        <f t="shared" si="5"/>
        <v>42597.210300000006</v>
      </c>
      <c r="H28" s="7"/>
      <c r="J28" s="97">
        <f t="shared" si="6"/>
        <v>83300051</v>
      </c>
      <c r="K28" s="97">
        <f t="shared" si="6"/>
        <v>426091</v>
      </c>
      <c r="L28" s="98">
        <f t="shared" si="7"/>
        <v>9.0000000149011612</v>
      </c>
      <c r="M28" s="98">
        <f t="shared" si="8"/>
        <v>19</v>
      </c>
      <c r="N28" s="59"/>
      <c r="O28" s="101">
        <f t="shared" si="9"/>
        <v>1.0804313964361081E-7</v>
      </c>
      <c r="P28" s="59">
        <v>30822081</v>
      </c>
      <c r="Q28" s="59">
        <v>162842</v>
      </c>
      <c r="R28" s="59">
        <v>24748792</v>
      </c>
      <c r="S28" s="59">
        <v>70361</v>
      </c>
      <c r="T28" s="59">
        <v>27729178</v>
      </c>
      <c r="U28" s="59">
        <v>192888</v>
      </c>
    </row>
    <row r="29" spans="1:21" ht="5.0999999999999996" customHeight="1">
      <c r="A29" s="5"/>
      <c r="B29" s="23"/>
      <c r="C29" s="24">
        <v>0</v>
      </c>
      <c r="D29" s="24">
        <v>0</v>
      </c>
      <c r="E29" s="25"/>
      <c r="F29" s="26"/>
      <c r="G29" s="119"/>
      <c r="H29" s="7"/>
      <c r="J29" s="99"/>
      <c r="K29" s="99"/>
      <c r="L29" s="98"/>
      <c r="M29" s="98"/>
      <c r="N29" s="59"/>
      <c r="O29" s="101"/>
      <c r="P29" s="59"/>
      <c r="Q29" s="59"/>
      <c r="R29" s="59"/>
      <c r="S29" s="59"/>
      <c r="T29" s="59"/>
      <c r="U29" s="59"/>
    </row>
    <row r="30" spans="1:21" ht="15" customHeight="1">
      <c r="A30" s="5"/>
      <c r="B30" s="23" t="s">
        <v>54</v>
      </c>
      <c r="C30" s="24">
        <v>68801839.999999985</v>
      </c>
      <c r="D30" s="24">
        <v>840219.99999999977</v>
      </c>
      <c r="E30" s="25">
        <f t="shared" si="4"/>
        <v>67961619.999999985</v>
      </c>
      <c r="F30" s="26">
        <v>0.51400000000000001</v>
      </c>
      <c r="G30" s="119">
        <f t="shared" si="5"/>
        <v>34932.272679999995</v>
      </c>
      <c r="H30" s="7"/>
      <c r="J30" s="97">
        <f t="shared" ref="J30:J41" si="10">+P30+R30+T30</f>
        <v>68801821.999999985</v>
      </c>
      <c r="K30" s="97">
        <f t="shared" ref="K30:K41" si="11">+Q30+S30+U30</f>
        <v>840236.99999999814</v>
      </c>
      <c r="L30" s="98">
        <f t="shared" si="7"/>
        <v>18</v>
      </c>
      <c r="M30" s="98">
        <f t="shared" si="8"/>
        <v>-16.999999998370185</v>
      </c>
      <c r="N30" s="59"/>
      <c r="O30" s="101">
        <f t="shared" si="9"/>
        <v>2.6162091013844987E-7</v>
      </c>
      <c r="P30" s="59">
        <v>16246150.999999998</v>
      </c>
      <c r="Q30" s="59">
        <v>417749.00000000047</v>
      </c>
      <c r="R30" s="59">
        <v>23658187.999999993</v>
      </c>
      <c r="S30" s="59">
        <v>110408.99999999961</v>
      </c>
      <c r="T30" s="59">
        <v>28897482.999999993</v>
      </c>
      <c r="U30" s="59">
        <v>312078.99999999796</v>
      </c>
    </row>
    <row r="31" spans="1:21" ht="15" customHeight="1">
      <c r="A31" s="5"/>
      <c r="B31" s="23" t="s">
        <v>55</v>
      </c>
      <c r="C31" s="24">
        <v>52814969.999999993</v>
      </c>
      <c r="D31" s="24">
        <v>609609.99999999988</v>
      </c>
      <c r="E31" s="25">
        <f t="shared" si="4"/>
        <v>52205359.999999993</v>
      </c>
      <c r="F31" s="26">
        <v>0.51400000000000001</v>
      </c>
      <c r="G31" s="119">
        <f t="shared" si="5"/>
        <v>26833.555039999996</v>
      </c>
      <c r="H31" s="7"/>
      <c r="J31" s="97">
        <f t="shared" si="10"/>
        <v>52814973</v>
      </c>
      <c r="K31" s="97">
        <f t="shared" si="11"/>
        <v>609642</v>
      </c>
      <c r="L31" s="98">
        <f t="shared" si="7"/>
        <v>-3.0000000074505806</v>
      </c>
      <c r="M31" s="98">
        <f t="shared" si="8"/>
        <v>-32.000000000116415</v>
      </c>
      <c r="N31" s="59"/>
      <c r="O31" s="101">
        <f t="shared" si="9"/>
        <v>-5.6802077279426286E-8</v>
      </c>
      <c r="P31" s="59">
        <v>15979065</v>
      </c>
      <c r="Q31" s="59">
        <v>246168</v>
      </c>
      <c r="R31" s="59">
        <v>23981944</v>
      </c>
      <c r="S31" s="59">
        <v>85599</v>
      </c>
      <c r="T31" s="59">
        <v>12853964</v>
      </c>
      <c r="U31" s="59">
        <v>277875</v>
      </c>
    </row>
    <row r="32" spans="1:21" ht="15" customHeight="1">
      <c r="A32" s="5"/>
      <c r="B32" s="23" t="s">
        <v>48</v>
      </c>
      <c r="C32" s="24">
        <v>17865879.999999993</v>
      </c>
      <c r="D32" s="24">
        <v>680140.00000000012</v>
      </c>
      <c r="E32" s="25">
        <f t="shared" si="4"/>
        <v>17185739.999999993</v>
      </c>
      <c r="F32" s="26">
        <v>0.51400000000000001</v>
      </c>
      <c r="G32" s="119">
        <f t="shared" si="5"/>
        <v>8833.4703599999975</v>
      </c>
      <c r="H32" s="7"/>
      <c r="J32" s="97">
        <f t="shared" si="10"/>
        <v>17865882</v>
      </c>
      <c r="K32" s="97">
        <f t="shared" si="11"/>
        <v>680172</v>
      </c>
      <c r="L32" s="98">
        <f t="shared" si="7"/>
        <v>-2.0000000074505806</v>
      </c>
      <c r="M32" s="98">
        <f t="shared" si="8"/>
        <v>-31.999999999883585</v>
      </c>
      <c r="N32" s="59"/>
      <c r="O32" s="101">
        <f t="shared" si="9"/>
        <v>-1.119452278561471E-7</v>
      </c>
      <c r="P32" s="59">
        <v>2738542</v>
      </c>
      <c r="Q32" s="59">
        <v>188959</v>
      </c>
      <c r="R32" s="59">
        <v>9780478</v>
      </c>
      <c r="S32" s="59">
        <v>205906</v>
      </c>
      <c r="T32" s="59">
        <v>5346862</v>
      </c>
      <c r="U32" s="59">
        <v>285307</v>
      </c>
    </row>
    <row r="33" spans="1:21" ht="15" customHeight="1">
      <c r="A33" s="5"/>
      <c r="B33" s="23" t="s">
        <v>56</v>
      </c>
      <c r="C33" s="24">
        <v>16145270</v>
      </c>
      <c r="D33" s="24">
        <v>622520.00000000023</v>
      </c>
      <c r="E33" s="25">
        <f t="shared" si="4"/>
        <v>15522750</v>
      </c>
      <c r="F33" s="26">
        <v>0.51400000000000001</v>
      </c>
      <c r="G33" s="119">
        <f t="shared" si="5"/>
        <v>7978.6935000000003</v>
      </c>
      <c r="H33" s="7"/>
      <c r="J33" s="97">
        <f t="shared" si="10"/>
        <v>16145277</v>
      </c>
      <c r="K33" s="97">
        <f t="shared" si="11"/>
        <v>622485</v>
      </c>
      <c r="L33" s="98">
        <f t="shared" si="7"/>
        <v>-7</v>
      </c>
      <c r="M33" s="98">
        <f t="shared" si="8"/>
        <v>35.000000000232831</v>
      </c>
      <c r="N33" s="59"/>
      <c r="O33" s="101">
        <f t="shared" si="9"/>
        <v>-4.3356351426764617E-7</v>
      </c>
      <c r="P33" s="59">
        <v>7144935</v>
      </c>
      <c r="Q33" s="59">
        <v>269556</v>
      </c>
      <c r="R33" s="59">
        <v>4492957</v>
      </c>
      <c r="S33" s="59">
        <v>177802</v>
      </c>
      <c r="T33" s="59">
        <v>4507385</v>
      </c>
      <c r="U33" s="59">
        <v>175127</v>
      </c>
    </row>
    <row r="34" spans="1:21" ht="15" customHeight="1">
      <c r="A34" s="5"/>
      <c r="B34" s="23" t="s">
        <v>57</v>
      </c>
      <c r="C34" s="24">
        <v>40072559.999999993</v>
      </c>
      <c r="D34" s="24">
        <v>496770.00000000006</v>
      </c>
      <c r="E34" s="25">
        <f t="shared" si="4"/>
        <v>39575789.999999993</v>
      </c>
      <c r="F34" s="26">
        <v>0.51400000000000001</v>
      </c>
      <c r="G34" s="119">
        <f t="shared" si="5"/>
        <v>20341.956059999997</v>
      </c>
      <c r="H34" s="7"/>
      <c r="J34" s="97">
        <f t="shared" si="10"/>
        <v>40072574</v>
      </c>
      <c r="K34" s="97">
        <f t="shared" si="11"/>
        <v>496756</v>
      </c>
      <c r="L34" s="98">
        <f t="shared" si="7"/>
        <v>-14.000000007450581</v>
      </c>
      <c r="M34" s="98">
        <f t="shared" si="8"/>
        <v>14.000000000058208</v>
      </c>
      <c r="N34" s="59"/>
      <c r="O34" s="101">
        <f t="shared" si="9"/>
        <v>-3.4936624980911087E-7</v>
      </c>
      <c r="P34" s="59">
        <v>12691852</v>
      </c>
      <c r="Q34" s="59">
        <v>313527</v>
      </c>
      <c r="R34" s="59">
        <v>12437408</v>
      </c>
      <c r="S34" s="59">
        <v>85827</v>
      </c>
      <c r="T34" s="59">
        <v>14943314</v>
      </c>
      <c r="U34" s="59">
        <v>97402</v>
      </c>
    </row>
    <row r="35" spans="1:21" ht="15" customHeight="1">
      <c r="A35" s="5"/>
      <c r="B35" s="28" t="s">
        <v>58</v>
      </c>
      <c r="C35" s="24">
        <v>11998080</v>
      </c>
      <c r="D35" s="24">
        <v>1046990</v>
      </c>
      <c r="E35" s="25">
        <f t="shared" si="4"/>
        <v>10951090</v>
      </c>
      <c r="F35" s="26">
        <v>0.51400000000000001</v>
      </c>
      <c r="G35" s="119">
        <f t="shared" si="5"/>
        <v>5628.8602600000004</v>
      </c>
      <c r="H35" s="7"/>
      <c r="J35" s="97">
        <f t="shared" si="10"/>
        <v>11998094</v>
      </c>
      <c r="K35" s="97">
        <f t="shared" si="11"/>
        <v>1047003</v>
      </c>
      <c r="L35" s="98">
        <f t="shared" si="7"/>
        <v>-14</v>
      </c>
      <c r="M35" s="98">
        <f t="shared" si="8"/>
        <v>-13</v>
      </c>
      <c r="N35" s="59"/>
      <c r="O35" s="101">
        <f t="shared" si="9"/>
        <v>-1.1668533632047794E-6</v>
      </c>
      <c r="P35" s="59">
        <v>5024668</v>
      </c>
      <c r="Q35" s="59">
        <v>404920</v>
      </c>
      <c r="R35" s="59">
        <v>4287901</v>
      </c>
      <c r="S35" s="59">
        <v>350695</v>
      </c>
      <c r="T35" s="59">
        <v>2685525</v>
      </c>
      <c r="U35" s="59">
        <v>291388</v>
      </c>
    </row>
    <row r="36" spans="1:21" ht="15" customHeight="1">
      <c r="A36" s="5"/>
      <c r="B36" s="28" t="s">
        <v>59</v>
      </c>
      <c r="C36" s="24">
        <v>140860100</v>
      </c>
      <c r="D36" s="24">
        <v>1138100.0000000002</v>
      </c>
      <c r="E36" s="25">
        <f t="shared" si="4"/>
        <v>139722000</v>
      </c>
      <c r="F36" s="26">
        <v>0.51400000000000001</v>
      </c>
      <c r="G36" s="119">
        <f t="shared" si="5"/>
        <v>71817.108000000007</v>
      </c>
      <c r="H36" s="7"/>
      <c r="J36" s="97">
        <f t="shared" si="10"/>
        <v>140860068</v>
      </c>
      <c r="K36" s="97">
        <f t="shared" si="11"/>
        <v>1138096</v>
      </c>
      <c r="L36" s="98">
        <f t="shared" si="7"/>
        <v>32</v>
      </c>
      <c r="M36" s="98">
        <f t="shared" si="8"/>
        <v>4.0000000002328306</v>
      </c>
      <c r="N36" s="59"/>
      <c r="O36" s="101">
        <f t="shared" si="9"/>
        <v>2.2717575807485584E-7</v>
      </c>
      <c r="P36" s="59">
        <v>52614553</v>
      </c>
      <c r="Q36" s="59">
        <v>500890</v>
      </c>
      <c r="R36" s="59">
        <v>48379506</v>
      </c>
      <c r="S36" s="59">
        <v>348296</v>
      </c>
      <c r="T36" s="59">
        <v>39866009</v>
      </c>
      <c r="U36" s="59">
        <v>288910</v>
      </c>
    </row>
    <row r="37" spans="1:21" ht="15" customHeight="1">
      <c r="A37" s="5"/>
      <c r="B37" s="28" t="s">
        <v>60</v>
      </c>
      <c r="C37" s="24">
        <v>165243500</v>
      </c>
      <c r="D37" s="24">
        <v>974969.99999999988</v>
      </c>
      <c r="E37" s="25">
        <f t="shared" si="4"/>
        <v>164268530</v>
      </c>
      <c r="F37" s="26">
        <v>0.51400000000000001</v>
      </c>
      <c r="G37" s="119">
        <f t="shared" si="5"/>
        <v>84434.024420000002</v>
      </c>
      <c r="H37" s="7"/>
      <c r="J37" s="97">
        <f t="shared" si="10"/>
        <v>165243508</v>
      </c>
      <c r="K37" s="97">
        <f t="shared" si="11"/>
        <v>974970</v>
      </c>
      <c r="L37" s="98">
        <f t="shared" si="7"/>
        <v>-8</v>
      </c>
      <c r="M37" s="98">
        <f t="shared" si="8"/>
        <v>0</v>
      </c>
      <c r="N37" s="59"/>
      <c r="O37" s="101">
        <f t="shared" si="9"/>
        <v>-4.8413402040019727E-8</v>
      </c>
      <c r="P37" s="59">
        <v>55010099</v>
      </c>
      <c r="Q37" s="59">
        <v>302803</v>
      </c>
      <c r="R37" s="59">
        <v>56289833</v>
      </c>
      <c r="S37" s="59">
        <v>343957</v>
      </c>
      <c r="T37" s="59">
        <v>53943576</v>
      </c>
      <c r="U37" s="59">
        <v>328210</v>
      </c>
    </row>
    <row r="38" spans="1:21" ht="15" customHeight="1">
      <c r="A38" s="5"/>
      <c r="B38" s="28" t="s">
        <v>61</v>
      </c>
      <c r="C38" s="24">
        <v>148011239.99999997</v>
      </c>
      <c r="D38" s="24">
        <v>577160</v>
      </c>
      <c r="E38" s="25">
        <f t="shared" si="4"/>
        <v>147434079.99999997</v>
      </c>
      <c r="F38" s="26">
        <v>0.51400000000000001</v>
      </c>
      <c r="G38" s="119">
        <f t="shared" si="5"/>
        <v>75781.117119999981</v>
      </c>
      <c r="H38" s="7"/>
      <c r="J38" s="97">
        <f t="shared" si="10"/>
        <v>148011240</v>
      </c>
      <c r="K38" s="97">
        <f t="shared" si="11"/>
        <v>577124</v>
      </c>
      <c r="L38" s="98">
        <f t="shared" si="7"/>
        <v>0</v>
      </c>
      <c r="M38" s="98">
        <f t="shared" si="8"/>
        <v>36</v>
      </c>
      <c r="N38" s="59"/>
      <c r="O38" s="101">
        <f t="shared" si="9"/>
        <v>0</v>
      </c>
      <c r="P38" s="59">
        <v>44071652</v>
      </c>
      <c r="Q38" s="59">
        <v>197505</v>
      </c>
      <c r="R38" s="59">
        <v>53238274</v>
      </c>
      <c r="S38" s="59">
        <v>126099</v>
      </c>
      <c r="T38" s="59">
        <v>50701314</v>
      </c>
      <c r="U38" s="59">
        <v>253520</v>
      </c>
    </row>
    <row r="39" spans="1:21" ht="15" customHeight="1">
      <c r="A39" s="5"/>
      <c r="B39" s="28" t="s">
        <v>62</v>
      </c>
      <c r="C39" s="24">
        <v>65810100.000000007</v>
      </c>
      <c r="D39" s="24">
        <v>475429.99999999994</v>
      </c>
      <c r="E39" s="25">
        <f t="shared" si="4"/>
        <v>65334670.000000007</v>
      </c>
      <c r="F39" s="26">
        <v>0.51400000000000001</v>
      </c>
      <c r="G39" s="119">
        <f t="shared" si="5"/>
        <v>33582.020380000002</v>
      </c>
      <c r="H39" s="7"/>
      <c r="J39" s="97">
        <f t="shared" si="10"/>
        <v>65810112</v>
      </c>
      <c r="K39" s="97">
        <f t="shared" si="11"/>
        <v>475419</v>
      </c>
      <c r="L39" s="98">
        <f t="shared" si="7"/>
        <v>-11.999999992549419</v>
      </c>
      <c r="M39" s="98">
        <f t="shared" si="8"/>
        <v>10.999999999941792</v>
      </c>
      <c r="N39" s="59"/>
      <c r="O39" s="101">
        <f t="shared" si="9"/>
        <v>-1.8234283176213709E-7</v>
      </c>
      <c r="P39" s="59">
        <v>23565133</v>
      </c>
      <c r="Q39" s="59">
        <v>175393</v>
      </c>
      <c r="R39" s="59">
        <v>19919223</v>
      </c>
      <c r="S39" s="59">
        <v>85432</v>
      </c>
      <c r="T39" s="59">
        <v>22325756</v>
      </c>
      <c r="U39" s="59">
        <v>214594</v>
      </c>
    </row>
    <row r="40" spans="1:21" ht="15" customHeight="1">
      <c r="A40" s="5"/>
      <c r="B40" s="23" t="s">
        <v>63</v>
      </c>
      <c r="C40" s="24">
        <v>108530200.00000001</v>
      </c>
      <c r="D40" s="24">
        <v>399320.00000000006</v>
      </c>
      <c r="E40" s="25">
        <f t="shared" si="4"/>
        <v>108130880.00000001</v>
      </c>
      <c r="F40" s="26">
        <v>0.51400000000000001</v>
      </c>
      <c r="G40" s="119">
        <f t="shared" si="5"/>
        <v>55579.272320000011</v>
      </c>
      <c r="H40" s="7"/>
      <c r="J40" s="97">
        <f t="shared" si="10"/>
        <v>108530220</v>
      </c>
      <c r="K40" s="97">
        <f t="shared" si="11"/>
        <v>399318</v>
      </c>
      <c r="L40" s="98">
        <f t="shared" si="7"/>
        <v>-19.999999985098839</v>
      </c>
      <c r="M40" s="98">
        <f t="shared" si="8"/>
        <v>2.0000000000582077</v>
      </c>
      <c r="N40" s="59"/>
      <c r="O40" s="101">
        <f t="shared" si="9"/>
        <v>-1.8428050427529697E-7</v>
      </c>
      <c r="P40" s="59">
        <v>39800019</v>
      </c>
      <c r="Q40" s="59">
        <v>56285</v>
      </c>
      <c r="R40" s="59">
        <v>38595844</v>
      </c>
      <c r="S40" s="59">
        <v>82608</v>
      </c>
      <c r="T40" s="59">
        <v>30134357</v>
      </c>
      <c r="U40" s="59">
        <v>260425</v>
      </c>
    </row>
    <row r="41" spans="1:21" ht="15" customHeight="1">
      <c r="A41" s="5"/>
      <c r="B41" s="23" t="s">
        <v>64</v>
      </c>
      <c r="C41" s="24">
        <v>92250240</v>
      </c>
      <c r="D41" s="24">
        <v>484630.00000000006</v>
      </c>
      <c r="E41" s="25">
        <f t="shared" si="4"/>
        <v>91765610</v>
      </c>
      <c r="F41" s="26">
        <v>0.51400000000000001</v>
      </c>
      <c r="G41" s="119">
        <f t="shared" si="5"/>
        <v>47167.523540000002</v>
      </c>
      <c r="H41" s="7"/>
      <c r="J41" s="97">
        <f t="shared" si="10"/>
        <v>92250221</v>
      </c>
      <c r="K41" s="97">
        <f t="shared" si="11"/>
        <v>484627</v>
      </c>
      <c r="L41" s="98">
        <f t="shared" si="7"/>
        <v>19</v>
      </c>
      <c r="M41" s="98">
        <f t="shared" si="8"/>
        <v>3.0000000000582077</v>
      </c>
      <c r="N41" s="59"/>
      <c r="O41" s="101">
        <f t="shared" si="9"/>
        <v>2.0596152378573759E-7</v>
      </c>
      <c r="P41" s="59">
        <v>36633987</v>
      </c>
      <c r="Q41" s="59">
        <v>63548</v>
      </c>
      <c r="R41" s="59">
        <v>32423211</v>
      </c>
      <c r="S41" s="59">
        <v>67644</v>
      </c>
      <c r="T41" s="59">
        <v>23193023</v>
      </c>
      <c r="U41" s="59">
        <v>353435</v>
      </c>
    </row>
    <row r="42" spans="1:21" ht="6.95" customHeight="1">
      <c r="A42" s="5"/>
      <c r="B42" s="23"/>
      <c r="C42" s="24">
        <v>0</v>
      </c>
      <c r="D42" s="24">
        <v>0</v>
      </c>
      <c r="E42" s="25"/>
      <c r="F42" s="26"/>
      <c r="G42" s="119"/>
      <c r="H42" s="7"/>
      <c r="J42" s="99"/>
      <c r="K42" s="99"/>
      <c r="L42" s="98"/>
      <c r="M42" s="98"/>
      <c r="N42" s="59"/>
      <c r="O42" s="101"/>
      <c r="P42" s="59"/>
      <c r="Q42" s="59"/>
      <c r="R42" s="59"/>
      <c r="S42" s="59"/>
      <c r="T42" s="59"/>
      <c r="U42" s="59"/>
    </row>
    <row r="43" spans="1:21" ht="15" customHeight="1">
      <c r="A43" s="5"/>
      <c r="B43" s="23" t="s">
        <v>65</v>
      </c>
      <c r="C43" s="24">
        <v>81452620.000000015</v>
      </c>
      <c r="D43" s="24">
        <v>479850</v>
      </c>
      <c r="E43" s="25">
        <f t="shared" si="4"/>
        <v>80972770.000000015</v>
      </c>
      <c r="F43" s="26">
        <v>0.51400000000000001</v>
      </c>
      <c r="G43" s="119">
        <f t="shared" si="5"/>
        <v>41620.003780000014</v>
      </c>
      <c r="H43" s="7"/>
      <c r="J43" s="97">
        <f t="shared" ref="J43:J54" si="12">+P43+R43+T43</f>
        <v>81452639</v>
      </c>
      <c r="K43" s="97">
        <f t="shared" ref="K43:K54" si="13">+Q43+S43+U43</f>
        <v>479814</v>
      </c>
      <c r="L43" s="98">
        <f t="shared" si="7"/>
        <v>-18.999999985098839</v>
      </c>
      <c r="M43" s="98">
        <f t="shared" si="8"/>
        <v>36</v>
      </c>
      <c r="N43" s="59"/>
      <c r="O43" s="101">
        <f t="shared" si="9"/>
        <v>-2.3326444238501886E-7</v>
      </c>
      <c r="P43" s="59">
        <v>27164946</v>
      </c>
      <c r="Q43" s="59">
        <v>243420</v>
      </c>
      <c r="R43" s="59">
        <v>29161626</v>
      </c>
      <c r="S43" s="59">
        <v>69810</v>
      </c>
      <c r="T43" s="59">
        <v>25126067</v>
      </c>
      <c r="U43" s="59">
        <v>166584</v>
      </c>
    </row>
    <row r="44" spans="1:21" ht="15" customHeight="1">
      <c r="A44" s="5"/>
      <c r="B44" s="23" t="s">
        <v>16</v>
      </c>
      <c r="C44" s="24">
        <v>17479500</v>
      </c>
      <c r="D44" s="24">
        <v>513599.99999999988</v>
      </c>
      <c r="E44" s="25">
        <f t="shared" si="4"/>
        <v>16965900</v>
      </c>
      <c r="F44" s="26">
        <v>0.51400000000000001</v>
      </c>
      <c r="G44" s="119">
        <f t="shared" si="5"/>
        <v>8720.472600000001</v>
      </c>
      <c r="H44" s="7"/>
      <c r="J44" s="97">
        <f t="shared" si="12"/>
        <v>17479484</v>
      </c>
      <c r="K44" s="97">
        <f t="shared" si="13"/>
        <v>513605</v>
      </c>
      <c r="L44" s="98">
        <f t="shared" si="7"/>
        <v>16</v>
      </c>
      <c r="M44" s="98">
        <f t="shared" si="8"/>
        <v>-5.0000000001164153</v>
      </c>
      <c r="N44" s="59"/>
      <c r="O44" s="101">
        <f t="shared" si="9"/>
        <v>9.1535799078921027E-7</v>
      </c>
      <c r="P44" s="59">
        <v>3883087</v>
      </c>
      <c r="Q44" s="59">
        <v>325858</v>
      </c>
      <c r="R44" s="59">
        <v>7135648</v>
      </c>
      <c r="S44" s="59">
        <v>107673</v>
      </c>
      <c r="T44" s="59">
        <v>6460749</v>
      </c>
      <c r="U44" s="59">
        <v>80074</v>
      </c>
    </row>
    <row r="45" spans="1:21" ht="15" customHeight="1">
      <c r="A45" s="5"/>
      <c r="B45" s="23" t="s">
        <v>66</v>
      </c>
      <c r="C45" s="24">
        <v>29501769.999999996</v>
      </c>
      <c r="D45" s="24">
        <v>467530.00000000006</v>
      </c>
      <c r="E45" s="25">
        <f t="shared" si="4"/>
        <v>29034239.999999996</v>
      </c>
      <c r="F45" s="26">
        <v>0.51400000000000001</v>
      </c>
      <c r="G45" s="119">
        <f t="shared" si="5"/>
        <v>14923.59936</v>
      </c>
      <c r="H45" s="7"/>
      <c r="J45" s="97">
        <f t="shared" si="12"/>
        <v>29501767</v>
      </c>
      <c r="K45" s="97">
        <f t="shared" si="13"/>
        <v>467524</v>
      </c>
      <c r="L45" s="98">
        <f t="shared" si="7"/>
        <v>2.9999999962747097</v>
      </c>
      <c r="M45" s="98">
        <f t="shared" si="8"/>
        <v>6.0000000000582077</v>
      </c>
      <c r="N45" s="59"/>
      <c r="O45" s="101">
        <f t="shared" si="9"/>
        <v>1.0168881379912833E-7</v>
      </c>
      <c r="P45" s="59">
        <v>3358345</v>
      </c>
      <c r="Q45" s="59">
        <v>140774</v>
      </c>
      <c r="R45" s="59">
        <v>14269380</v>
      </c>
      <c r="S45" s="59">
        <v>79834</v>
      </c>
      <c r="T45" s="59">
        <v>11874042</v>
      </c>
      <c r="U45" s="59">
        <v>246916</v>
      </c>
    </row>
    <row r="46" spans="1:21" ht="15" customHeight="1">
      <c r="A46" s="5"/>
      <c r="B46" s="23" t="s">
        <v>67</v>
      </c>
      <c r="C46" s="24">
        <v>23332370.000000004</v>
      </c>
      <c r="D46" s="24">
        <v>452110</v>
      </c>
      <c r="E46" s="25">
        <f t="shared" si="4"/>
        <v>22880260.000000004</v>
      </c>
      <c r="F46" s="26">
        <v>0.51400000000000001</v>
      </c>
      <c r="G46" s="119">
        <f t="shared" si="5"/>
        <v>11760.453640000002</v>
      </c>
      <c r="H46" s="7"/>
      <c r="J46" s="97">
        <f t="shared" si="12"/>
        <v>23332395</v>
      </c>
      <c r="K46" s="97">
        <f t="shared" si="13"/>
        <v>452118</v>
      </c>
      <c r="L46" s="98">
        <f t="shared" si="7"/>
        <v>-24.99999999627471</v>
      </c>
      <c r="M46" s="98">
        <f t="shared" si="8"/>
        <v>-8</v>
      </c>
      <c r="N46" s="59"/>
      <c r="O46" s="101">
        <f t="shared" si="9"/>
        <v>-1.0714728077891232E-6</v>
      </c>
      <c r="P46" s="59">
        <v>11395497</v>
      </c>
      <c r="Q46" s="59">
        <v>137823</v>
      </c>
      <c r="R46" s="59">
        <v>5132606</v>
      </c>
      <c r="S46" s="59">
        <v>40459</v>
      </c>
      <c r="T46" s="59">
        <v>6804292</v>
      </c>
      <c r="U46" s="59">
        <v>273836</v>
      </c>
    </row>
    <row r="47" spans="1:21" ht="15" customHeight="1">
      <c r="A47" s="5"/>
      <c r="B47" s="23" t="s">
        <v>68</v>
      </c>
      <c r="C47" s="24">
        <v>29401309.999999993</v>
      </c>
      <c r="D47" s="24">
        <v>437410</v>
      </c>
      <c r="E47" s="25">
        <f t="shared" si="4"/>
        <v>28963899.999999993</v>
      </c>
      <c r="F47" s="26">
        <v>0.51400000000000001</v>
      </c>
      <c r="G47" s="119">
        <f t="shared" si="5"/>
        <v>14887.444599999997</v>
      </c>
      <c r="H47" s="7"/>
      <c r="J47" s="97">
        <f t="shared" si="12"/>
        <v>29401314</v>
      </c>
      <c r="K47" s="97">
        <f t="shared" si="13"/>
        <v>437394</v>
      </c>
      <c r="L47" s="98">
        <f t="shared" si="7"/>
        <v>-4.0000000074505806</v>
      </c>
      <c r="M47" s="98">
        <f t="shared" si="8"/>
        <v>16</v>
      </c>
      <c r="N47" s="59"/>
      <c r="O47" s="101">
        <f t="shared" si="9"/>
        <v>-1.3604836000336657E-7</v>
      </c>
      <c r="P47" s="59">
        <v>12475594</v>
      </c>
      <c r="Q47" s="59">
        <v>305364</v>
      </c>
      <c r="R47" s="59">
        <v>16034708</v>
      </c>
      <c r="S47" s="59">
        <v>116523</v>
      </c>
      <c r="T47" s="59">
        <v>891012</v>
      </c>
      <c r="U47" s="59">
        <v>15507</v>
      </c>
    </row>
    <row r="48" spans="1:21" ht="15" customHeight="1">
      <c r="A48" s="5"/>
      <c r="B48" s="28" t="s">
        <v>69</v>
      </c>
      <c r="C48" s="24">
        <v>64142609.999999993</v>
      </c>
      <c r="D48" s="24">
        <v>487820</v>
      </c>
      <c r="E48" s="25">
        <f t="shared" si="4"/>
        <v>63654789.999999993</v>
      </c>
      <c r="F48" s="26">
        <v>0.51400000000000001</v>
      </c>
      <c r="G48" s="119">
        <f t="shared" si="5"/>
        <v>32718.562059999997</v>
      </c>
      <c r="H48" s="7"/>
      <c r="J48" s="97">
        <f t="shared" si="12"/>
        <v>64142605</v>
      </c>
      <c r="K48" s="97">
        <f t="shared" si="13"/>
        <v>487818</v>
      </c>
      <c r="L48" s="98">
        <f t="shared" si="7"/>
        <v>4.9999999925494194</v>
      </c>
      <c r="M48" s="98">
        <f t="shared" si="8"/>
        <v>2</v>
      </c>
      <c r="N48" s="59"/>
      <c r="O48" s="101">
        <f t="shared" si="9"/>
        <v>7.7951302457904666E-8</v>
      </c>
      <c r="P48" s="59">
        <v>10542864</v>
      </c>
      <c r="Q48" s="59">
        <v>307975</v>
      </c>
      <c r="R48" s="59">
        <v>26642674</v>
      </c>
      <c r="S48" s="59">
        <v>90090</v>
      </c>
      <c r="T48" s="59">
        <v>26957067</v>
      </c>
      <c r="U48" s="59">
        <v>89753</v>
      </c>
    </row>
    <row r="49" spans="1:21" ht="15" customHeight="1">
      <c r="A49" s="5"/>
      <c r="B49" s="28" t="s">
        <v>70</v>
      </c>
      <c r="C49" s="24">
        <v>79863150.000000015</v>
      </c>
      <c r="D49" s="24">
        <v>475260</v>
      </c>
      <c r="E49" s="25">
        <f t="shared" si="4"/>
        <v>79387890.000000015</v>
      </c>
      <c r="F49" s="26">
        <v>0.51400000000000001</v>
      </c>
      <c r="G49" s="119">
        <f t="shared" si="5"/>
        <v>40805.37546000001</v>
      </c>
      <c r="H49" s="7"/>
      <c r="J49" s="97">
        <f t="shared" si="12"/>
        <v>79863149</v>
      </c>
      <c r="K49" s="97">
        <f t="shared" si="13"/>
        <v>475247</v>
      </c>
      <c r="L49" s="98">
        <f t="shared" si="7"/>
        <v>1.0000000149011612</v>
      </c>
      <c r="M49" s="98">
        <f t="shared" si="8"/>
        <v>13</v>
      </c>
      <c r="N49" s="59"/>
      <c r="O49" s="101">
        <f t="shared" si="9"/>
        <v>1.2521419639735735E-8</v>
      </c>
      <c r="P49" s="59">
        <v>18133946</v>
      </c>
      <c r="Q49" s="59">
        <v>271650</v>
      </c>
      <c r="R49" s="59">
        <v>29093845</v>
      </c>
      <c r="S49" s="59">
        <v>127768</v>
      </c>
      <c r="T49" s="59">
        <v>32635358</v>
      </c>
      <c r="U49" s="59">
        <v>75829</v>
      </c>
    </row>
    <row r="50" spans="1:21" ht="15" customHeight="1">
      <c r="A50" s="5"/>
      <c r="B50" s="28" t="s">
        <v>71</v>
      </c>
      <c r="C50" s="24">
        <v>163073490</v>
      </c>
      <c r="D50" s="24">
        <v>260060</v>
      </c>
      <c r="E50" s="25">
        <f t="shared" si="4"/>
        <v>162813430</v>
      </c>
      <c r="F50" s="26">
        <v>0.51400000000000001</v>
      </c>
      <c r="G50" s="119">
        <f t="shared" si="5"/>
        <v>83686.103019999995</v>
      </c>
      <c r="H50" s="7"/>
      <c r="J50" s="97">
        <f t="shared" si="12"/>
        <v>163073473</v>
      </c>
      <c r="K50" s="97">
        <f t="shared" si="13"/>
        <v>260086</v>
      </c>
      <c r="L50" s="98">
        <f t="shared" si="7"/>
        <v>17</v>
      </c>
      <c r="M50" s="98">
        <f t="shared" si="8"/>
        <v>-26</v>
      </c>
      <c r="N50" s="59"/>
      <c r="O50" s="101">
        <f t="shared" si="9"/>
        <v>1.0424747762496529E-7</v>
      </c>
      <c r="P50" s="59">
        <v>52666016</v>
      </c>
      <c r="Q50" s="59">
        <v>163989</v>
      </c>
      <c r="R50" s="59">
        <v>52693179</v>
      </c>
      <c r="S50" s="59">
        <v>56327</v>
      </c>
      <c r="T50" s="59">
        <v>57714278</v>
      </c>
      <c r="U50" s="59">
        <v>39770</v>
      </c>
    </row>
    <row r="51" spans="1:21" ht="15" customHeight="1">
      <c r="A51" s="5"/>
      <c r="B51" s="28" t="s">
        <v>72</v>
      </c>
      <c r="C51" s="24">
        <v>103548090</v>
      </c>
      <c r="D51" s="24">
        <v>377480</v>
      </c>
      <c r="E51" s="25">
        <f t="shared" si="4"/>
        <v>103170610</v>
      </c>
      <c r="F51" s="26">
        <v>0.51400000000000001</v>
      </c>
      <c r="G51" s="119">
        <f t="shared" si="5"/>
        <v>53029.69354</v>
      </c>
      <c r="H51" s="7"/>
      <c r="J51" s="97">
        <f t="shared" si="12"/>
        <v>103548093</v>
      </c>
      <c r="K51" s="97">
        <f t="shared" si="13"/>
        <v>377466</v>
      </c>
      <c r="L51" s="98">
        <f t="shared" si="7"/>
        <v>-3</v>
      </c>
      <c r="M51" s="98">
        <f t="shared" si="8"/>
        <v>14</v>
      </c>
      <c r="N51" s="59"/>
      <c r="O51" s="101">
        <f t="shared" si="9"/>
        <v>-2.8972045742224701E-8</v>
      </c>
      <c r="P51" s="59">
        <v>34652512</v>
      </c>
      <c r="Q51" s="59">
        <v>200256</v>
      </c>
      <c r="R51" s="59">
        <v>32190925</v>
      </c>
      <c r="S51" s="59">
        <v>120806</v>
      </c>
      <c r="T51" s="59">
        <v>36704656</v>
      </c>
      <c r="U51" s="59">
        <v>56404</v>
      </c>
    </row>
    <row r="52" spans="1:21" ht="15" customHeight="1">
      <c r="A52" s="5"/>
      <c r="B52" s="28" t="s">
        <v>73</v>
      </c>
      <c r="C52" s="24">
        <v>70293650.00000003</v>
      </c>
      <c r="D52" s="24">
        <v>784980</v>
      </c>
      <c r="E52" s="25">
        <f t="shared" si="4"/>
        <v>69508670.00000003</v>
      </c>
      <c r="F52" s="26">
        <v>0.51400000000000001</v>
      </c>
      <c r="G52" s="119">
        <f t="shared" si="5"/>
        <v>35727.456380000018</v>
      </c>
      <c r="H52" s="7"/>
      <c r="J52" s="97">
        <f t="shared" si="12"/>
        <v>70293643</v>
      </c>
      <c r="K52" s="97">
        <f t="shared" si="13"/>
        <v>784985</v>
      </c>
      <c r="L52" s="98">
        <f t="shared" si="7"/>
        <v>7.0000000298023224</v>
      </c>
      <c r="M52" s="98">
        <f t="shared" si="8"/>
        <v>-5</v>
      </c>
      <c r="N52" s="59"/>
      <c r="O52" s="101">
        <f t="shared" si="9"/>
        <v>9.9582252874937057E-8</v>
      </c>
      <c r="P52" s="59">
        <v>19376747</v>
      </c>
      <c r="Q52" s="59">
        <v>293319</v>
      </c>
      <c r="R52" s="59">
        <v>22290766</v>
      </c>
      <c r="S52" s="59">
        <v>269940</v>
      </c>
      <c r="T52" s="59">
        <v>28626130</v>
      </c>
      <c r="U52" s="59">
        <v>221726</v>
      </c>
    </row>
    <row r="53" spans="1:21" ht="15" customHeight="1">
      <c r="A53" s="5"/>
      <c r="B53" s="23" t="s">
        <v>17</v>
      </c>
      <c r="C53" s="24">
        <v>87017299.999999985</v>
      </c>
      <c r="D53" s="24">
        <v>463750.00000000012</v>
      </c>
      <c r="E53" s="25">
        <f t="shared" si="4"/>
        <v>86553549.999999985</v>
      </c>
      <c r="F53" s="26">
        <v>0.51400000000000001</v>
      </c>
      <c r="G53" s="119">
        <f t="shared" si="5"/>
        <v>44488.524699999994</v>
      </c>
      <c r="H53" s="7"/>
      <c r="J53" s="97">
        <f t="shared" si="12"/>
        <v>87017283</v>
      </c>
      <c r="K53" s="97">
        <f t="shared" si="13"/>
        <v>463748</v>
      </c>
      <c r="L53" s="98">
        <f t="shared" si="7"/>
        <v>16.999999985098839</v>
      </c>
      <c r="M53" s="98">
        <f t="shared" si="8"/>
        <v>2.0000000001164153</v>
      </c>
      <c r="N53" s="59"/>
      <c r="O53" s="101">
        <f t="shared" si="9"/>
        <v>1.9536345054487834E-7</v>
      </c>
      <c r="P53" s="59">
        <v>22862594</v>
      </c>
      <c r="Q53" s="59">
        <v>256853</v>
      </c>
      <c r="R53" s="59">
        <v>29750101</v>
      </c>
      <c r="S53" s="59">
        <v>64752</v>
      </c>
      <c r="T53" s="59">
        <v>34404588</v>
      </c>
      <c r="U53" s="59">
        <v>142143</v>
      </c>
    </row>
    <row r="54" spans="1:21" ht="15" customHeight="1">
      <c r="A54" s="5"/>
      <c r="B54" s="23" t="s">
        <v>18</v>
      </c>
      <c r="C54" s="24">
        <v>78307799.999999985</v>
      </c>
      <c r="D54" s="24">
        <v>580200</v>
      </c>
      <c r="E54" s="25">
        <f t="shared" si="4"/>
        <v>77727599.999999985</v>
      </c>
      <c r="F54" s="26">
        <v>0.51400000000000001</v>
      </c>
      <c r="G54" s="119">
        <f t="shared" si="5"/>
        <v>39951.986399999994</v>
      </c>
      <c r="H54" s="7"/>
      <c r="J54" s="97">
        <f t="shared" si="12"/>
        <v>78307820</v>
      </c>
      <c r="K54" s="97">
        <f t="shared" si="13"/>
        <v>580172</v>
      </c>
      <c r="L54" s="98">
        <f t="shared" si="7"/>
        <v>-20.000000014901161</v>
      </c>
      <c r="M54" s="98">
        <f t="shared" si="8"/>
        <v>28</v>
      </c>
      <c r="N54" s="59"/>
      <c r="O54" s="101">
        <f t="shared" si="9"/>
        <v>-2.5540239944042822E-7</v>
      </c>
      <c r="P54" s="59">
        <v>15809961</v>
      </c>
      <c r="Q54" s="59">
        <v>382158</v>
      </c>
      <c r="R54" s="59">
        <v>25047027</v>
      </c>
      <c r="S54" s="59">
        <v>115471</v>
      </c>
      <c r="T54" s="59">
        <v>37450832</v>
      </c>
      <c r="U54" s="59">
        <v>82543</v>
      </c>
    </row>
    <row r="55" spans="1:21" ht="6" customHeight="1">
      <c r="A55" s="5"/>
      <c r="B55" s="23"/>
      <c r="C55" s="24">
        <v>0</v>
      </c>
      <c r="D55" s="24">
        <v>0</v>
      </c>
      <c r="E55" s="25">
        <f t="shared" si="4"/>
        <v>0</v>
      </c>
      <c r="F55" s="26">
        <v>0.51400000000000001</v>
      </c>
      <c r="G55" s="119">
        <f t="shared" si="5"/>
        <v>0</v>
      </c>
      <c r="H55" s="7"/>
      <c r="J55" s="99"/>
      <c r="K55" s="99"/>
      <c r="L55" s="100"/>
      <c r="M55" s="100"/>
      <c r="N55" s="59"/>
      <c r="O55" s="101"/>
      <c r="P55" s="59"/>
      <c r="Q55" s="59"/>
      <c r="R55" s="59"/>
      <c r="S55" s="59"/>
      <c r="T55" s="59"/>
      <c r="U55" s="59"/>
    </row>
    <row r="56" spans="1:21" ht="15" customHeight="1">
      <c r="A56" s="5"/>
      <c r="B56" s="23" t="s">
        <v>19</v>
      </c>
      <c r="C56" s="24">
        <v>77767350</v>
      </c>
      <c r="D56" s="24">
        <v>658720</v>
      </c>
      <c r="E56" s="25">
        <f t="shared" si="4"/>
        <v>77108630</v>
      </c>
      <c r="F56" s="26">
        <v>0.51400000000000001</v>
      </c>
      <c r="G56" s="119">
        <f t="shared" si="5"/>
        <v>39633.83582</v>
      </c>
      <c r="H56" s="7"/>
      <c r="J56" s="97">
        <f t="shared" ref="J56:J67" si="14">+P56+R56+T56</f>
        <v>77767365</v>
      </c>
      <c r="K56" s="97">
        <f t="shared" ref="K56:K67" si="15">+Q56+S56+U56</f>
        <v>658700</v>
      </c>
      <c r="L56" s="98">
        <f t="shared" si="7"/>
        <v>-15</v>
      </c>
      <c r="M56" s="98">
        <f t="shared" si="8"/>
        <v>20</v>
      </c>
      <c r="N56" s="59"/>
      <c r="O56" s="101">
        <f t="shared" si="9"/>
        <v>-1.9288300295689643E-7</v>
      </c>
      <c r="P56" s="59">
        <v>20161831</v>
      </c>
      <c r="Q56" s="59">
        <v>380308</v>
      </c>
      <c r="R56" s="59">
        <v>24933404</v>
      </c>
      <c r="S56" s="59">
        <v>142230</v>
      </c>
      <c r="T56" s="59">
        <v>32672130</v>
      </c>
      <c r="U56" s="59">
        <v>136162</v>
      </c>
    </row>
    <row r="57" spans="1:21" ht="15" customHeight="1">
      <c r="A57" s="5"/>
      <c r="B57" s="23" t="s">
        <v>20</v>
      </c>
      <c r="C57" s="24">
        <v>36996560.000000022</v>
      </c>
      <c r="D57" s="24">
        <v>522430.00000000006</v>
      </c>
      <c r="E57" s="25">
        <f t="shared" si="4"/>
        <v>36474130.000000022</v>
      </c>
      <c r="F57" s="26">
        <v>0.51400000000000001</v>
      </c>
      <c r="G57" s="119">
        <f t="shared" si="5"/>
        <v>18747.70282000001</v>
      </c>
      <c r="H57" s="7"/>
      <c r="J57" s="97">
        <f t="shared" si="14"/>
        <v>36996572</v>
      </c>
      <c r="K57" s="97">
        <f t="shared" si="15"/>
        <v>522409</v>
      </c>
      <c r="L57" s="98">
        <f t="shared" si="7"/>
        <v>-11.999999977648258</v>
      </c>
      <c r="M57" s="98">
        <f t="shared" si="8"/>
        <v>21.000000000058208</v>
      </c>
      <c r="N57" s="59"/>
      <c r="O57" s="101">
        <f t="shared" si="9"/>
        <v>-3.2435447992051831E-7</v>
      </c>
      <c r="P57" s="59">
        <v>5589990</v>
      </c>
      <c r="Q57" s="59">
        <v>380399</v>
      </c>
      <c r="R57" s="59">
        <v>13938005</v>
      </c>
      <c r="S57" s="59">
        <v>72846</v>
      </c>
      <c r="T57" s="59">
        <v>17468577</v>
      </c>
      <c r="U57" s="59">
        <v>69164</v>
      </c>
    </row>
    <row r="58" spans="1:21" ht="15" customHeight="1">
      <c r="A58" s="5"/>
      <c r="B58" s="23" t="s">
        <v>21</v>
      </c>
      <c r="C58" s="24">
        <v>19201940</v>
      </c>
      <c r="D58" s="24">
        <v>621530</v>
      </c>
      <c r="E58" s="25">
        <f t="shared" si="4"/>
        <v>18580410</v>
      </c>
      <c r="F58" s="26">
        <v>0.51400000000000001</v>
      </c>
      <c r="G58" s="119">
        <f t="shared" si="5"/>
        <v>9550.3307399999994</v>
      </c>
      <c r="H58" s="7"/>
      <c r="J58" s="97">
        <f t="shared" si="14"/>
        <v>19201962</v>
      </c>
      <c r="K58" s="97">
        <f t="shared" si="15"/>
        <v>621536</v>
      </c>
      <c r="L58" s="98">
        <f t="shared" si="7"/>
        <v>-22</v>
      </c>
      <c r="M58" s="98">
        <f t="shared" si="8"/>
        <v>-6</v>
      </c>
      <c r="N58" s="59"/>
      <c r="O58" s="101">
        <f t="shared" si="9"/>
        <v>-1.1457175681207211E-6</v>
      </c>
      <c r="P58" s="59">
        <v>6487751</v>
      </c>
      <c r="Q58" s="59">
        <v>308249</v>
      </c>
      <c r="R58" s="59">
        <v>3592353</v>
      </c>
      <c r="S58" s="59">
        <v>89361</v>
      </c>
      <c r="T58" s="59">
        <v>9121858</v>
      </c>
      <c r="U58" s="59">
        <v>223926</v>
      </c>
    </row>
    <row r="59" spans="1:21" ht="15" customHeight="1">
      <c r="A59" s="5"/>
      <c r="B59" s="23" t="s">
        <v>22</v>
      </c>
      <c r="C59" s="24">
        <v>19704180</v>
      </c>
      <c r="D59" s="24">
        <v>423019.99999999994</v>
      </c>
      <c r="E59" s="25">
        <f t="shared" si="4"/>
        <v>19281160</v>
      </c>
      <c r="F59" s="26">
        <v>0.51400000000000001</v>
      </c>
      <c r="G59" s="119">
        <f t="shared" si="5"/>
        <v>9910.5162400000008</v>
      </c>
      <c r="H59" s="7"/>
      <c r="J59" s="97">
        <f t="shared" si="14"/>
        <v>19704160</v>
      </c>
      <c r="K59" s="97">
        <f t="shared" si="15"/>
        <v>423036</v>
      </c>
      <c r="L59" s="98">
        <f t="shared" si="7"/>
        <v>20</v>
      </c>
      <c r="M59" s="98">
        <f t="shared" si="8"/>
        <v>-16.000000000058208</v>
      </c>
      <c r="N59" s="59"/>
      <c r="O59" s="101">
        <f t="shared" si="9"/>
        <v>1.0150130581429931E-6</v>
      </c>
      <c r="P59" s="59">
        <v>10068393</v>
      </c>
      <c r="Q59" s="59">
        <v>178866</v>
      </c>
      <c r="R59" s="59">
        <v>1943886</v>
      </c>
      <c r="S59" s="59">
        <v>33600</v>
      </c>
      <c r="T59" s="59">
        <v>7691881</v>
      </c>
      <c r="U59" s="59">
        <v>210570</v>
      </c>
    </row>
    <row r="60" spans="1:21" ht="15" customHeight="1">
      <c r="A60" s="5"/>
      <c r="B60" s="23" t="s">
        <v>23</v>
      </c>
      <c r="C60" s="24">
        <v>18924440.000000004</v>
      </c>
      <c r="D60" s="24">
        <v>398910</v>
      </c>
      <c r="E60" s="25">
        <f t="shared" si="4"/>
        <v>18525530.000000004</v>
      </c>
      <c r="F60" s="26">
        <v>0.51400000000000001</v>
      </c>
      <c r="G60" s="119">
        <f t="shared" si="5"/>
        <v>9522.1224200000015</v>
      </c>
      <c r="H60" s="7"/>
      <c r="J60" s="97">
        <f t="shared" si="14"/>
        <v>18924440</v>
      </c>
      <c r="K60" s="97">
        <f t="shared" si="15"/>
        <v>398896</v>
      </c>
      <c r="L60" s="98">
        <f t="shared" si="7"/>
        <v>0</v>
      </c>
      <c r="M60" s="98">
        <f t="shared" si="8"/>
        <v>14</v>
      </c>
      <c r="N60" s="59"/>
      <c r="O60" s="101">
        <f t="shared" si="9"/>
        <v>0</v>
      </c>
      <c r="P60" s="59">
        <v>1185858</v>
      </c>
      <c r="Q60" s="59">
        <v>102976</v>
      </c>
      <c r="R60" s="59">
        <v>9900136</v>
      </c>
      <c r="S60" s="59">
        <v>85431</v>
      </c>
      <c r="T60" s="59">
        <v>7838446</v>
      </c>
      <c r="U60" s="59">
        <v>210489</v>
      </c>
    </row>
    <row r="61" spans="1:21" ht="15" customHeight="1">
      <c r="A61" s="5"/>
      <c r="B61" s="28" t="s">
        <v>24</v>
      </c>
      <c r="C61" s="24">
        <v>15084320</v>
      </c>
      <c r="D61" s="24">
        <v>493860</v>
      </c>
      <c r="E61" s="25">
        <f t="shared" si="4"/>
        <v>14590460</v>
      </c>
      <c r="F61" s="26">
        <v>0.51400000000000001</v>
      </c>
      <c r="G61" s="119">
        <f t="shared" si="5"/>
        <v>7499.4964399999999</v>
      </c>
      <c r="H61" s="7"/>
      <c r="J61" s="97">
        <f t="shared" si="14"/>
        <v>15084309</v>
      </c>
      <c r="K61" s="97">
        <f t="shared" si="15"/>
        <v>493867</v>
      </c>
      <c r="L61" s="98">
        <f t="shared" si="7"/>
        <v>11</v>
      </c>
      <c r="M61" s="98">
        <f t="shared" si="8"/>
        <v>-7</v>
      </c>
      <c r="N61" s="59"/>
      <c r="O61" s="101">
        <f t="shared" si="9"/>
        <v>7.292340655727272E-7</v>
      </c>
      <c r="P61" s="59">
        <v>6117354</v>
      </c>
      <c r="Q61" s="59">
        <v>76053</v>
      </c>
      <c r="R61" s="59">
        <v>5508651</v>
      </c>
      <c r="S61" s="59">
        <v>112860</v>
      </c>
      <c r="T61" s="59">
        <v>3458304</v>
      </c>
      <c r="U61" s="59">
        <v>304954</v>
      </c>
    </row>
    <row r="62" spans="1:21" ht="15" customHeight="1">
      <c r="A62" s="5"/>
      <c r="B62" s="28" t="s">
        <v>25</v>
      </c>
      <c r="C62" s="24">
        <v>84645250</v>
      </c>
      <c r="D62" s="24">
        <v>409190</v>
      </c>
      <c r="E62" s="25">
        <f t="shared" si="4"/>
        <v>84236060</v>
      </c>
      <c r="F62" s="26">
        <v>0.51400000000000001</v>
      </c>
      <c r="G62" s="119">
        <f t="shared" si="5"/>
        <v>43297.334840000003</v>
      </c>
      <c r="H62" s="7"/>
      <c r="J62" s="97">
        <f t="shared" si="14"/>
        <v>84645243</v>
      </c>
      <c r="K62" s="97">
        <f t="shared" si="15"/>
        <v>409169</v>
      </c>
      <c r="L62" s="98">
        <f t="shared" si="7"/>
        <v>7</v>
      </c>
      <c r="M62" s="98">
        <f t="shared" si="8"/>
        <v>21</v>
      </c>
      <c r="N62" s="59"/>
      <c r="O62" s="101">
        <f t="shared" si="9"/>
        <v>8.2698084062602449E-8</v>
      </c>
      <c r="P62" s="59">
        <v>34849374</v>
      </c>
      <c r="Q62" s="59">
        <v>61530</v>
      </c>
      <c r="R62" s="59">
        <v>22682208</v>
      </c>
      <c r="S62" s="59">
        <v>76190</v>
      </c>
      <c r="T62" s="59">
        <v>27113661</v>
      </c>
      <c r="U62" s="59">
        <v>271449</v>
      </c>
    </row>
    <row r="63" spans="1:21" ht="15" customHeight="1">
      <c r="A63" s="5"/>
      <c r="B63" s="28" t="s">
        <v>26</v>
      </c>
      <c r="C63" s="24">
        <v>96355430</v>
      </c>
      <c r="D63" s="24">
        <v>370090</v>
      </c>
      <c r="E63" s="25">
        <f t="shared" si="4"/>
        <v>95985340</v>
      </c>
      <c r="F63" s="26">
        <v>0.51400000000000001</v>
      </c>
      <c r="G63" s="119">
        <f t="shared" si="5"/>
        <v>49336.464760000003</v>
      </c>
      <c r="H63" s="7"/>
      <c r="J63" s="97">
        <f t="shared" si="14"/>
        <v>96355429</v>
      </c>
      <c r="K63" s="97">
        <f t="shared" si="15"/>
        <v>370086</v>
      </c>
      <c r="L63" s="98">
        <f t="shared" si="7"/>
        <v>1</v>
      </c>
      <c r="M63" s="98">
        <f t="shared" si="8"/>
        <v>4</v>
      </c>
      <c r="N63" s="59"/>
      <c r="O63" s="101">
        <f t="shared" si="9"/>
        <v>1.0378242305597101E-8</v>
      </c>
      <c r="P63" s="59">
        <v>36854232</v>
      </c>
      <c r="Q63" s="59">
        <v>65196</v>
      </c>
      <c r="R63" s="59">
        <v>29259323</v>
      </c>
      <c r="S63" s="59">
        <v>69529</v>
      </c>
      <c r="T63" s="59">
        <v>30241874</v>
      </c>
      <c r="U63" s="59">
        <v>235361</v>
      </c>
    </row>
    <row r="64" spans="1:21" ht="15" customHeight="1">
      <c r="A64" s="5"/>
      <c r="B64" s="28" t="s">
        <v>27</v>
      </c>
      <c r="C64" s="24">
        <v>113179249.99999999</v>
      </c>
      <c r="D64" s="24">
        <v>336219.99999999994</v>
      </c>
      <c r="E64" s="25">
        <f t="shared" si="4"/>
        <v>112843029.99999999</v>
      </c>
      <c r="F64" s="26">
        <v>0.51400000000000001</v>
      </c>
      <c r="G64" s="119">
        <f t="shared" si="5"/>
        <v>58001.317419999992</v>
      </c>
      <c r="H64" s="7"/>
      <c r="J64" s="97">
        <f t="shared" si="14"/>
        <v>113179227</v>
      </c>
      <c r="K64" s="97">
        <f t="shared" si="15"/>
        <v>336235</v>
      </c>
      <c r="L64" s="98">
        <f t="shared" si="7"/>
        <v>22.999999985098839</v>
      </c>
      <c r="M64" s="98">
        <f t="shared" si="8"/>
        <v>-15.000000000058208</v>
      </c>
      <c r="N64" s="59"/>
      <c r="O64" s="101">
        <f t="shared" si="9"/>
        <v>2.0321746243325383E-7</v>
      </c>
      <c r="P64" s="59">
        <v>41605068</v>
      </c>
      <c r="Q64" s="59">
        <v>73743</v>
      </c>
      <c r="R64" s="59">
        <v>35403570</v>
      </c>
      <c r="S64" s="59">
        <v>59907</v>
      </c>
      <c r="T64" s="59">
        <v>36170589</v>
      </c>
      <c r="U64" s="59">
        <v>202585</v>
      </c>
    </row>
    <row r="65" spans="1:21" ht="15" customHeight="1">
      <c r="A65" s="5"/>
      <c r="B65" s="28" t="s">
        <v>28</v>
      </c>
      <c r="C65" s="24">
        <v>80758570</v>
      </c>
      <c r="D65" s="24">
        <v>410460.00000000012</v>
      </c>
      <c r="E65" s="25">
        <f t="shared" si="4"/>
        <v>80348110</v>
      </c>
      <c r="F65" s="26">
        <v>0.51400000000000001</v>
      </c>
      <c r="G65" s="119">
        <f t="shared" si="5"/>
        <v>41298.928540000001</v>
      </c>
      <c r="H65" s="7"/>
      <c r="J65" s="97">
        <f t="shared" si="14"/>
        <v>80758603</v>
      </c>
      <c r="K65" s="97">
        <f t="shared" si="15"/>
        <v>410454</v>
      </c>
      <c r="L65" s="98">
        <f t="shared" si="7"/>
        <v>-33</v>
      </c>
      <c r="M65" s="98">
        <f t="shared" si="8"/>
        <v>6.0000000001164153</v>
      </c>
      <c r="N65" s="59"/>
      <c r="O65" s="101">
        <f t="shared" si="9"/>
        <v>-4.0862536322770452E-7</v>
      </c>
      <c r="P65" s="59">
        <v>31739883</v>
      </c>
      <c r="Q65" s="59">
        <v>64148</v>
      </c>
      <c r="R65" s="59">
        <v>25841672</v>
      </c>
      <c r="S65" s="59">
        <v>73397</v>
      </c>
      <c r="T65" s="59">
        <v>23177048</v>
      </c>
      <c r="U65" s="59">
        <v>272909</v>
      </c>
    </row>
    <row r="66" spans="1:21" ht="15" customHeight="1">
      <c r="A66" s="5"/>
      <c r="B66" s="23" t="s">
        <v>29</v>
      </c>
      <c r="C66" s="24">
        <v>24356049.999999996</v>
      </c>
      <c r="D66" s="24">
        <v>543460</v>
      </c>
      <c r="E66" s="25">
        <f t="shared" si="4"/>
        <v>23812589.999999996</v>
      </c>
      <c r="F66" s="26">
        <v>0.51400000000000001</v>
      </c>
      <c r="G66" s="119">
        <f t="shared" si="5"/>
        <v>12239.671259999999</v>
      </c>
      <c r="H66" s="7"/>
      <c r="J66" s="97">
        <f t="shared" si="14"/>
        <v>24356058</v>
      </c>
      <c r="K66" s="97">
        <f t="shared" si="15"/>
        <v>543430</v>
      </c>
      <c r="L66" s="98">
        <f t="shared" si="7"/>
        <v>-8.0000000037252903</v>
      </c>
      <c r="M66" s="98">
        <f t="shared" si="8"/>
        <v>30</v>
      </c>
      <c r="N66" s="59"/>
      <c r="O66" s="101">
        <f t="shared" si="9"/>
        <v>-3.2846048533014557E-7</v>
      </c>
      <c r="P66" s="59">
        <v>17864739</v>
      </c>
      <c r="Q66" s="59">
        <v>72200</v>
      </c>
      <c r="R66" s="59">
        <v>4576686</v>
      </c>
      <c r="S66" s="59">
        <v>89057</v>
      </c>
      <c r="T66" s="59">
        <v>1914633</v>
      </c>
      <c r="U66" s="59">
        <v>382173</v>
      </c>
    </row>
    <row r="67" spans="1:21" ht="15" customHeight="1">
      <c r="A67" s="5"/>
      <c r="B67" s="23" t="s">
        <v>30</v>
      </c>
      <c r="C67" s="24">
        <v>0</v>
      </c>
      <c r="D67" s="24">
        <v>603580</v>
      </c>
      <c r="E67" s="25">
        <f t="shared" si="4"/>
        <v>-603580</v>
      </c>
      <c r="F67" s="26">
        <v>0.51400000000000001</v>
      </c>
      <c r="G67" s="119">
        <f t="shared" si="5"/>
        <v>-310.24012000000005</v>
      </c>
      <c r="H67" s="7"/>
      <c r="J67" s="97">
        <f t="shared" si="14"/>
        <v>0</v>
      </c>
      <c r="K67" s="97">
        <f t="shared" si="15"/>
        <v>603561</v>
      </c>
      <c r="L67" s="98">
        <f t="shared" si="7"/>
        <v>0</v>
      </c>
      <c r="M67" s="98">
        <f t="shared" si="8"/>
        <v>19</v>
      </c>
      <c r="N67" s="59"/>
      <c r="O67" s="101"/>
      <c r="P67" s="59">
        <v>0</v>
      </c>
      <c r="Q67" s="59">
        <v>92127</v>
      </c>
      <c r="R67" s="59">
        <v>0</v>
      </c>
      <c r="S67" s="59">
        <v>97325</v>
      </c>
      <c r="T67" s="59">
        <v>0</v>
      </c>
      <c r="U67" s="59">
        <v>414109</v>
      </c>
    </row>
    <row r="68" spans="1:21" ht="15.6" customHeight="1">
      <c r="A68" s="5"/>
      <c r="B68" s="23"/>
      <c r="C68" s="24">
        <v>0</v>
      </c>
      <c r="D68" s="24">
        <v>0</v>
      </c>
      <c r="E68" s="25">
        <f t="shared" si="4"/>
        <v>0</v>
      </c>
      <c r="F68" s="26">
        <v>0.51400000000000001</v>
      </c>
      <c r="G68" s="119">
        <f t="shared" si="5"/>
        <v>0</v>
      </c>
      <c r="H68" s="7"/>
      <c r="J68" s="99"/>
      <c r="K68" s="99"/>
      <c r="L68" s="100"/>
      <c r="M68" s="100"/>
      <c r="N68" s="59"/>
      <c r="O68" s="101"/>
      <c r="P68" s="59"/>
      <c r="Q68" s="59"/>
      <c r="R68" s="59"/>
      <c r="S68" s="59"/>
      <c r="T68" s="59"/>
      <c r="U68" s="59"/>
    </row>
    <row r="69" spans="1:21" ht="15" customHeight="1">
      <c r="A69" s="5"/>
      <c r="B69" s="23" t="s">
        <v>31</v>
      </c>
      <c r="C69" s="24">
        <v>108129959.99999999</v>
      </c>
      <c r="D69" s="24">
        <v>417169.99999999994</v>
      </c>
      <c r="E69" s="25">
        <f t="shared" si="4"/>
        <v>107712789.99999999</v>
      </c>
      <c r="F69" s="26">
        <v>0.51400000000000001</v>
      </c>
      <c r="G69" s="119">
        <f t="shared" si="5"/>
        <v>55364.374059999987</v>
      </c>
      <c r="H69" s="7"/>
      <c r="J69" s="97">
        <f t="shared" ref="J69:J80" si="16">+P69+R69+T69</f>
        <v>108129962</v>
      </c>
      <c r="K69" s="97">
        <f t="shared" ref="K69:K80" si="17">+Q69+S69+U69</f>
        <v>417157</v>
      </c>
      <c r="L69" s="98">
        <f t="shared" si="7"/>
        <v>-2.0000000149011612</v>
      </c>
      <c r="M69" s="98">
        <f t="shared" si="8"/>
        <v>12.999999999941792</v>
      </c>
      <c r="N69" s="59"/>
      <c r="O69" s="101">
        <f t="shared" si="9"/>
        <v>-1.8496261488501072E-8</v>
      </c>
      <c r="P69" s="59">
        <v>33676683</v>
      </c>
      <c r="Q69" s="59">
        <v>61940</v>
      </c>
      <c r="R69" s="59">
        <v>38699022</v>
      </c>
      <c r="S69" s="59">
        <v>61184</v>
      </c>
      <c r="T69" s="59">
        <v>35754257</v>
      </c>
      <c r="U69" s="59">
        <v>294033</v>
      </c>
    </row>
    <row r="70" spans="1:21" ht="15" customHeight="1">
      <c r="A70" s="5"/>
      <c r="B70" s="23" t="s">
        <v>32</v>
      </c>
      <c r="C70" s="24">
        <v>19206370</v>
      </c>
      <c r="D70" s="24">
        <v>519219.99999999994</v>
      </c>
      <c r="E70" s="25">
        <f t="shared" si="4"/>
        <v>18687150</v>
      </c>
      <c r="F70" s="26">
        <v>0.51400000000000001</v>
      </c>
      <c r="G70" s="119">
        <f t="shared" si="5"/>
        <v>9605.1951000000008</v>
      </c>
      <c r="H70" s="7"/>
      <c r="J70" s="97">
        <f t="shared" si="16"/>
        <v>19206386</v>
      </c>
      <c r="K70" s="97">
        <f t="shared" si="17"/>
        <v>519225</v>
      </c>
      <c r="L70" s="98">
        <f t="shared" si="7"/>
        <v>-16</v>
      </c>
      <c r="M70" s="98">
        <f t="shared" si="8"/>
        <v>-5.0000000000582077</v>
      </c>
      <c r="N70" s="59"/>
      <c r="O70" s="101">
        <f t="shared" si="9"/>
        <v>-8.3305694933503829E-7</v>
      </c>
      <c r="P70" s="59">
        <v>8577379</v>
      </c>
      <c r="Q70" s="59">
        <v>68480</v>
      </c>
      <c r="R70" s="59">
        <v>5469222</v>
      </c>
      <c r="S70" s="59">
        <v>83950</v>
      </c>
      <c r="T70" s="59">
        <v>5159785</v>
      </c>
      <c r="U70" s="59">
        <v>366795</v>
      </c>
    </row>
    <row r="71" spans="1:21" ht="15" customHeight="1">
      <c r="A71" s="5"/>
      <c r="B71" s="23" t="s">
        <v>33</v>
      </c>
      <c r="C71" s="24">
        <v>32960210</v>
      </c>
      <c r="D71" s="24">
        <v>458549.99999999994</v>
      </c>
      <c r="E71" s="25">
        <f t="shared" si="4"/>
        <v>32501660</v>
      </c>
      <c r="F71" s="26">
        <v>0.51400000000000001</v>
      </c>
      <c r="G71" s="119">
        <f t="shared" si="5"/>
        <v>16705.85324</v>
      </c>
      <c r="H71" s="7"/>
      <c r="J71" s="97">
        <f t="shared" si="16"/>
        <v>32960212</v>
      </c>
      <c r="K71" s="97">
        <f t="shared" si="17"/>
        <v>458557</v>
      </c>
      <c r="L71" s="98">
        <f t="shared" si="7"/>
        <v>-2</v>
      </c>
      <c r="M71" s="98">
        <f t="shared" si="8"/>
        <v>-7.0000000000582077</v>
      </c>
      <c r="N71" s="59"/>
      <c r="O71" s="101">
        <f t="shared" si="9"/>
        <v>-6.0679225041345312E-8</v>
      </c>
      <c r="P71" s="59">
        <v>911555</v>
      </c>
      <c r="Q71" s="59">
        <v>27493</v>
      </c>
      <c r="R71" s="59">
        <v>17252612</v>
      </c>
      <c r="S71" s="59">
        <v>84337</v>
      </c>
      <c r="T71" s="59">
        <v>14796045</v>
      </c>
      <c r="U71" s="59">
        <v>346727</v>
      </c>
    </row>
    <row r="72" spans="1:21" ht="15" customHeight="1">
      <c r="A72" s="5"/>
      <c r="B72" s="23" t="s">
        <v>34</v>
      </c>
      <c r="C72" s="24">
        <v>40082860</v>
      </c>
      <c r="D72" s="24">
        <v>366540</v>
      </c>
      <c r="E72" s="25">
        <f t="shared" si="4"/>
        <v>39716320</v>
      </c>
      <c r="F72" s="26">
        <v>0.51400000000000001</v>
      </c>
      <c r="G72" s="119">
        <f t="shared" si="5"/>
        <v>20414.188480000001</v>
      </c>
      <c r="H72" s="7"/>
      <c r="J72" s="97">
        <f t="shared" si="16"/>
        <v>40082855</v>
      </c>
      <c r="K72" s="97">
        <f t="shared" si="17"/>
        <v>366562</v>
      </c>
      <c r="L72" s="98">
        <f t="shared" si="7"/>
        <v>5</v>
      </c>
      <c r="M72" s="98">
        <f t="shared" si="8"/>
        <v>-22</v>
      </c>
      <c r="N72" s="59"/>
      <c r="O72" s="101">
        <f t="shared" si="9"/>
        <v>1.2474159778019833E-7</v>
      </c>
      <c r="P72" s="59">
        <v>15975744</v>
      </c>
      <c r="Q72" s="59">
        <v>268542</v>
      </c>
      <c r="R72" s="59">
        <v>22086686</v>
      </c>
      <c r="S72" s="59">
        <v>73518</v>
      </c>
      <c r="T72" s="59">
        <v>2020425</v>
      </c>
      <c r="U72" s="59">
        <v>24502</v>
      </c>
    </row>
    <row r="73" spans="1:21" ht="15" customHeight="1">
      <c r="A73" s="5"/>
      <c r="B73" s="23" t="s">
        <v>35</v>
      </c>
      <c r="C73" s="24">
        <v>20147750.000000007</v>
      </c>
      <c r="D73" s="24">
        <v>380099.99999999988</v>
      </c>
      <c r="E73" s="25">
        <f t="shared" si="4"/>
        <v>19767650.000000007</v>
      </c>
      <c r="F73" s="26">
        <v>0.51400000000000001</v>
      </c>
      <c r="G73" s="119">
        <f t="shared" si="5"/>
        <v>10160.572100000005</v>
      </c>
      <c r="H73" s="7"/>
      <c r="J73" s="97">
        <f t="shared" si="16"/>
        <v>20147741</v>
      </c>
      <c r="K73" s="97">
        <f t="shared" si="17"/>
        <v>380065</v>
      </c>
      <c r="L73" s="98">
        <f t="shared" si="7"/>
        <v>9.0000000074505806</v>
      </c>
      <c r="M73" s="98">
        <f t="shared" si="8"/>
        <v>34.999999999883585</v>
      </c>
      <c r="N73" s="59"/>
      <c r="O73" s="101">
        <f t="shared" si="9"/>
        <v>4.4670000409229701E-7</v>
      </c>
      <c r="P73" s="59">
        <v>12102962</v>
      </c>
      <c r="Q73" s="59">
        <v>202874</v>
      </c>
      <c r="R73" s="59">
        <v>0</v>
      </c>
      <c r="S73" s="59">
        <v>10336</v>
      </c>
      <c r="T73" s="59">
        <v>8044779</v>
      </c>
      <c r="U73" s="59">
        <v>166855</v>
      </c>
    </row>
    <row r="74" spans="1:21" ht="15" customHeight="1">
      <c r="A74" s="5"/>
      <c r="B74" s="28" t="s">
        <v>36</v>
      </c>
      <c r="C74" s="24">
        <v>13146220.000000002</v>
      </c>
      <c r="D74" s="24">
        <v>480629.99999999994</v>
      </c>
      <c r="E74" s="25">
        <f t="shared" si="4"/>
        <v>12665590.000000002</v>
      </c>
      <c r="F74" s="26">
        <v>0.51400000000000001</v>
      </c>
      <c r="G74" s="119">
        <f t="shared" si="5"/>
        <v>6510.113260000001</v>
      </c>
      <c r="H74" s="7"/>
      <c r="J74" s="97">
        <f t="shared" si="16"/>
        <v>13146199</v>
      </c>
      <c r="K74" s="97">
        <f t="shared" si="17"/>
        <v>480648</v>
      </c>
      <c r="L74" s="98">
        <f t="shared" si="7"/>
        <v>21.000000001862645</v>
      </c>
      <c r="M74" s="98">
        <f t="shared" si="8"/>
        <v>-18.000000000058208</v>
      </c>
      <c r="N74" s="59"/>
      <c r="O74" s="101">
        <f t="shared" si="9"/>
        <v>1.597417356613737E-6</v>
      </c>
      <c r="P74" s="59">
        <v>6396399</v>
      </c>
      <c r="Q74" s="59">
        <v>84965</v>
      </c>
      <c r="R74" s="59">
        <v>5232228</v>
      </c>
      <c r="S74" s="59">
        <v>88491</v>
      </c>
      <c r="T74" s="59">
        <v>1517572</v>
      </c>
      <c r="U74" s="59">
        <v>307192</v>
      </c>
    </row>
    <row r="75" spans="1:21" ht="15" customHeight="1">
      <c r="A75" s="5"/>
      <c r="B75" s="28" t="s">
        <v>37</v>
      </c>
      <c r="C75" s="24">
        <v>87324529.999999985</v>
      </c>
      <c r="D75" s="24">
        <v>427039.99999999994</v>
      </c>
      <c r="E75" s="25">
        <f t="shared" si="4"/>
        <v>86897489.999999985</v>
      </c>
      <c r="F75" s="26">
        <v>0.51400000000000001</v>
      </c>
      <c r="G75" s="119">
        <f t="shared" si="5"/>
        <v>44665.309859999994</v>
      </c>
      <c r="H75" s="7"/>
      <c r="J75" s="97">
        <f t="shared" si="16"/>
        <v>87324524</v>
      </c>
      <c r="K75" s="97">
        <f t="shared" si="17"/>
        <v>427044</v>
      </c>
      <c r="L75" s="98">
        <f t="shared" si="7"/>
        <v>5.9999999850988388</v>
      </c>
      <c r="M75" s="98">
        <f t="shared" si="8"/>
        <v>-4.0000000000582077</v>
      </c>
      <c r="N75" s="59"/>
      <c r="O75" s="101">
        <f t="shared" si="9"/>
        <v>6.8709215899574145E-8</v>
      </c>
      <c r="P75" s="59">
        <v>39428234</v>
      </c>
      <c r="Q75" s="59">
        <v>59884</v>
      </c>
      <c r="R75" s="59">
        <v>30517226</v>
      </c>
      <c r="S75" s="59">
        <v>67625</v>
      </c>
      <c r="T75" s="59">
        <v>17379064</v>
      </c>
      <c r="U75" s="59">
        <v>299535</v>
      </c>
    </row>
    <row r="76" spans="1:21" ht="15" customHeight="1">
      <c r="A76" s="5"/>
      <c r="B76" s="28" t="s">
        <v>38</v>
      </c>
      <c r="C76" s="24">
        <v>76303330</v>
      </c>
      <c r="D76" s="24">
        <v>402820</v>
      </c>
      <c r="E76" s="25">
        <f t="shared" si="4"/>
        <v>75900510</v>
      </c>
      <c r="F76" s="26">
        <v>0.51400000000000001</v>
      </c>
      <c r="G76" s="119">
        <f t="shared" si="5"/>
        <v>39012.862139999997</v>
      </c>
      <c r="H76" s="7"/>
      <c r="J76" s="97">
        <f t="shared" si="16"/>
        <v>76303347</v>
      </c>
      <c r="K76" s="97">
        <f t="shared" si="17"/>
        <v>402799</v>
      </c>
      <c r="L76" s="98">
        <f t="shared" si="7"/>
        <v>-17</v>
      </c>
      <c r="M76" s="98">
        <f t="shared" si="8"/>
        <v>21</v>
      </c>
      <c r="N76" s="59"/>
      <c r="O76" s="101">
        <f t="shared" si="9"/>
        <v>-2.2279499466143877E-7</v>
      </c>
      <c r="P76" s="59">
        <v>9193940</v>
      </c>
      <c r="Q76" s="59">
        <v>151418</v>
      </c>
      <c r="R76" s="59">
        <v>38509307</v>
      </c>
      <c r="S76" s="59">
        <v>60393</v>
      </c>
      <c r="T76" s="59">
        <v>28600100</v>
      </c>
      <c r="U76" s="59">
        <v>190988</v>
      </c>
    </row>
    <row r="77" spans="1:21" ht="15" customHeight="1">
      <c r="A77" s="5"/>
      <c r="B77" s="28" t="s">
        <v>39</v>
      </c>
      <c r="C77" s="24">
        <v>29937230.000000007</v>
      </c>
      <c r="D77" s="24">
        <v>451200.00000000006</v>
      </c>
      <c r="E77" s="25">
        <f t="shared" ref="E77:E98" si="18">C77-D77</f>
        <v>29486030.000000007</v>
      </c>
      <c r="F77" s="26">
        <v>0.51400000000000001</v>
      </c>
      <c r="G77" s="119">
        <f t="shared" ref="G77:G105" si="19">(E77/1000)*F77</f>
        <v>15155.819420000003</v>
      </c>
      <c r="H77" s="7"/>
      <c r="J77" s="97">
        <f t="shared" si="16"/>
        <v>29937232</v>
      </c>
      <c r="K77" s="97">
        <f t="shared" si="17"/>
        <v>451205</v>
      </c>
      <c r="L77" s="98">
        <f t="shared" ref="L77:M80" si="20">C77-J77</f>
        <v>-1.9999999925494194</v>
      </c>
      <c r="M77" s="98">
        <f t="shared" si="20"/>
        <v>-4.9999999999417923</v>
      </c>
      <c r="N77" s="59"/>
      <c r="O77" s="101">
        <f t="shared" si="9"/>
        <v>-6.6806447775877021E-8</v>
      </c>
      <c r="P77" s="59">
        <v>15674484</v>
      </c>
      <c r="Q77" s="59">
        <v>110653</v>
      </c>
      <c r="R77" s="59">
        <v>9163399</v>
      </c>
      <c r="S77" s="59">
        <v>83425</v>
      </c>
      <c r="T77" s="59">
        <v>5099349</v>
      </c>
      <c r="U77" s="59">
        <v>257127</v>
      </c>
    </row>
    <row r="78" spans="1:21" ht="15" customHeight="1">
      <c r="A78" s="5"/>
      <c r="B78" s="28" t="s">
        <v>40</v>
      </c>
      <c r="C78" s="24">
        <v>6343999.9999999991</v>
      </c>
      <c r="D78" s="24">
        <v>497699.99999999988</v>
      </c>
      <c r="E78" s="25">
        <f t="shared" si="18"/>
        <v>5846299.9999999991</v>
      </c>
      <c r="F78" s="26">
        <v>0.51400000000000001</v>
      </c>
      <c r="G78" s="119">
        <f t="shared" si="19"/>
        <v>3004.9981999999995</v>
      </c>
      <c r="H78" s="7"/>
      <c r="J78" s="97">
        <f t="shared" si="16"/>
        <v>6343994</v>
      </c>
      <c r="K78" s="97">
        <f t="shared" si="17"/>
        <v>497693</v>
      </c>
      <c r="L78" s="98">
        <f t="shared" si="20"/>
        <v>5.9999999990686774</v>
      </c>
      <c r="M78" s="98">
        <f t="shared" si="20"/>
        <v>6.9999999998835847</v>
      </c>
      <c r="N78" s="59"/>
      <c r="O78" s="101">
        <f t="shared" si="9"/>
        <v>9.4577553579266687E-7</v>
      </c>
      <c r="P78" s="59">
        <v>2704133</v>
      </c>
      <c r="Q78" s="59">
        <v>247995</v>
      </c>
      <c r="R78" s="59">
        <v>1919593</v>
      </c>
      <c r="S78" s="59">
        <v>91774</v>
      </c>
      <c r="T78" s="59">
        <v>1720268</v>
      </c>
      <c r="U78" s="59">
        <v>157924</v>
      </c>
    </row>
    <row r="79" spans="1:21" ht="15" customHeight="1">
      <c r="A79" s="5"/>
      <c r="B79" s="23" t="s">
        <v>41</v>
      </c>
      <c r="C79" s="24">
        <v>30376120.000000004</v>
      </c>
      <c r="D79" s="24">
        <v>494020.00000000012</v>
      </c>
      <c r="E79" s="25">
        <f t="shared" si="18"/>
        <v>29882100.000000004</v>
      </c>
      <c r="F79" s="26">
        <v>0.51400000000000001</v>
      </c>
      <c r="G79" s="119">
        <f t="shared" si="19"/>
        <v>15359.399400000002</v>
      </c>
      <c r="H79" s="7"/>
      <c r="J79" s="97">
        <f t="shared" si="16"/>
        <v>30376117</v>
      </c>
      <c r="K79" s="97">
        <f t="shared" si="17"/>
        <v>494004</v>
      </c>
      <c r="L79" s="98">
        <f t="shared" si="20"/>
        <v>3.0000000037252903</v>
      </c>
      <c r="M79" s="98">
        <f t="shared" si="20"/>
        <v>16.000000000116415</v>
      </c>
      <c r="N79" s="59"/>
      <c r="O79" s="101">
        <f t="shared" si="9"/>
        <v>9.8761790634396033E-8</v>
      </c>
      <c r="P79" s="59">
        <v>8116834</v>
      </c>
      <c r="Q79" s="59">
        <v>342190</v>
      </c>
      <c r="R79" s="59">
        <v>14561209</v>
      </c>
      <c r="S79" s="59">
        <v>79637</v>
      </c>
      <c r="T79" s="59">
        <v>7698074</v>
      </c>
      <c r="U79" s="59">
        <v>72177</v>
      </c>
    </row>
    <row r="80" spans="1:21" ht="15" customHeight="1">
      <c r="A80" s="5"/>
      <c r="B80" s="23" t="s">
        <v>42</v>
      </c>
      <c r="C80" s="24">
        <v>6209639.9999999991</v>
      </c>
      <c r="D80" s="24">
        <v>577780.00000000012</v>
      </c>
      <c r="E80" s="25">
        <f t="shared" si="18"/>
        <v>5631859.9999999991</v>
      </c>
      <c r="F80" s="26">
        <v>0.51400000000000001</v>
      </c>
      <c r="G80" s="119">
        <f t="shared" si="19"/>
        <v>2894.7760399999993</v>
      </c>
      <c r="H80" s="7"/>
      <c r="J80" s="97">
        <f t="shared" si="16"/>
        <v>6209648</v>
      </c>
      <c r="K80" s="97">
        <f t="shared" si="17"/>
        <v>577771</v>
      </c>
      <c r="L80" s="98">
        <f t="shared" si="20"/>
        <v>-8.0000000009313226</v>
      </c>
      <c r="M80" s="98">
        <f t="shared" si="20"/>
        <v>9.0000000001164153</v>
      </c>
      <c r="N80" s="59"/>
      <c r="O80" s="101">
        <f t="shared" si="9"/>
        <v>-1.2883194518412216E-6</v>
      </c>
      <c r="P80" s="59">
        <v>0</v>
      </c>
      <c r="Q80" s="59">
        <v>401026</v>
      </c>
      <c r="R80" s="59">
        <v>1792384</v>
      </c>
      <c r="S80" s="59">
        <v>97177</v>
      </c>
      <c r="T80" s="59">
        <v>4417264</v>
      </c>
      <c r="U80" s="59">
        <v>79568</v>
      </c>
    </row>
    <row r="81" spans="1:21" ht="6.95" customHeight="1">
      <c r="A81" s="5"/>
      <c r="B81" s="23"/>
      <c r="C81" s="24">
        <v>0</v>
      </c>
      <c r="D81" s="24">
        <v>0</v>
      </c>
      <c r="E81" s="25">
        <f t="shared" si="18"/>
        <v>0</v>
      </c>
      <c r="F81" s="26">
        <v>0.51400000000000001</v>
      </c>
      <c r="G81" s="119">
        <f t="shared" si="19"/>
        <v>0</v>
      </c>
      <c r="H81" s="7"/>
      <c r="J81" s="99"/>
      <c r="K81" s="99"/>
      <c r="L81" s="100"/>
      <c r="M81" s="100"/>
      <c r="N81" s="59"/>
      <c r="O81" s="101"/>
      <c r="P81" s="59"/>
      <c r="Q81" s="59"/>
      <c r="R81" s="59"/>
      <c r="S81" s="59"/>
      <c r="T81" s="59"/>
      <c r="U81" s="59"/>
    </row>
    <row r="82" spans="1:21" ht="17.100000000000001" customHeight="1">
      <c r="A82" s="5"/>
      <c r="B82" s="23" t="s">
        <v>43</v>
      </c>
      <c r="C82" s="24">
        <v>28484149.999999996</v>
      </c>
      <c r="D82" s="24">
        <v>549829.99999999988</v>
      </c>
      <c r="E82" s="25">
        <f t="shared" si="18"/>
        <v>27934319.999999996</v>
      </c>
      <c r="F82" s="26">
        <v>0.51400000000000001</v>
      </c>
      <c r="G82" s="119">
        <f t="shared" si="19"/>
        <v>14358.240479999999</v>
      </c>
      <c r="H82" s="7"/>
      <c r="J82" s="97">
        <f t="shared" ref="J82:J93" si="21">+P82+R82+T82</f>
        <v>28484154</v>
      </c>
      <c r="K82" s="97">
        <f t="shared" ref="K82:K93" si="22">+Q82+S82+U82</f>
        <v>549822</v>
      </c>
      <c r="L82" s="98">
        <f t="shared" ref="L82:L98" si="23">C82-J82</f>
        <v>-4.0000000037252903</v>
      </c>
      <c r="M82" s="98">
        <f t="shared" ref="M82:M98" si="24">D82-K82</f>
        <v>7.9999999998835847</v>
      </c>
      <c r="N82" s="59"/>
      <c r="O82" s="101">
        <f t="shared" si="9"/>
        <v>-1.4042897554342646E-7</v>
      </c>
      <c r="P82" s="59">
        <v>13596149</v>
      </c>
      <c r="Q82" s="59">
        <v>222588</v>
      </c>
      <c r="R82" s="59">
        <v>9720556</v>
      </c>
      <c r="S82" s="59">
        <v>89099</v>
      </c>
      <c r="T82" s="59">
        <v>5167449</v>
      </c>
      <c r="U82" s="59">
        <v>238135</v>
      </c>
    </row>
    <row r="83" spans="1:21" ht="17.100000000000001" customHeight="1">
      <c r="A83" s="5"/>
      <c r="B83" s="23" t="s">
        <v>44</v>
      </c>
      <c r="C83" s="24">
        <v>48304570</v>
      </c>
      <c r="D83" s="24">
        <v>465030</v>
      </c>
      <c r="E83" s="25">
        <f t="shared" si="18"/>
        <v>47839540</v>
      </c>
      <c r="F83" s="26">
        <v>0.51400000000000001</v>
      </c>
      <c r="G83" s="119">
        <f t="shared" si="19"/>
        <v>24589.523560000001</v>
      </c>
      <c r="H83" s="7"/>
      <c r="J83" s="97">
        <f t="shared" si="21"/>
        <v>48304574</v>
      </c>
      <c r="K83" s="97">
        <f t="shared" si="22"/>
        <v>465017</v>
      </c>
      <c r="L83" s="98">
        <f t="shared" si="23"/>
        <v>-4</v>
      </c>
      <c r="M83" s="98">
        <f t="shared" si="24"/>
        <v>13</v>
      </c>
      <c r="N83" s="59"/>
      <c r="O83" s="101">
        <f t="shared" si="9"/>
        <v>-8.2807899956463741E-8</v>
      </c>
      <c r="P83" s="59">
        <v>19631841</v>
      </c>
      <c r="Q83" s="59">
        <v>63343</v>
      </c>
      <c r="R83" s="59">
        <v>18374740</v>
      </c>
      <c r="S83" s="59">
        <v>74069</v>
      </c>
      <c r="T83" s="59">
        <v>10297993</v>
      </c>
      <c r="U83" s="59">
        <v>327605</v>
      </c>
    </row>
    <row r="84" spans="1:21" ht="17.100000000000001" customHeight="1">
      <c r="A84" s="5"/>
      <c r="B84" s="23" t="s">
        <v>87</v>
      </c>
      <c r="C84" s="24">
        <v>49220690.000000015</v>
      </c>
      <c r="D84" s="24">
        <v>413130</v>
      </c>
      <c r="E84" s="25">
        <f t="shared" si="18"/>
        <v>48807560.000000015</v>
      </c>
      <c r="F84" s="26">
        <v>0.51400000000000001</v>
      </c>
      <c r="G84" s="119">
        <f t="shared" si="19"/>
        <v>25087.085840000007</v>
      </c>
      <c r="H84" s="7"/>
      <c r="J84" s="97">
        <f t="shared" si="21"/>
        <v>49220685</v>
      </c>
      <c r="K84" s="97">
        <f t="shared" si="22"/>
        <v>413114</v>
      </c>
      <c r="L84" s="98">
        <f t="shared" si="23"/>
        <v>5.0000000149011612</v>
      </c>
      <c r="M84" s="98">
        <f t="shared" si="24"/>
        <v>16</v>
      </c>
      <c r="N84" s="59"/>
      <c r="O84" s="101">
        <f t="shared" si="9"/>
        <v>1.0158329789568491E-7</v>
      </c>
      <c r="P84" s="59">
        <v>6846954</v>
      </c>
      <c r="Q84" s="59">
        <v>8850</v>
      </c>
      <c r="R84" s="59">
        <v>26572218</v>
      </c>
      <c r="S84" s="59">
        <v>74283</v>
      </c>
      <c r="T84" s="59">
        <v>15801513</v>
      </c>
      <c r="U84" s="59">
        <v>329981</v>
      </c>
    </row>
    <row r="85" spans="1:21" ht="17.100000000000001" customHeight="1">
      <c r="A85" s="5"/>
      <c r="B85" s="23" t="s">
        <v>88</v>
      </c>
      <c r="C85" s="24">
        <v>36280780</v>
      </c>
      <c r="D85" s="24">
        <v>360530</v>
      </c>
      <c r="E85" s="25">
        <f t="shared" si="18"/>
        <v>35920250</v>
      </c>
      <c r="F85" s="26">
        <v>0.51400000000000001</v>
      </c>
      <c r="G85" s="119">
        <f t="shared" si="19"/>
        <v>18463.0085</v>
      </c>
      <c r="H85" s="7"/>
      <c r="J85" s="97">
        <f t="shared" si="21"/>
        <v>36280801</v>
      </c>
      <c r="K85" s="97">
        <f t="shared" si="22"/>
        <v>360532</v>
      </c>
      <c r="L85" s="98">
        <f t="shared" si="23"/>
        <v>-21</v>
      </c>
      <c r="M85" s="98">
        <f t="shared" si="24"/>
        <v>-2</v>
      </c>
      <c r="N85" s="59"/>
      <c r="O85" s="101">
        <f t="shared" si="9"/>
        <v>-5.7881886773106864E-7</v>
      </c>
      <c r="P85" s="59">
        <v>18436624</v>
      </c>
      <c r="Q85" s="59">
        <v>180169</v>
      </c>
      <c r="R85" s="59">
        <v>4948170</v>
      </c>
      <c r="S85" s="59">
        <v>41036</v>
      </c>
      <c r="T85" s="59">
        <v>12896007</v>
      </c>
      <c r="U85" s="59">
        <v>139327</v>
      </c>
    </row>
    <row r="86" spans="1:21" ht="17.100000000000001" customHeight="1">
      <c r="A86" s="5"/>
      <c r="B86" s="23" t="s">
        <v>89</v>
      </c>
      <c r="C86" s="24">
        <v>13574179.999999994</v>
      </c>
      <c r="D86" s="24">
        <v>462729.99999999994</v>
      </c>
      <c r="E86" s="25">
        <f t="shared" si="18"/>
        <v>13111449.999999994</v>
      </c>
      <c r="F86" s="26">
        <v>0.51400000000000001</v>
      </c>
      <c r="G86" s="119">
        <f t="shared" si="19"/>
        <v>6739.2852999999977</v>
      </c>
      <c r="H86" s="7"/>
      <c r="J86" s="97">
        <f t="shared" si="21"/>
        <v>13574193</v>
      </c>
      <c r="K86" s="97">
        <f t="shared" si="22"/>
        <v>462715</v>
      </c>
      <c r="L86" s="98">
        <f t="shared" si="23"/>
        <v>-13.000000005587935</v>
      </c>
      <c r="M86" s="98">
        <f t="shared" si="24"/>
        <v>14.999999999941792</v>
      </c>
      <c r="N86" s="59"/>
      <c r="O86" s="101">
        <f t="shared" si="9"/>
        <v>-9.5770057606337472E-7</v>
      </c>
      <c r="P86" s="59">
        <v>4028802</v>
      </c>
      <c r="Q86" s="59">
        <v>256576</v>
      </c>
      <c r="R86" s="59">
        <v>3709967</v>
      </c>
      <c r="S86" s="59">
        <v>68233</v>
      </c>
      <c r="T86" s="59">
        <v>5835424</v>
      </c>
      <c r="U86" s="59">
        <v>137906</v>
      </c>
    </row>
    <row r="87" spans="1:21" ht="17.100000000000001" customHeight="1">
      <c r="A87" s="5"/>
      <c r="B87" s="28" t="s">
        <v>90</v>
      </c>
      <c r="C87" s="24">
        <v>31425070</v>
      </c>
      <c r="D87" s="24">
        <v>459730</v>
      </c>
      <c r="E87" s="25">
        <f t="shared" si="18"/>
        <v>30965340</v>
      </c>
      <c r="F87" s="26">
        <v>0.51400000000000001</v>
      </c>
      <c r="G87" s="119">
        <f t="shared" si="19"/>
        <v>15916.18476</v>
      </c>
      <c r="H87" s="7"/>
      <c r="J87" s="97">
        <f t="shared" si="21"/>
        <v>31425061</v>
      </c>
      <c r="K87" s="97">
        <f t="shared" si="22"/>
        <v>459724</v>
      </c>
      <c r="L87" s="98">
        <f t="shared" si="23"/>
        <v>9</v>
      </c>
      <c r="M87" s="98">
        <f t="shared" si="24"/>
        <v>6</v>
      </c>
      <c r="N87" s="59"/>
      <c r="O87" s="101">
        <f t="shared" si="9"/>
        <v>2.8639554343077041E-7</v>
      </c>
      <c r="P87" s="59">
        <v>13395577</v>
      </c>
      <c r="Q87" s="59">
        <v>81138</v>
      </c>
      <c r="R87" s="59">
        <v>11015254</v>
      </c>
      <c r="S87" s="59">
        <v>77980</v>
      </c>
      <c r="T87" s="59">
        <v>7014230</v>
      </c>
      <c r="U87" s="59">
        <v>300606</v>
      </c>
    </row>
    <row r="88" spans="1:21" ht="17.100000000000001" customHeight="1">
      <c r="A88" s="5"/>
      <c r="B88" s="28" t="s">
        <v>91</v>
      </c>
      <c r="C88" s="24">
        <v>102879229.99999997</v>
      </c>
      <c r="D88" s="24">
        <v>332250</v>
      </c>
      <c r="E88" s="25">
        <f t="shared" si="18"/>
        <v>102546979.99999997</v>
      </c>
      <c r="F88" s="26">
        <v>0.51400000000000001</v>
      </c>
      <c r="G88" s="119">
        <f t="shared" si="19"/>
        <v>52709.147719999986</v>
      </c>
      <c r="H88" s="7"/>
      <c r="J88" s="97">
        <f t="shared" si="21"/>
        <v>102879235</v>
      </c>
      <c r="K88" s="97">
        <f t="shared" si="22"/>
        <v>332219</v>
      </c>
      <c r="L88" s="98">
        <f t="shared" si="23"/>
        <v>-5.0000000298023224</v>
      </c>
      <c r="M88" s="98">
        <f t="shared" si="24"/>
        <v>31</v>
      </c>
      <c r="N88" s="59"/>
      <c r="O88" s="101">
        <f t="shared" si="9"/>
        <v>-4.8600675080891678E-8</v>
      </c>
      <c r="P88" s="59">
        <v>53014948</v>
      </c>
      <c r="Q88" s="59">
        <v>50357</v>
      </c>
      <c r="R88" s="59">
        <v>22267969</v>
      </c>
      <c r="S88" s="59">
        <v>18506</v>
      </c>
      <c r="T88" s="59">
        <v>27596318</v>
      </c>
      <c r="U88" s="59">
        <v>263356</v>
      </c>
    </row>
    <row r="89" spans="1:21" ht="17.100000000000001" customHeight="1">
      <c r="A89" s="57"/>
      <c r="B89" s="28" t="s">
        <v>92</v>
      </c>
      <c r="C89" s="24">
        <v>101844659.99999999</v>
      </c>
      <c r="D89" s="24">
        <v>326260</v>
      </c>
      <c r="E89" s="25">
        <f t="shared" si="18"/>
        <v>101518399.99999999</v>
      </c>
      <c r="F89" s="26">
        <v>0.51400000000000001</v>
      </c>
      <c r="G89" s="119">
        <f t="shared" si="19"/>
        <v>52180.457599999994</v>
      </c>
      <c r="H89" s="7"/>
      <c r="J89" s="97">
        <f t="shared" si="21"/>
        <v>101844648</v>
      </c>
      <c r="K89" s="97">
        <f t="shared" si="22"/>
        <v>326275</v>
      </c>
      <c r="L89" s="98">
        <f t="shared" si="23"/>
        <v>11.999999985098839</v>
      </c>
      <c r="M89" s="98">
        <f t="shared" si="24"/>
        <v>-15</v>
      </c>
      <c r="N89" s="59"/>
      <c r="O89" s="101">
        <f t="shared" ref="O89:O108" si="25">L89/C89</f>
        <v>1.1782650150826603E-7</v>
      </c>
      <c r="P89" s="59">
        <v>54414807</v>
      </c>
      <c r="Q89" s="59">
        <v>66238</v>
      </c>
      <c r="R89" s="59">
        <v>34975637</v>
      </c>
      <c r="S89" s="59">
        <v>5308</v>
      </c>
      <c r="T89" s="59">
        <v>12454204</v>
      </c>
      <c r="U89" s="59">
        <v>254729</v>
      </c>
    </row>
    <row r="90" spans="1:21" ht="17.100000000000001" customHeight="1">
      <c r="A90" s="5"/>
      <c r="B90" s="28" t="s">
        <v>93</v>
      </c>
      <c r="C90" s="24">
        <v>98441540</v>
      </c>
      <c r="D90" s="24">
        <v>258159.99999999997</v>
      </c>
      <c r="E90" s="25">
        <f t="shared" si="18"/>
        <v>98183380</v>
      </c>
      <c r="F90" s="26">
        <v>0.51400000000000001</v>
      </c>
      <c r="G90" s="119">
        <f t="shared" si="19"/>
        <v>50466.257320000004</v>
      </c>
      <c r="H90" s="7"/>
      <c r="J90" s="97">
        <f t="shared" si="21"/>
        <v>98441527</v>
      </c>
      <c r="K90" s="97">
        <f t="shared" si="22"/>
        <v>258176</v>
      </c>
      <c r="L90" s="98">
        <f t="shared" si="23"/>
        <v>13</v>
      </c>
      <c r="M90" s="98">
        <f t="shared" si="24"/>
        <v>-16.000000000029104</v>
      </c>
      <c r="N90" s="59"/>
      <c r="O90" s="101">
        <f t="shared" si="25"/>
        <v>1.3205807223251486E-7</v>
      </c>
      <c r="P90" s="59">
        <v>50123242</v>
      </c>
      <c r="Q90" s="59">
        <v>109345</v>
      </c>
      <c r="R90" s="59">
        <v>38526228</v>
      </c>
      <c r="S90" s="59">
        <v>9831</v>
      </c>
      <c r="T90" s="59">
        <v>9792057</v>
      </c>
      <c r="U90" s="59">
        <v>139000</v>
      </c>
    </row>
    <row r="91" spans="1:21" ht="17.100000000000001" customHeight="1">
      <c r="A91" s="5"/>
      <c r="B91" s="28" t="s">
        <v>94</v>
      </c>
      <c r="C91" s="24">
        <v>42335139.999999985</v>
      </c>
      <c r="D91" s="24">
        <v>197970.00000000003</v>
      </c>
      <c r="E91" s="25">
        <f t="shared" si="18"/>
        <v>42137169.999999985</v>
      </c>
      <c r="F91" s="26">
        <v>0.51400000000000001</v>
      </c>
      <c r="G91" s="119">
        <f t="shared" si="19"/>
        <v>21658.505379999991</v>
      </c>
      <c r="H91" s="7"/>
      <c r="J91" s="97">
        <f t="shared" si="21"/>
        <v>42335139</v>
      </c>
      <c r="K91" s="97">
        <f t="shared" si="22"/>
        <v>197984</v>
      </c>
      <c r="L91" s="98">
        <f t="shared" si="23"/>
        <v>0.99999998509883881</v>
      </c>
      <c r="M91" s="98">
        <f t="shared" si="24"/>
        <v>-13.999999999970896</v>
      </c>
      <c r="N91" s="59"/>
      <c r="O91" s="101">
        <f t="shared" si="25"/>
        <v>2.3621038813119296E-8</v>
      </c>
      <c r="P91" s="59">
        <v>27666288</v>
      </c>
      <c r="Q91" s="59">
        <v>195503</v>
      </c>
      <c r="R91" s="59">
        <v>14668851</v>
      </c>
      <c r="S91" s="59">
        <v>2481</v>
      </c>
      <c r="T91" s="59">
        <v>0</v>
      </c>
      <c r="U91" s="59">
        <v>0</v>
      </c>
    </row>
    <row r="92" spans="1:21" ht="17.100000000000001" customHeight="1">
      <c r="A92" s="5"/>
      <c r="B92" s="28" t="s">
        <v>95</v>
      </c>
      <c r="C92" s="24">
        <v>61269560</v>
      </c>
      <c r="D92" s="24">
        <v>200570</v>
      </c>
      <c r="E92" s="25">
        <f t="shared" si="18"/>
        <v>61068990</v>
      </c>
      <c r="F92" s="26">
        <v>0.51400000000000001</v>
      </c>
      <c r="G92" s="119">
        <f t="shared" si="19"/>
        <v>31389.460859999999</v>
      </c>
      <c r="H92" s="7"/>
      <c r="J92" s="97">
        <f t="shared" si="21"/>
        <v>61269551</v>
      </c>
      <c r="K92" s="97">
        <f t="shared" si="22"/>
        <v>200560</v>
      </c>
      <c r="L92" s="98">
        <f t="shared" si="23"/>
        <v>9</v>
      </c>
      <c r="M92" s="98">
        <f t="shared" si="24"/>
        <v>10</v>
      </c>
      <c r="N92" s="59"/>
      <c r="O92" s="101">
        <f t="shared" si="25"/>
        <v>1.468918660424524E-7</v>
      </c>
      <c r="P92" s="59">
        <v>38757047</v>
      </c>
      <c r="Q92" s="59">
        <v>185949</v>
      </c>
      <c r="R92" s="59">
        <v>22512504</v>
      </c>
      <c r="S92" s="59">
        <v>4062</v>
      </c>
      <c r="T92" s="59">
        <v>0</v>
      </c>
      <c r="U92" s="59">
        <v>10549</v>
      </c>
    </row>
    <row r="93" spans="1:21" ht="17.100000000000001" customHeight="1">
      <c r="A93" s="5"/>
      <c r="B93" s="28" t="s">
        <v>96</v>
      </c>
      <c r="C93" s="24">
        <v>37327380.000000007</v>
      </c>
      <c r="D93" s="24">
        <v>283940</v>
      </c>
      <c r="E93" s="25">
        <f t="shared" si="18"/>
        <v>37043440.000000007</v>
      </c>
      <c r="F93" s="26">
        <v>0.51400000000000001</v>
      </c>
      <c r="G93" s="119">
        <f t="shared" si="19"/>
        <v>19040.328160000005</v>
      </c>
      <c r="H93" s="7"/>
      <c r="J93" s="97">
        <f t="shared" si="21"/>
        <v>37327377</v>
      </c>
      <c r="K93" s="97">
        <f t="shared" si="22"/>
        <v>283955</v>
      </c>
      <c r="L93" s="98">
        <f t="shared" si="23"/>
        <v>3.0000000074505806</v>
      </c>
      <c r="M93" s="98">
        <f t="shared" si="24"/>
        <v>-15</v>
      </c>
      <c r="N93" s="59"/>
      <c r="O93" s="101">
        <f t="shared" si="25"/>
        <v>8.0369959194847854E-8</v>
      </c>
      <c r="P93" s="59">
        <v>22593949</v>
      </c>
      <c r="Q93" s="59">
        <v>251176</v>
      </c>
      <c r="R93" s="59">
        <v>14733428</v>
      </c>
      <c r="S93" s="59">
        <v>32779</v>
      </c>
      <c r="T93" s="59">
        <v>0</v>
      </c>
      <c r="U93" s="59">
        <v>0</v>
      </c>
    </row>
    <row r="94" spans="1:21" ht="6.95" customHeight="1">
      <c r="A94" s="5"/>
      <c r="B94" s="28"/>
      <c r="C94" s="24">
        <v>0</v>
      </c>
      <c r="D94" s="24">
        <v>0</v>
      </c>
      <c r="E94" s="25"/>
      <c r="F94" s="26"/>
      <c r="G94" s="119"/>
      <c r="H94" s="7"/>
      <c r="J94" s="99"/>
      <c r="K94" s="99"/>
      <c r="L94" s="98"/>
      <c r="M94" s="98"/>
      <c r="N94" s="59"/>
      <c r="O94" s="101"/>
      <c r="P94" s="59"/>
      <c r="Q94" s="59"/>
      <c r="R94" s="59"/>
      <c r="S94" s="59"/>
      <c r="T94" s="59"/>
      <c r="U94" s="59"/>
    </row>
    <row r="95" spans="1:21" ht="17.100000000000001" customHeight="1">
      <c r="A95" s="5"/>
      <c r="B95" s="28" t="s">
        <v>97</v>
      </c>
      <c r="C95" s="24">
        <v>9195220</v>
      </c>
      <c r="D95" s="24">
        <v>364080.00000000012</v>
      </c>
      <c r="E95" s="25">
        <f t="shared" si="18"/>
        <v>8831140</v>
      </c>
      <c r="F95" s="26">
        <v>0.51400000000000001</v>
      </c>
      <c r="G95" s="119">
        <f t="shared" si="19"/>
        <v>4539.2059600000002</v>
      </c>
      <c r="H95" s="7"/>
      <c r="J95" s="97">
        <f t="shared" ref="J95:K98" si="26">+P95+R95+T95</f>
        <v>9195206</v>
      </c>
      <c r="K95" s="97">
        <f t="shared" si="26"/>
        <v>364097</v>
      </c>
      <c r="L95" s="98">
        <f t="shared" si="23"/>
        <v>14</v>
      </c>
      <c r="M95" s="98">
        <f t="shared" si="24"/>
        <v>-16.999999999883585</v>
      </c>
      <c r="N95" s="59"/>
      <c r="O95" s="101">
        <f t="shared" si="25"/>
        <v>1.5225301841609009E-6</v>
      </c>
      <c r="P95" s="59">
        <v>6576770</v>
      </c>
      <c r="Q95" s="59">
        <v>304699</v>
      </c>
      <c r="R95" s="59">
        <v>2618436</v>
      </c>
      <c r="S95" s="59">
        <v>59398</v>
      </c>
      <c r="T95" s="59">
        <v>0</v>
      </c>
      <c r="U95" s="59">
        <v>0</v>
      </c>
    </row>
    <row r="96" spans="1:21" ht="17.100000000000001" customHeight="1">
      <c r="A96" s="5"/>
      <c r="B96" s="28" t="s">
        <v>98</v>
      </c>
      <c r="C96" s="24">
        <v>4698840</v>
      </c>
      <c r="D96" s="24">
        <v>380880</v>
      </c>
      <c r="E96" s="25">
        <f t="shared" si="18"/>
        <v>4317960</v>
      </c>
      <c r="F96" s="26">
        <v>0.51400000000000001</v>
      </c>
      <c r="G96" s="119">
        <f t="shared" si="19"/>
        <v>2219.4314400000003</v>
      </c>
      <c r="H96" s="7"/>
      <c r="J96" s="97">
        <f t="shared" si="26"/>
        <v>4698825</v>
      </c>
      <c r="K96" s="97">
        <f t="shared" si="26"/>
        <v>380855</v>
      </c>
      <c r="L96" s="98">
        <f t="shared" si="23"/>
        <v>15</v>
      </c>
      <c r="M96" s="98">
        <f t="shared" si="24"/>
        <v>25</v>
      </c>
      <c r="N96" s="59"/>
      <c r="O96" s="101">
        <f t="shared" si="25"/>
        <v>3.1922772428939909E-6</v>
      </c>
      <c r="P96" s="59">
        <v>1314747</v>
      </c>
      <c r="Q96" s="59">
        <v>311938</v>
      </c>
      <c r="R96" s="59">
        <v>3384078</v>
      </c>
      <c r="S96" s="59">
        <v>68917</v>
      </c>
      <c r="T96" s="59">
        <v>0</v>
      </c>
      <c r="U96" s="59">
        <v>0</v>
      </c>
    </row>
    <row r="97" spans="1:21" ht="17.100000000000001" customHeight="1">
      <c r="A97" s="5"/>
      <c r="B97" s="28" t="s">
        <v>99</v>
      </c>
      <c r="C97" s="24">
        <v>10318400</v>
      </c>
      <c r="D97" s="24">
        <v>424309.99999999988</v>
      </c>
      <c r="E97" s="25">
        <f t="shared" si="18"/>
        <v>9894090</v>
      </c>
      <c r="F97" s="26">
        <v>0.51400000000000001</v>
      </c>
      <c r="G97" s="119">
        <f t="shared" si="19"/>
        <v>5085.5622600000006</v>
      </c>
      <c r="H97" s="7"/>
      <c r="J97" s="97">
        <f t="shared" si="26"/>
        <v>10318390</v>
      </c>
      <c r="K97" s="97">
        <f t="shared" si="26"/>
        <v>424346</v>
      </c>
      <c r="L97" s="98">
        <f t="shared" si="23"/>
        <v>10</v>
      </c>
      <c r="M97" s="98">
        <f t="shared" si="24"/>
        <v>-36.000000000116415</v>
      </c>
      <c r="N97" s="59"/>
      <c r="O97" s="101">
        <f t="shared" si="25"/>
        <v>9.6914250271359898E-7</v>
      </c>
      <c r="P97" s="59">
        <v>2096361</v>
      </c>
      <c r="Q97" s="59">
        <v>326785</v>
      </c>
      <c r="R97" s="59">
        <v>2892655</v>
      </c>
      <c r="S97" s="59">
        <v>72812</v>
      </c>
      <c r="T97" s="59">
        <v>5329374</v>
      </c>
      <c r="U97" s="59">
        <v>24749</v>
      </c>
    </row>
    <row r="98" spans="1:21" ht="17.100000000000001" customHeight="1" thickBot="1">
      <c r="A98" s="5"/>
      <c r="B98" s="28" t="s">
        <v>100</v>
      </c>
      <c r="C98" s="24">
        <v>5172440</v>
      </c>
      <c r="D98" s="24">
        <v>405379.99999999994</v>
      </c>
      <c r="E98" s="25">
        <f t="shared" si="18"/>
        <v>4767060</v>
      </c>
      <c r="F98" s="26">
        <v>0.51400000000000001</v>
      </c>
      <c r="G98" s="119">
        <f t="shared" si="19"/>
        <v>2450.2688400000002</v>
      </c>
      <c r="H98" s="7"/>
      <c r="J98" s="97">
        <f t="shared" si="26"/>
        <v>5172435</v>
      </c>
      <c r="K98" s="97">
        <f t="shared" si="26"/>
        <v>405391</v>
      </c>
      <c r="L98" s="98">
        <f t="shared" si="23"/>
        <v>5</v>
      </c>
      <c r="M98" s="98">
        <f t="shared" si="24"/>
        <v>-11.000000000058208</v>
      </c>
      <c r="N98" s="59"/>
      <c r="O98" s="101">
        <f t="shared" si="25"/>
        <v>9.6666176891370419E-7</v>
      </c>
      <c r="P98" s="59">
        <v>926406</v>
      </c>
      <c r="Q98" s="59">
        <v>310494</v>
      </c>
      <c r="R98" s="59">
        <v>1777572</v>
      </c>
      <c r="S98" s="59">
        <v>49213</v>
      </c>
      <c r="T98" s="59">
        <v>2468457</v>
      </c>
      <c r="U98" s="59">
        <v>45684</v>
      </c>
    </row>
    <row r="99" spans="1:21" ht="30.95" customHeight="1" thickBot="1">
      <c r="A99" s="5"/>
      <c r="B99" s="63"/>
      <c r="C99" s="8"/>
      <c r="D99" s="8"/>
      <c r="E99" s="8"/>
      <c r="F99" s="26"/>
      <c r="G99" s="27"/>
      <c r="H99" s="22" t="s">
        <v>180</v>
      </c>
      <c r="L99" s="40"/>
      <c r="M99" s="40"/>
      <c r="N99" s="40"/>
      <c r="O99" s="43"/>
    </row>
    <row r="100" spans="1:21" ht="30.95" customHeight="1" thickBot="1">
      <c r="A100" s="5"/>
      <c r="B100" s="29" t="s">
        <v>101</v>
      </c>
      <c r="C100" s="32">
        <f>SUM(C24:C28)</f>
        <v>512004460</v>
      </c>
      <c r="D100" s="32">
        <f>SUM(D24:D28)</f>
        <v>1946060</v>
      </c>
      <c r="E100" s="32">
        <f>SUM(E24:E28)</f>
        <v>510058400</v>
      </c>
      <c r="F100" s="26">
        <f t="shared" ref="F100:F108" si="27">$K$2</f>
        <v>0.51400000000000001</v>
      </c>
      <c r="G100" s="27">
        <f>(E100/1000)*F100</f>
        <v>262170.01760000002</v>
      </c>
      <c r="H100" s="30">
        <f>ROUNDDOWN(G100,0)</f>
        <v>262170</v>
      </c>
      <c r="L100" s="40"/>
      <c r="M100" s="40"/>
      <c r="O100" s="43"/>
    </row>
    <row r="101" spans="1:21" ht="30.95" customHeight="1" thickBot="1">
      <c r="A101" s="5"/>
      <c r="B101" s="29" t="s">
        <v>75</v>
      </c>
      <c r="C101" s="32">
        <f>SUM(C30:C41)</f>
        <v>928403980</v>
      </c>
      <c r="D101" s="32">
        <f>SUM(D30:D41)</f>
        <v>8345860</v>
      </c>
      <c r="E101" s="32">
        <f>SUM(E30:E41)</f>
        <v>920058120</v>
      </c>
      <c r="F101" s="26">
        <f t="shared" si="27"/>
        <v>0.51400000000000001</v>
      </c>
      <c r="G101" s="27">
        <f t="shared" si="19"/>
        <v>472909.87368000002</v>
      </c>
      <c r="H101" s="30">
        <f t="shared" ref="H101:H106" si="28">ROUNDDOWN(G101,0)</f>
        <v>472909</v>
      </c>
      <c r="L101" s="40"/>
      <c r="M101" s="40"/>
      <c r="O101" s="43"/>
    </row>
    <row r="102" spans="1:21" ht="30.95" customHeight="1" thickBot="1">
      <c r="A102" s="5"/>
      <c r="B102" s="29" t="s">
        <v>76</v>
      </c>
      <c r="C102" s="32">
        <f>SUM(C43:C54)</f>
        <v>827413660</v>
      </c>
      <c r="D102" s="32">
        <f>SUM(D43:D54)</f>
        <v>5780050</v>
      </c>
      <c r="E102" s="32">
        <f>SUM(E43:E54)</f>
        <v>821633610</v>
      </c>
      <c r="F102" s="26">
        <f t="shared" si="27"/>
        <v>0.51400000000000001</v>
      </c>
      <c r="G102" s="27">
        <f t="shared" si="19"/>
        <v>422319.67554000003</v>
      </c>
      <c r="H102" s="30">
        <f t="shared" si="28"/>
        <v>422319</v>
      </c>
      <c r="L102" s="40"/>
      <c r="M102" s="40"/>
      <c r="O102" s="43"/>
    </row>
    <row r="103" spans="1:21" ht="30.95" customHeight="1" thickBot="1">
      <c r="A103" s="5"/>
      <c r="B103" s="31" t="s">
        <v>45</v>
      </c>
      <c r="C103" s="32">
        <f>SUM(C56:C67)</f>
        <v>586973340</v>
      </c>
      <c r="D103" s="32">
        <f>SUM(D56:D67)</f>
        <v>5791470</v>
      </c>
      <c r="E103" s="32">
        <f>SUM(E56:E67)</f>
        <v>581181870</v>
      </c>
      <c r="F103" s="26">
        <f t="shared" si="27"/>
        <v>0.51400000000000001</v>
      </c>
      <c r="G103" s="27">
        <f t="shared" si="19"/>
        <v>298727.48118</v>
      </c>
      <c r="H103" s="30">
        <f t="shared" si="28"/>
        <v>298727</v>
      </c>
      <c r="L103" s="40"/>
      <c r="M103" s="40"/>
      <c r="O103" s="43"/>
    </row>
    <row r="104" spans="1:21" ht="35.25" customHeight="1" thickBot="1">
      <c r="A104" s="5"/>
      <c r="B104" s="31" t="s">
        <v>46</v>
      </c>
      <c r="C104" s="32">
        <f>SUM(C69:C80)</f>
        <v>470168220</v>
      </c>
      <c r="D104" s="32">
        <f>SUM(D69:D80)</f>
        <v>5472769.9999999991</v>
      </c>
      <c r="E104" s="32">
        <f>SUM(E69:E80)</f>
        <v>464695450</v>
      </c>
      <c r="F104" s="26">
        <f t="shared" si="27"/>
        <v>0.51400000000000001</v>
      </c>
      <c r="G104" s="27">
        <f t="shared" si="19"/>
        <v>238853.46130000002</v>
      </c>
      <c r="H104" s="30">
        <f t="shared" si="28"/>
        <v>238853</v>
      </c>
      <c r="L104" s="40"/>
      <c r="M104" s="40"/>
      <c r="O104" s="43"/>
    </row>
    <row r="105" spans="1:21" ht="32.25" thickBot="1">
      <c r="A105" s="65"/>
      <c r="B105" s="31" t="s">
        <v>159</v>
      </c>
      <c r="C105" s="32">
        <f>SUM(C82:C93)</f>
        <v>651386950</v>
      </c>
      <c r="D105" s="32">
        <f>SUM(D82:D93)</f>
        <v>4310130</v>
      </c>
      <c r="E105" s="32">
        <f>SUM(E82:E93)</f>
        <v>647076820</v>
      </c>
      <c r="F105" s="26">
        <f t="shared" si="27"/>
        <v>0.51400000000000001</v>
      </c>
      <c r="G105" s="27">
        <f t="shared" si="19"/>
        <v>332597.48547999997</v>
      </c>
      <c r="H105" s="30">
        <f t="shared" si="28"/>
        <v>332597</v>
      </c>
      <c r="L105" s="40"/>
      <c r="M105" s="40"/>
      <c r="O105" s="43"/>
    </row>
    <row r="106" spans="1:21" ht="32.25" thickBot="1">
      <c r="A106" s="65"/>
      <c r="B106" s="31" t="s">
        <v>160</v>
      </c>
      <c r="C106" s="32">
        <f>SUM(C95:C98)</f>
        <v>29384900</v>
      </c>
      <c r="D106" s="32">
        <f>SUM(D95:D98)</f>
        <v>1574650</v>
      </c>
      <c r="E106" s="32">
        <f>SUM(E95:E98)</f>
        <v>27810250</v>
      </c>
      <c r="F106" s="26">
        <f t="shared" si="27"/>
        <v>0.51400000000000001</v>
      </c>
      <c r="G106" s="27">
        <f>(E106/1000)*F106</f>
        <v>14294.468500000001</v>
      </c>
      <c r="H106" s="30">
        <f t="shared" si="28"/>
        <v>14294</v>
      </c>
      <c r="J106" s="174" t="s">
        <v>171</v>
      </c>
      <c r="K106" s="175"/>
      <c r="L106" s="175"/>
      <c r="M106" s="175"/>
      <c r="N106" s="175"/>
      <c r="O106" s="176"/>
    </row>
    <row r="107" spans="1:21" ht="16.5" thickBot="1">
      <c r="A107" s="65"/>
      <c r="B107" s="63"/>
      <c r="C107" s="63"/>
      <c r="D107" s="63"/>
      <c r="E107" s="63"/>
      <c r="F107" s="26"/>
      <c r="G107" s="63"/>
      <c r="H107" s="64"/>
      <c r="L107" s="40"/>
      <c r="M107" s="40"/>
      <c r="O107" s="102"/>
    </row>
    <row r="108" spans="1:21" ht="42.6" customHeight="1" thickBot="1">
      <c r="A108" s="5"/>
      <c r="B108" s="58" t="s">
        <v>161</v>
      </c>
      <c r="C108" s="33">
        <f>SUM(C100:C106)</f>
        <v>4005735510</v>
      </c>
      <c r="D108" s="33">
        <f>SUM(D100:D106)</f>
        <v>33220990</v>
      </c>
      <c r="E108" s="33">
        <f>SUM(E100:E106)</f>
        <v>3972514520</v>
      </c>
      <c r="F108" s="26">
        <f t="shared" si="27"/>
        <v>0.51400000000000001</v>
      </c>
      <c r="G108" s="27">
        <f>(E108/1000)*F108</f>
        <v>2041872.46328</v>
      </c>
      <c r="H108" s="94">
        <f>SUM(H100:H106)</f>
        <v>2041869</v>
      </c>
      <c r="I108" s="41"/>
      <c r="J108" s="114">
        <f>SUM(J24:J98)</f>
        <v>4005735439</v>
      </c>
      <c r="K108" s="115">
        <f>SUM(K24:K98)</f>
        <v>33220078</v>
      </c>
      <c r="L108" s="116">
        <f>C108-J108</f>
        <v>71</v>
      </c>
      <c r="M108" s="116">
        <f t="shared" ref="M108" si="29">D108-K108</f>
        <v>912</v>
      </c>
      <c r="N108" s="117"/>
      <c r="O108" s="118">
        <f t="shared" si="25"/>
        <v>1.7724585116205037E-8</v>
      </c>
    </row>
    <row r="109" spans="1:21" ht="15" customHeight="1" thickBot="1">
      <c r="A109" s="5"/>
      <c r="B109" s="8"/>
      <c r="C109" s="8"/>
      <c r="D109" s="8"/>
      <c r="E109" s="8"/>
      <c r="F109" s="8"/>
      <c r="G109" s="8"/>
      <c r="H109" s="7"/>
      <c r="L109" s="103">
        <f>71/J108</f>
        <v>1.7724585430365961E-8</v>
      </c>
      <c r="M109" s="103">
        <f>71/K108</f>
        <v>2.1372616885487145E-6</v>
      </c>
      <c r="O109" s="43"/>
    </row>
    <row r="110" spans="1:21" ht="15" customHeight="1" thickBot="1">
      <c r="A110" s="5"/>
      <c r="B110" s="196" t="s">
        <v>6</v>
      </c>
      <c r="C110" s="197"/>
      <c r="D110" s="197"/>
      <c r="E110" s="197"/>
      <c r="F110" s="197"/>
      <c r="G110" s="198"/>
      <c r="H110" s="7"/>
      <c r="L110" s="40"/>
      <c r="M110" s="40"/>
      <c r="O110" s="43"/>
    </row>
    <row r="111" spans="1:21" ht="15" customHeight="1" thickBot="1">
      <c r="A111" s="5"/>
      <c r="B111" s="8"/>
      <c r="C111" s="8"/>
      <c r="D111" s="8"/>
      <c r="E111" s="8"/>
      <c r="F111" s="8"/>
      <c r="G111" s="8"/>
      <c r="H111" s="7"/>
      <c r="L111" s="40"/>
      <c r="M111" s="40"/>
      <c r="O111" s="43"/>
    </row>
    <row r="112" spans="1:21" ht="15" customHeight="1" thickBot="1">
      <c r="A112" s="5"/>
      <c r="B112" s="199" t="s">
        <v>175</v>
      </c>
      <c r="C112" s="200"/>
      <c r="D112" s="200"/>
      <c r="E112" s="200"/>
      <c r="F112" s="200"/>
      <c r="G112" s="201"/>
      <c r="H112" s="7"/>
      <c r="J112" s="51"/>
      <c r="L112" s="40"/>
      <c r="M112" s="40"/>
      <c r="O112" s="43"/>
    </row>
    <row r="113" spans="1:15" ht="15" customHeight="1">
      <c r="A113" s="5"/>
      <c r="B113" s="8"/>
      <c r="C113" s="8"/>
      <c r="D113" s="8"/>
      <c r="E113" s="8"/>
      <c r="F113" s="8"/>
      <c r="G113" s="8"/>
      <c r="H113" s="7"/>
      <c r="L113" s="40"/>
      <c r="M113" s="40"/>
      <c r="O113" s="43"/>
    </row>
    <row r="114" spans="1:15" ht="15" customHeight="1">
      <c r="A114" s="5"/>
      <c r="B114" s="202" t="s">
        <v>8</v>
      </c>
      <c r="C114" s="202"/>
      <c r="D114" s="202"/>
      <c r="E114" s="202"/>
      <c r="F114" s="202"/>
      <c r="G114" s="202"/>
      <c r="H114" s="7"/>
      <c r="L114" s="40"/>
      <c r="M114" s="40"/>
      <c r="O114" s="43"/>
    </row>
    <row r="115" spans="1:15" ht="15" customHeight="1" thickBot="1">
      <c r="A115" s="5"/>
      <c r="B115" s="8"/>
      <c r="C115" s="8"/>
      <c r="D115" s="8"/>
      <c r="E115" s="8"/>
      <c r="F115" s="8"/>
      <c r="G115" s="8"/>
      <c r="H115" s="7"/>
      <c r="L115" s="40"/>
      <c r="M115" s="40"/>
      <c r="O115" s="43"/>
    </row>
    <row r="116" spans="1:15" ht="15" customHeight="1" thickBot="1">
      <c r="A116" s="5"/>
      <c r="B116" s="203" t="s">
        <v>174</v>
      </c>
      <c r="C116" s="204"/>
      <c r="D116" s="204"/>
      <c r="E116" s="204"/>
      <c r="F116" s="204"/>
      <c r="G116" s="205"/>
      <c r="H116" s="7"/>
      <c r="L116" s="40"/>
      <c r="M116" s="40"/>
      <c r="O116" s="43"/>
    </row>
    <row r="117" spans="1:15" ht="15" customHeight="1" thickBot="1">
      <c r="A117" s="5"/>
      <c r="B117" s="8"/>
      <c r="C117" s="8"/>
      <c r="D117" s="8"/>
      <c r="E117" s="8"/>
      <c r="F117" s="8"/>
      <c r="G117" s="8"/>
      <c r="H117" s="7"/>
      <c r="L117" s="40"/>
      <c r="M117" s="40"/>
      <c r="O117" s="43"/>
    </row>
    <row r="118" spans="1:15" ht="15" customHeight="1" thickBot="1">
      <c r="A118" s="5"/>
      <c r="B118" s="191" t="s">
        <v>9</v>
      </c>
      <c r="C118" s="192"/>
      <c r="D118" s="192"/>
      <c r="E118" s="192"/>
      <c r="F118" s="192"/>
      <c r="G118" s="193"/>
      <c r="H118" s="7"/>
      <c r="L118" s="40"/>
      <c r="M118" s="40"/>
      <c r="O118" s="43"/>
    </row>
    <row r="119" spans="1:15" ht="15" customHeight="1">
      <c r="A119" s="5"/>
      <c r="B119" s="8"/>
      <c r="C119" s="8"/>
      <c r="D119" s="8"/>
      <c r="E119" s="8"/>
      <c r="F119" s="8"/>
      <c r="G119" s="8"/>
      <c r="H119" s="7"/>
      <c r="L119" s="40"/>
      <c r="M119" s="40"/>
      <c r="O119" s="43"/>
    </row>
    <row r="120" spans="1:15" ht="15.75" thickBot="1">
      <c r="A120" s="68"/>
      <c r="B120" s="86" t="s">
        <v>173</v>
      </c>
      <c r="C120" s="69"/>
      <c r="D120" s="69"/>
      <c r="E120" s="69"/>
      <c r="F120" s="69"/>
      <c r="G120" s="69"/>
      <c r="H120" s="72"/>
    </row>
  </sheetData>
  <mergeCells count="14">
    <mergeCell ref="B110:G110"/>
    <mergeCell ref="B112:G112"/>
    <mergeCell ref="B114:G114"/>
    <mergeCell ref="B116:G116"/>
    <mergeCell ref="B118:G118"/>
    <mergeCell ref="J21:M21"/>
    <mergeCell ref="J106:O106"/>
    <mergeCell ref="P21:U21"/>
    <mergeCell ref="O6:P6"/>
    <mergeCell ref="B3:G3"/>
    <mergeCell ref="B4:G4"/>
    <mergeCell ref="B5:G5"/>
    <mergeCell ref="B19:G19"/>
    <mergeCell ref="B17:C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3"/>
  <sheetViews>
    <sheetView topLeftCell="A71" workbookViewId="0">
      <selection activeCell="C6" sqref="C6"/>
    </sheetView>
  </sheetViews>
  <sheetFormatPr defaultColWidth="8.7109375" defaultRowHeight="15"/>
  <cols>
    <col min="1" max="1" width="8.7109375" style="148"/>
    <col min="2" max="2" width="19" style="148" customWidth="1"/>
    <col min="3" max="3" width="27.42578125" style="148" customWidth="1"/>
    <col min="4" max="4" width="16.140625" style="148" customWidth="1"/>
    <col min="5" max="5" width="17.28515625" style="148" customWidth="1"/>
    <col min="6" max="8" width="8.7109375" style="148"/>
    <col min="9" max="9" width="10.140625" style="148" bestFit="1" customWidth="1"/>
    <col min="10" max="16384" width="8.7109375" style="148"/>
  </cols>
  <sheetData>
    <row r="3" spans="2:15">
      <c r="C3" s="151" t="s">
        <v>115</v>
      </c>
      <c r="D3" s="152" t="s">
        <v>116</v>
      </c>
      <c r="E3" s="152" t="s">
        <v>143</v>
      </c>
      <c r="G3" s="153" t="s">
        <v>144</v>
      </c>
      <c r="H3" s="153"/>
      <c r="I3" s="153"/>
      <c r="J3" s="153"/>
      <c r="K3" s="153"/>
      <c r="L3" s="153"/>
    </row>
    <row r="4" spans="2:15" ht="15.75" thickBot="1">
      <c r="C4" s="151"/>
      <c r="D4" s="152" t="s">
        <v>120</v>
      </c>
      <c r="E4" s="152" t="s">
        <v>146</v>
      </c>
      <c r="G4" s="153" t="s">
        <v>145</v>
      </c>
      <c r="H4" s="153"/>
      <c r="I4" s="153"/>
      <c r="J4" s="153"/>
      <c r="K4" s="153"/>
      <c r="L4" s="153"/>
    </row>
    <row r="5" spans="2:15" ht="75.75" thickBot="1">
      <c r="B5" s="132" t="s">
        <v>0</v>
      </c>
      <c r="C5" s="154" t="s">
        <v>117</v>
      </c>
      <c r="D5" s="154" t="s">
        <v>118</v>
      </c>
      <c r="E5" s="154" t="s">
        <v>119</v>
      </c>
    </row>
    <row r="6" spans="2:15" ht="15.6" customHeight="1">
      <c r="B6" s="155" t="s">
        <v>49</v>
      </c>
      <c r="C6" s="156">
        <f>Revised_EPIAS!B2/1000</f>
        <v>137131.6</v>
      </c>
      <c r="D6" s="106">
        <f>C6*90/1000</f>
        <v>12341.843999999999</v>
      </c>
      <c r="E6" s="149"/>
      <c r="H6" s="206" t="s">
        <v>177</v>
      </c>
      <c r="I6" s="207"/>
      <c r="J6" s="207"/>
      <c r="K6" s="207"/>
      <c r="L6" s="207"/>
      <c r="M6" s="207"/>
      <c r="N6" s="207"/>
      <c r="O6" s="208"/>
    </row>
    <row r="7" spans="2:15">
      <c r="B7" s="155" t="s">
        <v>50</v>
      </c>
      <c r="C7" s="156">
        <f>Revised_EPIAS!B3/1000</f>
        <v>103178.515</v>
      </c>
      <c r="D7" s="106">
        <f t="shared" ref="D7:D70" si="0">C7*90/1000</f>
        <v>9286.0663499999991</v>
      </c>
      <c r="E7" s="149"/>
      <c r="H7" s="209"/>
      <c r="I7" s="210"/>
      <c r="J7" s="210"/>
      <c r="K7" s="210"/>
      <c r="L7" s="210"/>
      <c r="M7" s="210"/>
      <c r="N7" s="210"/>
      <c r="O7" s="211"/>
    </row>
    <row r="8" spans="2:15">
      <c r="B8" s="155" t="s">
        <v>51</v>
      </c>
      <c r="C8" s="156">
        <f>Revised_EPIAS!B4/1000</f>
        <v>96886.221999999994</v>
      </c>
      <c r="D8" s="106">
        <f t="shared" si="0"/>
        <v>8719.7599799999989</v>
      </c>
      <c r="E8" s="149"/>
      <c r="H8" s="209"/>
      <c r="I8" s="210"/>
      <c r="J8" s="210"/>
      <c r="K8" s="210"/>
      <c r="L8" s="210"/>
      <c r="M8" s="210"/>
      <c r="N8" s="210"/>
      <c r="O8" s="211"/>
    </row>
    <row r="9" spans="2:15">
      <c r="B9" s="157" t="s">
        <v>52</v>
      </c>
      <c r="C9" s="156">
        <f>Revised_EPIAS!B5/1000</f>
        <v>91508.009000000005</v>
      </c>
      <c r="D9" s="106">
        <f t="shared" si="0"/>
        <v>8235.7208100000007</v>
      </c>
      <c r="E9" s="149"/>
      <c r="H9" s="209"/>
      <c r="I9" s="210"/>
      <c r="J9" s="210"/>
      <c r="K9" s="210"/>
      <c r="L9" s="210"/>
      <c r="M9" s="210"/>
      <c r="N9" s="210"/>
      <c r="O9" s="211"/>
    </row>
    <row r="10" spans="2:15">
      <c r="B10" s="157" t="s">
        <v>53</v>
      </c>
      <c r="C10" s="156">
        <f>Revised_EPIAS!B6/1000</f>
        <v>83300.051000000007</v>
      </c>
      <c r="D10" s="106">
        <f t="shared" si="0"/>
        <v>7497.0045900000005</v>
      </c>
      <c r="E10" s="149"/>
      <c r="H10" s="209"/>
      <c r="I10" s="210"/>
      <c r="J10" s="210"/>
      <c r="K10" s="210"/>
      <c r="L10" s="210"/>
      <c r="M10" s="210"/>
      <c r="N10" s="210"/>
      <c r="O10" s="211"/>
    </row>
    <row r="11" spans="2:15">
      <c r="B11" s="158" t="s">
        <v>122</v>
      </c>
      <c r="C11" s="159">
        <f>SUM(C6:C10)</f>
        <v>512004.397</v>
      </c>
      <c r="D11" s="147">
        <f>ROUNDUP(SUM(D6:D10),1)</f>
        <v>46080.4</v>
      </c>
      <c r="E11" s="149"/>
      <c r="H11" s="209"/>
      <c r="I11" s="210"/>
      <c r="J11" s="210"/>
      <c r="K11" s="210"/>
      <c r="L11" s="210"/>
      <c r="M11" s="210"/>
      <c r="N11" s="210"/>
      <c r="O11" s="211"/>
    </row>
    <row r="12" spans="2:15">
      <c r="B12" s="157" t="s">
        <v>54</v>
      </c>
      <c r="C12" s="156">
        <f>Revised_EPIAS!B8/1000</f>
        <v>68801.821999999986</v>
      </c>
      <c r="D12" s="106">
        <f t="shared" si="0"/>
        <v>6192.1639799999984</v>
      </c>
      <c r="E12" s="149"/>
      <c r="H12" s="209"/>
      <c r="I12" s="210"/>
      <c r="J12" s="210"/>
      <c r="K12" s="210"/>
      <c r="L12" s="210"/>
      <c r="M12" s="210"/>
      <c r="N12" s="210"/>
      <c r="O12" s="211"/>
    </row>
    <row r="13" spans="2:15" ht="15.75" thickBot="1">
      <c r="B13" s="157" t="s">
        <v>55</v>
      </c>
      <c r="C13" s="156">
        <f>Revised_EPIAS!B9/1000</f>
        <v>52814.972999999998</v>
      </c>
      <c r="D13" s="106">
        <f t="shared" si="0"/>
        <v>4753.3475699999999</v>
      </c>
      <c r="E13" s="149"/>
      <c r="H13" s="212"/>
      <c r="I13" s="213"/>
      <c r="J13" s="213"/>
      <c r="K13" s="213"/>
      <c r="L13" s="213"/>
      <c r="M13" s="213"/>
      <c r="N13" s="213"/>
      <c r="O13" s="214"/>
    </row>
    <row r="14" spans="2:15">
      <c r="B14" s="157" t="s">
        <v>48</v>
      </c>
      <c r="C14" s="156">
        <f>Revised_EPIAS!B10/1000</f>
        <v>17865.882000000001</v>
      </c>
      <c r="D14" s="106">
        <f t="shared" si="0"/>
        <v>1607.92938</v>
      </c>
      <c r="E14" s="149"/>
    </row>
    <row r="15" spans="2:15">
      <c r="B15" s="157" t="s">
        <v>56</v>
      </c>
      <c r="C15" s="156">
        <f>Revised_EPIAS!B11/1000</f>
        <v>16145.277</v>
      </c>
      <c r="D15" s="106">
        <f t="shared" si="0"/>
        <v>1453.07493</v>
      </c>
      <c r="E15" s="149"/>
      <c r="H15" s="150" t="s">
        <v>178</v>
      </c>
    </row>
    <row r="16" spans="2:15">
      <c r="B16" s="157" t="s">
        <v>57</v>
      </c>
      <c r="C16" s="156">
        <f>Revised_EPIAS!B12/1000</f>
        <v>40072.574000000001</v>
      </c>
      <c r="D16" s="106">
        <f t="shared" si="0"/>
        <v>3606.5316600000001</v>
      </c>
      <c r="E16" s="149"/>
    </row>
    <row r="17" spans="2:9">
      <c r="B17" s="155" t="s">
        <v>58</v>
      </c>
      <c r="C17" s="156">
        <f>Revised_EPIAS!B13/1000</f>
        <v>11998.093999999999</v>
      </c>
      <c r="D17" s="106">
        <f t="shared" si="0"/>
        <v>1079.82846</v>
      </c>
      <c r="E17" s="149"/>
      <c r="H17" s="148" t="s">
        <v>179</v>
      </c>
    </row>
    <row r="18" spans="2:9">
      <c r="B18" s="155" t="s">
        <v>59</v>
      </c>
      <c r="C18" s="156">
        <f>Revised_EPIAS!B14/1000</f>
        <v>140860.068</v>
      </c>
      <c r="D18" s="106">
        <f t="shared" si="0"/>
        <v>12677.40612</v>
      </c>
      <c r="E18" s="149"/>
      <c r="I18" s="104"/>
    </row>
    <row r="19" spans="2:9">
      <c r="B19" s="155" t="s">
        <v>60</v>
      </c>
      <c r="C19" s="156">
        <f>Revised_EPIAS!B15/1000</f>
        <v>165243.508</v>
      </c>
      <c r="D19" s="106">
        <f t="shared" si="0"/>
        <v>14871.915720000001</v>
      </c>
      <c r="E19" s="149"/>
    </row>
    <row r="20" spans="2:9">
      <c r="B20" s="155" t="s">
        <v>61</v>
      </c>
      <c r="C20" s="156">
        <f>Revised_EPIAS!B16/1000</f>
        <v>148011.24</v>
      </c>
      <c r="D20" s="106">
        <f t="shared" si="0"/>
        <v>13321.0116</v>
      </c>
      <c r="E20" s="149"/>
    </row>
    <row r="21" spans="2:9">
      <c r="B21" s="155" t="s">
        <v>62</v>
      </c>
      <c r="C21" s="156">
        <f>Revised_EPIAS!B17/1000</f>
        <v>65810.111999999994</v>
      </c>
      <c r="D21" s="106">
        <f t="shared" si="0"/>
        <v>5922.9100799999987</v>
      </c>
      <c r="E21" s="149"/>
    </row>
    <row r="22" spans="2:9">
      <c r="B22" s="157" t="s">
        <v>63</v>
      </c>
      <c r="C22" s="156">
        <f>Revised_EPIAS!B18/1000</f>
        <v>108530.22</v>
      </c>
      <c r="D22" s="106">
        <f t="shared" si="0"/>
        <v>9767.7198000000008</v>
      </c>
      <c r="E22" s="149"/>
    </row>
    <row r="23" spans="2:9">
      <c r="B23" s="157" t="s">
        <v>64</v>
      </c>
      <c r="C23" s="156">
        <f>Revised_EPIAS!B19/1000</f>
        <v>92250.221000000005</v>
      </c>
      <c r="D23" s="106">
        <f t="shared" si="0"/>
        <v>8302.5198900000014</v>
      </c>
      <c r="E23" s="149"/>
    </row>
    <row r="24" spans="2:9">
      <c r="B24" s="158" t="s">
        <v>123</v>
      </c>
      <c r="C24" s="159">
        <f>SUM(C12:C23)</f>
        <v>928403.99099999992</v>
      </c>
      <c r="D24" s="147">
        <f>ROUNDUP(SUM(D12:D23),1)</f>
        <v>83556.400000000009</v>
      </c>
      <c r="E24" s="149"/>
    </row>
    <row r="25" spans="2:9">
      <c r="B25" s="157" t="s">
        <v>65</v>
      </c>
      <c r="C25" s="156">
        <f>Revised_EPIAS!B21/1000</f>
        <v>81452.638999999996</v>
      </c>
      <c r="D25" s="106">
        <f t="shared" si="0"/>
        <v>7330.7375099999999</v>
      </c>
      <c r="E25" s="149"/>
    </row>
    <row r="26" spans="2:9">
      <c r="B26" s="157" t="s">
        <v>16</v>
      </c>
      <c r="C26" s="156">
        <f>Revised_EPIAS!B22/1000</f>
        <v>17479.484</v>
      </c>
      <c r="D26" s="106">
        <f t="shared" si="0"/>
        <v>1573.15356</v>
      </c>
      <c r="E26" s="149"/>
    </row>
    <row r="27" spans="2:9">
      <c r="B27" s="157" t="s">
        <v>66</v>
      </c>
      <c r="C27" s="156">
        <f>Revised_EPIAS!B23/1000</f>
        <v>29501.767</v>
      </c>
      <c r="D27" s="106">
        <f t="shared" si="0"/>
        <v>2655.1590299999998</v>
      </c>
      <c r="E27" s="149"/>
    </row>
    <row r="28" spans="2:9">
      <c r="B28" s="157" t="s">
        <v>67</v>
      </c>
      <c r="C28" s="156">
        <f>Revised_EPIAS!B24/1000</f>
        <v>23332.395</v>
      </c>
      <c r="D28" s="106">
        <f t="shared" si="0"/>
        <v>2099.9155499999997</v>
      </c>
      <c r="E28" s="149"/>
    </row>
    <row r="29" spans="2:9">
      <c r="B29" s="157" t="s">
        <v>68</v>
      </c>
      <c r="C29" s="156">
        <f>Revised_EPIAS!B25/1000</f>
        <v>29401.313999999998</v>
      </c>
      <c r="D29" s="106">
        <f t="shared" si="0"/>
        <v>2646.1182599999997</v>
      </c>
      <c r="E29" s="149"/>
    </row>
    <row r="30" spans="2:9">
      <c r="B30" s="155" t="s">
        <v>69</v>
      </c>
      <c r="C30" s="156">
        <f>Revised_EPIAS!B26/1000</f>
        <v>64142.605000000003</v>
      </c>
      <c r="D30" s="106">
        <f t="shared" si="0"/>
        <v>5772.8344500000003</v>
      </c>
      <c r="E30" s="149"/>
    </row>
    <row r="31" spans="2:9">
      <c r="B31" s="155" t="s">
        <v>70</v>
      </c>
      <c r="C31" s="156">
        <f>Revised_EPIAS!B27/1000</f>
        <v>79863.149000000005</v>
      </c>
      <c r="D31" s="106">
        <f t="shared" si="0"/>
        <v>7187.6834100000005</v>
      </c>
      <c r="E31" s="149"/>
    </row>
    <row r="32" spans="2:9">
      <c r="B32" s="155" t="s">
        <v>71</v>
      </c>
      <c r="C32" s="156">
        <f>Revised_EPIAS!B28/1000</f>
        <v>163073.473</v>
      </c>
      <c r="D32" s="106">
        <f t="shared" si="0"/>
        <v>14676.612570000001</v>
      </c>
      <c r="E32" s="149"/>
    </row>
    <row r="33" spans="2:5">
      <c r="B33" s="155" t="s">
        <v>72</v>
      </c>
      <c r="C33" s="156">
        <f>Revised_EPIAS!B29/1000</f>
        <v>103548.09299999999</v>
      </c>
      <c r="D33" s="106">
        <f t="shared" si="0"/>
        <v>9319.3283699999993</v>
      </c>
      <c r="E33" s="149"/>
    </row>
    <row r="34" spans="2:5">
      <c r="B34" s="155" t="s">
        <v>73</v>
      </c>
      <c r="C34" s="156">
        <f>Revised_EPIAS!B30/1000</f>
        <v>70293.642999999996</v>
      </c>
      <c r="D34" s="106">
        <f t="shared" si="0"/>
        <v>6326.4278700000004</v>
      </c>
      <c r="E34" s="149"/>
    </row>
    <row r="35" spans="2:5">
      <c r="B35" s="157" t="s">
        <v>17</v>
      </c>
      <c r="C35" s="156">
        <f>Revised_EPIAS!B31/1000</f>
        <v>87017.282999999996</v>
      </c>
      <c r="D35" s="106">
        <f t="shared" si="0"/>
        <v>7831.5554699999993</v>
      </c>
      <c r="E35" s="149"/>
    </row>
    <row r="36" spans="2:5">
      <c r="B36" s="157" t="s">
        <v>18</v>
      </c>
      <c r="C36" s="156">
        <f>Revised_EPIAS!B32/1000</f>
        <v>78307.820000000007</v>
      </c>
      <c r="D36" s="106">
        <f t="shared" si="0"/>
        <v>7047.7038000000011</v>
      </c>
      <c r="E36" s="149"/>
    </row>
    <row r="37" spans="2:5">
      <c r="B37" s="158" t="s">
        <v>124</v>
      </c>
      <c r="C37" s="159">
        <f>SUM(C25:C36)</f>
        <v>827413.66500000004</v>
      </c>
      <c r="D37" s="147">
        <f>ROUNDUP(SUM(D25:D36),1)</f>
        <v>74467.3</v>
      </c>
      <c r="E37" s="149"/>
    </row>
    <row r="38" spans="2:5">
      <c r="B38" s="157" t="s">
        <v>19</v>
      </c>
      <c r="C38" s="156">
        <f>Revised_EPIAS!B34/1000</f>
        <v>77767.365000000005</v>
      </c>
      <c r="D38" s="106">
        <f t="shared" si="0"/>
        <v>6999.0628500000003</v>
      </c>
      <c r="E38" s="149"/>
    </row>
    <row r="39" spans="2:5">
      <c r="B39" s="157" t="s">
        <v>20</v>
      </c>
      <c r="C39" s="156">
        <f>Revised_EPIAS!B35/1000</f>
        <v>36996.572</v>
      </c>
      <c r="D39" s="106">
        <f t="shared" si="0"/>
        <v>3329.69148</v>
      </c>
      <c r="E39" s="149"/>
    </row>
    <row r="40" spans="2:5">
      <c r="B40" s="157" t="s">
        <v>21</v>
      </c>
      <c r="C40" s="156">
        <f>Revised_EPIAS!B36/1000</f>
        <v>19201.962</v>
      </c>
      <c r="D40" s="106">
        <f t="shared" si="0"/>
        <v>1728.1765800000001</v>
      </c>
      <c r="E40" s="149"/>
    </row>
    <row r="41" spans="2:5">
      <c r="B41" s="157" t="s">
        <v>22</v>
      </c>
      <c r="C41" s="156">
        <f>Revised_EPIAS!B37/1000</f>
        <v>19704.16</v>
      </c>
      <c r="D41" s="106">
        <f t="shared" si="0"/>
        <v>1773.3743999999999</v>
      </c>
      <c r="E41" s="149"/>
    </row>
    <row r="42" spans="2:5">
      <c r="B42" s="157" t="s">
        <v>23</v>
      </c>
      <c r="C42" s="156">
        <f>Revised_EPIAS!B38/1000</f>
        <v>18924.439999999999</v>
      </c>
      <c r="D42" s="106">
        <f t="shared" si="0"/>
        <v>1703.1995999999999</v>
      </c>
      <c r="E42" s="149"/>
    </row>
    <row r="43" spans="2:5">
      <c r="B43" s="155" t="s">
        <v>24</v>
      </c>
      <c r="C43" s="156">
        <f>Revised_EPIAS!B39/1000</f>
        <v>15084.308999999999</v>
      </c>
      <c r="D43" s="106">
        <f t="shared" si="0"/>
        <v>1357.5878099999998</v>
      </c>
      <c r="E43" s="149"/>
    </row>
    <row r="44" spans="2:5">
      <c r="B44" s="155" t="s">
        <v>25</v>
      </c>
      <c r="C44" s="156">
        <f>Revised_EPIAS!B40/1000</f>
        <v>84645.243000000002</v>
      </c>
      <c r="D44" s="106">
        <f t="shared" si="0"/>
        <v>7618.0718699999998</v>
      </c>
      <c r="E44" s="149"/>
    </row>
    <row r="45" spans="2:5">
      <c r="B45" s="155" t="s">
        <v>26</v>
      </c>
      <c r="C45" s="156">
        <f>Revised_EPIAS!B41/1000</f>
        <v>96355.429000000004</v>
      </c>
      <c r="D45" s="106">
        <f t="shared" si="0"/>
        <v>8671.9886099999985</v>
      </c>
      <c r="E45" s="149"/>
    </row>
    <row r="46" spans="2:5">
      <c r="B46" s="155" t="s">
        <v>27</v>
      </c>
      <c r="C46" s="156">
        <f>Revised_EPIAS!B42/1000</f>
        <v>113179.227</v>
      </c>
      <c r="D46" s="106">
        <f t="shared" si="0"/>
        <v>10186.130429999999</v>
      </c>
      <c r="E46" s="149"/>
    </row>
    <row r="47" spans="2:5">
      <c r="B47" s="155" t="s">
        <v>28</v>
      </c>
      <c r="C47" s="156">
        <f>Revised_EPIAS!B43/1000</f>
        <v>80758.603000000003</v>
      </c>
      <c r="D47" s="106">
        <f t="shared" si="0"/>
        <v>7268.2742700000008</v>
      </c>
      <c r="E47" s="149"/>
    </row>
    <row r="48" spans="2:5">
      <c r="B48" s="157" t="s">
        <v>29</v>
      </c>
      <c r="C48" s="156">
        <f>Revised_EPIAS!B44/1000</f>
        <v>24356.058000000001</v>
      </c>
      <c r="D48" s="106">
        <f t="shared" si="0"/>
        <v>2192.0452200000004</v>
      </c>
      <c r="E48" s="149"/>
    </row>
    <row r="49" spans="2:5">
      <c r="B49" s="157" t="s">
        <v>30</v>
      </c>
      <c r="C49" s="156">
        <f>Revised_EPIAS!B45/1000</f>
        <v>0</v>
      </c>
      <c r="D49" s="106">
        <f t="shared" si="0"/>
        <v>0</v>
      </c>
      <c r="E49" s="149"/>
    </row>
    <row r="50" spans="2:5">
      <c r="B50" s="158" t="s">
        <v>125</v>
      </c>
      <c r="C50" s="159">
        <f>SUM(C38:C49)</f>
        <v>586973.36800000002</v>
      </c>
      <c r="D50" s="147">
        <f>ROUNDUP(SUM(D38:D49),1)</f>
        <v>52827.7</v>
      </c>
      <c r="E50" s="149"/>
    </row>
    <row r="51" spans="2:5">
      <c r="B51" s="157" t="s">
        <v>31</v>
      </c>
      <c r="C51" s="156">
        <f>Revised_EPIAS!B47/1000</f>
        <v>108129.962</v>
      </c>
      <c r="D51" s="106">
        <f t="shared" si="0"/>
        <v>9731.6965799999998</v>
      </c>
      <c r="E51" s="149"/>
    </row>
    <row r="52" spans="2:5">
      <c r="B52" s="157" t="s">
        <v>32</v>
      </c>
      <c r="C52" s="156">
        <f>Revised_EPIAS!B48/1000</f>
        <v>19206.385999999999</v>
      </c>
      <c r="D52" s="106">
        <f t="shared" si="0"/>
        <v>1728.5747399999998</v>
      </c>
      <c r="E52" s="149"/>
    </row>
    <row r="53" spans="2:5">
      <c r="B53" s="157" t="s">
        <v>33</v>
      </c>
      <c r="C53" s="156">
        <f>Revised_EPIAS!B49/1000</f>
        <v>32960.212</v>
      </c>
      <c r="D53" s="106">
        <f t="shared" si="0"/>
        <v>2966.4190800000001</v>
      </c>
      <c r="E53" s="149"/>
    </row>
    <row r="54" spans="2:5">
      <c r="B54" s="157" t="s">
        <v>34</v>
      </c>
      <c r="C54" s="156">
        <f>Revised_EPIAS!B50/1000</f>
        <v>40082.855000000003</v>
      </c>
      <c r="D54" s="106">
        <f t="shared" si="0"/>
        <v>3607.4569500000002</v>
      </c>
      <c r="E54" s="149"/>
    </row>
    <row r="55" spans="2:5">
      <c r="B55" s="157" t="s">
        <v>35</v>
      </c>
      <c r="C55" s="156">
        <f>Revised_EPIAS!B51/1000</f>
        <v>20147.741000000002</v>
      </c>
      <c r="D55" s="106">
        <f t="shared" si="0"/>
        <v>1813.2966900000001</v>
      </c>
      <c r="E55" s="149"/>
    </row>
    <row r="56" spans="2:5">
      <c r="B56" s="155" t="s">
        <v>36</v>
      </c>
      <c r="C56" s="156">
        <f>Revised_EPIAS!B52/1000</f>
        <v>13146.199000000001</v>
      </c>
      <c r="D56" s="106">
        <f t="shared" si="0"/>
        <v>1183.1579100000001</v>
      </c>
      <c r="E56" s="149"/>
    </row>
    <row r="57" spans="2:5">
      <c r="B57" s="155" t="s">
        <v>37</v>
      </c>
      <c r="C57" s="156">
        <f>Revised_EPIAS!B53/1000</f>
        <v>87324.524000000005</v>
      </c>
      <c r="D57" s="106">
        <f t="shared" si="0"/>
        <v>7859.2071599999999</v>
      </c>
      <c r="E57" s="149"/>
    </row>
    <row r="58" spans="2:5">
      <c r="B58" s="155" t="s">
        <v>38</v>
      </c>
      <c r="C58" s="156">
        <f>Revised_EPIAS!B54/1000</f>
        <v>76303.346999999994</v>
      </c>
      <c r="D58" s="106">
        <f t="shared" si="0"/>
        <v>6867.3012299999991</v>
      </c>
      <c r="E58" s="149"/>
    </row>
    <row r="59" spans="2:5">
      <c r="B59" s="155" t="s">
        <v>39</v>
      </c>
      <c r="C59" s="156">
        <f>Revised_EPIAS!B55/1000</f>
        <v>29937.232</v>
      </c>
      <c r="D59" s="106">
        <f t="shared" si="0"/>
        <v>2694.35088</v>
      </c>
      <c r="E59" s="149"/>
    </row>
    <row r="60" spans="2:5">
      <c r="B60" s="155" t="s">
        <v>40</v>
      </c>
      <c r="C60" s="156">
        <f>Revised_EPIAS!B56/1000</f>
        <v>6343.9939999999997</v>
      </c>
      <c r="D60" s="106">
        <f t="shared" si="0"/>
        <v>570.95945999999992</v>
      </c>
      <c r="E60" s="149"/>
    </row>
    <row r="61" spans="2:5">
      <c r="B61" s="157" t="s">
        <v>41</v>
      </c>
      <c r="C61" s="156">
        <f>Revised_EPIAS!B57/1000</f>
        <v>30376.116999999998</v>
      </c>
      <c r="D61" s="106">
        <f t="shared" si="0"/>
        <v>2733.8505299999997</v>
      </c>
      <c r="E61" s="149"/>
    </row>
    <row r="62" spans="2:5">
      <c r="B62" s="157" t="s">
        <v>42</v>
      </c>
      <c r="C62" s="156">
        <f>Revised_EPIAS!B58/1000</f>
        <v>6209.6480000000001</v>
      </c>
      <c r="D62" s="106">
        <f t="shared" si="0"/>
        <v>558.86832000000004</v>
      </c>
      <c r="E62" s="149"/>
    </row>
    <row r="63" spans="2:5">
      <c r="B63" s="158" t="s">
        <v>126</v>
      </c>
      <c r="C63" s="159">
        <f>SUM(C51:C62)</f>
        <v>470168.217</v>
      </c>
      <c r="D63" s="147">
        <f>ROUNDUP(SUM(D51:D62),1)</f>
        <v>42315.199999999997</v>
      </c>
      <c r="E63" s="149"/>
    </row>
    <row r="64" spans="2:5">
      <c r="B64" s="157" t="s">
        <v>43</v>
      </c>
      <c r="C64" s="156">
        <f>Revised_EPIAS!B60/1000</f>
        <v>28484.153999999999</v>
      </c>
      <c r="D64" s="106">
        <f t="shared" si="0"/>
        <v>2563.57386</v>
      </c>
      <c r="E64" s="149"/>
    </row>
    <row r="65" spans="2:5">
      <c r="B65" s="157" t="s">
        <v>44</v>
      </c>
      <c r="C65" s="156">
        <f>Revised_EPIAS!B61/1000</f>
        <v>48304.574000000001</v>
      </c>
      <c r="D65" s="106">
        <f t="shared" si="0"/>
        <v>4347.4116599999998</v>
      </c>
      <c r="E65" s="149"/>
    </row>
    <row r="66" spans="2:5">
      <c r="B66" s="157" t="s">
        <v>87</v>
      </c>
      <c r="C66" s="156">
        <f>Revised_EPIAS!B62/1000</f>
        <v>49220.684999999998</v>
      </c>
      <c r="D66" s="106">
        <f t="shared" si="0"/>
        <v>4429.8616499999998</v>
      </c>
      <c r="E66" s="149"/>
    </row>
    <row r="67" spans="2:5">
      <c r="B67" s="157" t="s">
        <v>88</v>
      </c>
      <c r="C67" s="156">
        <f>Revised_EPIAS!B63/1000</f>
        <v>36280.800999999999</v>
      </c>
      <c r="D67" s="106">
        <f t="shared" si="0"/>
        <v>3265.2720899999999</v>
      </c>
      <c r="E67" s="149"/>
    </row>
    <row r="68" spans="2:5">
      <c r="B68" s="157" t="s">
        <v>89</v>
      </c>
      <c r="C68" s="156">
        <f>Revised_EPIAS!B64/1000</f>
        <v>13574.192999999999</v>
      </c>
      <c r="D68" s="106">
        <f t="shared" si="0"/>
        <v>1221.6773699999999</v>
      </c>
      <c r="E68" s="149"/>
    </row>
    <row r="69" spans="2:5">
      <c r="B69" s="155" t="s">
        <v>90</v>
      </c>
      <c r="C69" s="156">
        <f>Revised_EPIAS!B65/1000</f>
        <v>31425.061000000002</v>
      </c>
      <c r="D69" s="106">
        <f t="shared" si="0"/>
        <v>2828.25549</v>
      </c>
      <c r="E69" s="149"/>
    </row>
    <row r="70" spans="2:5">
      <c r="B70" s="155" t="s">
        <v>91</v>
      </c>
      <c r="C70" s="156">
        <f>Revised_EPIAS!B66/1000</f>
        <v>102879.235</v>
      </c>
      <c r="D70" s="106">
        <f t="shared" si="0"/>
        <v>9259.1311500000011</v>
      </c>
      <c r="E70" s="149"/>
    </row>
    <row r="71" spans="2:5">
      <c r="B71" s="155" t="s">
        <v>92</v>
      </c>
      <c r="C71" s="156">
        <f>Revised_EPIAS!B67/1000</f>
        <v>101844.648</v>
      </c>
      <c r="D71" s="106">
        <f t="shared" ref="D71:D80" si="1">C71*90/1000</f>
        <v>9166.018320000001</v>
      </c>
      <c r="E71" s="149"/>
    </row>
    <row r="72" spans="2:5">
      <c r="B72" s="155" t="s">
        <v>93</v>
      </c>
      <c r="C72" s="156">
        <f>Revised_EPIAS!B68/1000</f>
        <v>98441.527000000002</v>
      </c>
      <c r="D72" s="106">
        <f t="shared" si="1"/>
        <v>8859.7374299999992</v>
      </c>
      <c r="E72" s="149"/>
    </row>
    <row r="73" spans="2:5">
      <c r="B73" s="155" t="s">
        <v>94</v>
      </c>
      <c r="C73" s="156">
        <f>Revised_EPIAS!B69/1000</f>
        <v>42335.139000000003</v>
      </c>
      <c r="D73" s="106">
        <f t="shared" si="1"/>
        <v>3810.1625100000001</v>
      </c>
      <c r="E73" s="149"/>
    </row>
    <row r="74" spans="2:5">
      <c r="B74" s="155" t="s">
        <v>95</v>
      </c>
      <c r="C74" s="156">
        <f>Revised_EPIAS!B70/1000</f>
        <v>61269.550999999999</v>
      </c>
      <c r="D74" s="106">
        <f t="shared" si="1"/>
        <v>5514.2595899999997</v>
      </c>
      <c r="E74" s="149"/>
    </row>
    <row r="75" spans="2:5">
      <c r="B75" s="155" t="s">
        <v>96</v>
      </c>
      <c r="C75" s="156">
        <f>Revised_EPIAS!B71/1000</f>
        <v>37327.377</v>
      </c>
      <c r="D75" s="106">
        <f t="shared" si="1"/>
        <v>3359.4639300000003</v>
      </c>
      <c r="E75" s="149"/>
    </row>
    <row r="76" spans="2:5">
      <c r="B76" s="160" t="s">
        <v>127</v>
      </c>
      <c r="C76" s="159">
        <f>SUM(C64:C75)</f>
        <v>651386.94499999995</v>
      </c>
      <c r="D76" s="147">
        <f>ROUNDUP(SUM(D64:D75),1)</f>
        <v>58624.9</v>
      </c>
      <c r="E76" s="149"/>
    </row>
    <row r="77" spans="2:5">
      <c r="B77" s="155" t="s">
        <v>97</v>
      </c>
      <c r="C77" s="156">
        <f>Revised_EPIAS!B73/1000</f>
        <v>9195.2060000000001</v>
      </c>
      <c r="D77" s="106">
        <f t="shared" si="1"/>
        <v>827.56853999999998</v>
      </c>
      <c r="E77" s="149"/>
    </row>
    <row r="78" spans="2:5">
      <c r="B78" s="155" t="s">
        <v>98</v>
      </c>
      <c r="C78" s="156">
        <f>Revised_EPIAS!B74/1000</f>
        <v>4698.8249999999998</v>
      </c>
      <c r="D78" s="106">
        <f t="shared" si="1"/>
        <v>422.89425</v>
      </c>
      <c r="E78" s="149"/>
    </row>
    <row r="79" spans="2:5">
      <c r="B79" s="155" t="s">
        <v>99</v>
      </c>
      <c r="C79" s="156">
        <f>Revised_EPIAS!B75/1000</f>
        <v>10318.39</v>
      </c>
      <c r="D79" s="106">
        <f t="shared" si="1"/>
        <v>928.65509999999995</v>
      </c>
      <c r="E79" s="149"/>
    </row>
    <row r="80" spans="2:5">
      <c r="B80" s="155" t="s">
        <v>100</v>
      </c>
      <c r="C80" s="156">
        <f>Revised_EPIAS!B76/1000</f>
        <v>5172.4350000000004</v>
      </c>
      <c r="D80" s="107">
        <f t="shared" si="1"/>
        <v>465.51915000000002</v>
      </c>
      <c r="E80" s="149"/>
    </row>
    <row r="81" spans="2:4">
      <c r="B81" s="145" t="s">
        <v>128</v>
      </c>
      <c r="C81" s="146">
        <f>SUM(C77:C80)</f>
        <v>29384.856</v>
      </c>
      <c r="D81" s="147">
        <f>ROUNDUP(SUM(D77:D80),1)</f>
        <v>2644.7</v>
      </c>
    </row>
    <row r="83" spans="2:4">
      <c r="B83" s="161" t="s">
        <v>129</v>
      </c>
      <c r="C83" s="145">
        <f>C11+C24+C37+C50+C63+C76+C81</f>
        <v>4005735.4390000002</v>
      </c>
      <c r="D83" s="145">
        <f>D11+D24+D37+D50+D63+D76+D81</f>
        <v>360516.60000000009</v>
      </c>
    </row>
  </sheetData>
  <mergeCells count="1">
    <mergeCell ref="H6:O13"/>
  </mergeCells>
  <hyperlinks>
    <hyperlink ref="H15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"/>
  <sheetViews>
    <sheetView topLeftCell="A20" workbookViewId="0">
      <selection activeCell="K29" sqref="K29"/>
    </sheetView>
  </sheetViews>
  <sheetFormatPr defaultColWidth="8.85546875" defaultRowHeight="15"/>
  <sheetData>
    <row r="3" spans="2:13">
      <c r="B3" s="215" t="s">
        <v>130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</row>
    <row r="4" spans="2:13"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29" spans="2:2">
      <c r="B29" t="s">
        <v>214</v>
      </c>
    </row>
    <row r="30" spans="2:2">
      <c r="B30" t="s">
        <v>211</v>
      </c>
    </row>
    <row r="33" spans="1:2">
      <c r="B33" t="s">
        <v>213</v>
      </c>
    </row>
    <row r="35" spans="1:2">
      <c r="B35" t="s">
        <v>131</v>
      </c>
    </row>
    <row r="36" spans="1:2">
      <c r="B36" s="108">
        <f>513000000/65400000</f>
        <v>7.8440366972477067</v>
      </c>
    </row>
    <row r="37" spans="1:2">
      <c r="A37" t="s">
        <v>176</v>
      </c>
      <c r="B37" s="108" t="s">
        <v>210</v>
      </c>
    </row>
    <row r="39" spans="1:2">
      <c r="B39" t="s">
        <v>212</v>
      </c>
    </row>
    <row r="40" spans="1:2">
      <c r="B40" t="s">
        <v>132</v>
      </c>
    </row>
  </sheetData>
  <mergeCells count="1">
    <mergeCell ref="B3:M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I9" sqref="I9"/>
    </sheetView>
  </sheetViews>
  <sheetFormatPr defaultColWidth="8.85546875" defaultRowHeight="15"/>
  <cols>
    <col min="2" max="2" width="18.140625" customWidth="1"/>
    <col min="3" max="3" width="21.7109375" customWidth="1"/>
    <col min="4" max="4" width="22.28515625" customWidth="1"/>
    <col min="5" max="5" width="20.42578125" customWidth="1"/>
    <col min="6" max="6" width="22.42578125" customWidth="1"/>
    <col min="7" max="7" width="9.140625" bestFit="1" customWidth="1"/>
  </cols>
  <sheetData>
    <row r="3" spans="2:7" ht="63">
      <c r="B3" s="34" t="s">
        <v>137</v>
      </c>
      <c r="C3" s="34" t="s">
        <v>133</v>
      </c>
      <c r="D3" s="34" t="s">
        <v>134</v>
      </c>
      <c r="E3" s="34" t="s">
        <v>135</v>
      </c>
      <c r="F3" s="34" t="s">
        <v>136</v>
      </c>
    </row>
    <row r="4" spans="2:7" ht="15.75">
      <c r="B4" s="35"/>
      <c r="C4" s="35"/>
      <c r="D4" s="35"/>
      <c r="E4" s="35"/>
      <c r="F4" s="36" t="s">
        <v>11</v>
      </c>
    </row>
    <row r="5" spans="2:7" ht="15.75">
      <c r="B5" s="37"/>
      <c r="C5" s="37" t="s">
        <v>10</v>
      </c>
      <c r="D5" s="38" t="s">
        <v>10</v>
      </c>
      <c r="E5" s="38" t="s">
        <v>10</v>
      </c>
      <c r="F5" s="38" t="s">
        <v>10</v>
      </c>
    </row>
    <row r="6" spans="2:7" ht="31.5">
      <c r="B6" s="42" t="s">
        <v>138</v>
      </c>
      <c r="C6" s="109">
        <f>'BOYABAT HEPP'!H100</f>
        <v>262170</v>
      </c>
      <c r="D6" s="106">
        <f>'Project Emission'!D11</f>
        <v>46080.4</v>
      </c>
      <c r="E6" s="105">
        <v>0</v>
      </c>
      <c r="F6" s="110">
        <f>ROUNDDOWN((C6-D6-E6),0)</f>
        <v>216089</v>
      </c>
    </row>
    <row r="7" spans="2:7" ht="31.5">
      <c r="B7" s="42" t="s">
        <v>139</v>
      </c>
      <c r="C7" s="109">
        <f>'BOYABAT HEPP'!H101</f>
        <v>472909</v>
      </c>
      <c r="D7" s="106">
        <f>'Project Emission'!D24</f>
        <v>83556.400000000009</v>
      </c>
      <c r="E7" s="105">
        <v>0</v>
      </c>
      <c r="F7" s="110">
        <f>ROUNDDOWN((C7-D7-E7),0)</f>
        <v>389352</v>
      </c>
    </row>
    <row r="8" spans="2:7" ht="31.5">
      <c r="B8" s="42" t="s">
        <v>140</v>
      </c>
      <c r="C8" s="109">
        <f>'BOYABAT HEPP'!H102</f>
        <v>422319</v>
      </c>
      <c r="D8" s="106">
        <f>'Project Emission'!D37</f>
        <v>74467.3</v>
      </c>
      <c r="E8" s="105">
        <v>0</v>
      </c>
      <c r="F8" s="110">
        <f>ROUNDDOWN((C8-D8-E8),0)</f>
        <v>347851</v>
      </c>
    </row>
    <row r="9" spans="2:7" ht="31.5">
      <c r="B9" s="42" t="s">
        <v>141</v>
      </c>
      <c r="C9" s="109">
        <f>'BOYABAT HEPP'!H103</f>
        <v>298727</v>
      </c>
      <c r="D9" s="106">
        <f>'Project Emission'!D50</f>
        <v>52827.7</v>
      </c>
      <c r="E9" s="105">
        <v>0</v>
      </c>
      <c r="F9" s="110">
        <f t="shared" ref="F9:F12" si="0">ROUNDDOWN((C9-D9-E9),0)</f>
        <v>245899</v>
      </c>
    </row>
    <row r="10" spans="2:7" ht="31.5">
      <c r="B10" s="42" t="s">
        <v>142</v>
      </c>
      <c r="C10" s="109">
        <f>'BOYABAT HEPP'!H104</f>
        <v>238853</v>
      </c>
      <c r="D10" s="106">
        <f>'Project Emission'!D63</f>
        <v>42315.199999999997</v>
      </c>
      <c r="E10" s="105">
        <v>0</v>
      </c>
      <c r="F10" s="110">
        <f t="shared" si="0"/>
        <v>196537</v>
      </c>
    </row>
    <row r="11" spans="2:7" ht="31.5">
      <c r="B11" s="42" t="s">
        <v>157</v>
      </c>
      <c r="C11" s="109">
        <f>'BOYABAT HEPP'!H105</f>
        <v>332597</v>
      </c>
      <c r="D11" s="106">
        <f>'Project Emission'!D76</f>
        <v>58624.9</v>
      </c>
      <c r="E11" s="105">
        <v>0</v>
      </c>
      <c r="F11" s="110">
        <f t="shared" si="0"/>
        <v>273972</v>
      </c>
    </row>
    <row r="12" spans="2:7" ht="31.5">
      <c r="B12" s="42" t="s">
        <v>158</v>
      </c>
      <c r="C12" s="109">
        <f>'BOYABAT HEPP'!H106</f>
        <v>14294</v>
      </c>
      <c r="D12" s="106">
        <f>'Project Emission'!D81</f>
        <v>2644.7</v>
      </c>
      <c r="E12" s="105">
        <v>0</v>
      </c>
      <c r="F12" s="110">
        <f t="shared" si="0"/>
        <v>11649</v>
      </c>
    </row>
    <row r="14" spans="2:7" ht="15.75">
      <c r="B14" s="111" t="s">
        <v>121</v>
      </c>
      <c r="C14" s="112">
        <f>SUM(C6:C12)</f>
        <v>2041869</v>
      </c>
      <c r="D14" s="112">
        <f t="shared" ref="D14:E14" si="1">SUM(D6:D12)</f>
        <v>360516.60000000009</v>
      </c>
      <c r="E14" s="112">
        <f t="shared" si="1"/>
        <v>0</v>
      </c>
      <c r="F14" s="112">
        <f>F6+F7+F8+F9+F10+F11+F12</f>
        <v>1681349</v>
      </c>
      <c r="G14" s="17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6"/>
  <sheetViews>
    <sheetView workbookViewId="0">
      <selection activeCell="F23" sqref="F23"/>
    </sheetView>
  </sheetViews>
  <sheetFormatPr defaultColWidth="8.85546875" defaultRowHeight="15"/>
  <cols>
    <col min="5" max="5" width="16.140625" customWidth="1"/>
    <col min="6" max="6" width="16.42578125" customWidth="1"/>
    <col min="7" max="7" width="11.85546875" customWidth="1"/>
    <col min="8" max="8" width="16.85546875" customWidth="1"/>
  </cols>
  <sheetData>
    <row r="3" spans="3:11">
      <c r="C3" s="4"/>
      <c r="D3" s="51"/>
      <c r="E3" s="44" t="s">
        <v>83</v>
      </c>
      <c r="F3" s="4"/>
      <c r="G3" s="4"/>
      <c r="H3" s="4"/>
      <c r="I3" s="4"/>
      <c r="J3" s="4"/>
    </row>
    <row r="4" spans="3:11">
      <c r="C4" s="4"/>
      <c r="D4" s="52">
        <v>0.51400000000000001</v>
      </c>
      <c r="E4" s="44" t="s">
        <v>82</v>
      </c>
      <c r="F4" s="4"/>
      <c r="G4" s="4"/>
      <c r="H4" s="44" t="s">
        <v>183</v>
      </c>
      <c r="I4" s="4"/>
      <c r="J4" s="4"/>
    </row>
    <row r="5" spans="3:11">
      <c r="C5" s="4"/>
      <c r="D5" s="51">
        <v>580882</v>
      </c>
      <c r="E5" s="44" t="s">
        <v>78</v>
      </c>
      <c r="F5" s="44" t="s">
        <v>104</v>
      </c>
      <c r="G5" s="4"/>
      <c r="H5" s="164">
        <f>SUM(J9:J15)</f>
        <v>2100</v>
      </c>
      <c r="I5" s="44" t="s">
        <v>84</v>
      </c>
      <c r="J5" s="4"/>
    </row>
    <row r="6" spans="3:11">
      <c r="C6" s="4"/>
      <c r="D6" s="4"/>
      <c r="E6" s="4"/>
      <c r="F6" s="4"/>
      <c r="G6" s="4"/>
      <c r="H6" s="4"/>
      <c r="I6" s="4"/>
      <c r="J6" s="4"/>
    </row>
    <row r="7" spans="3:11" ht="15.75" thickBot="1">
      <c r="C7" s="4"/>
      <c r="D7" s="4"/>
      <c r="E7" s="4"/>
      <c r="F7" s="120" t="s">
        <v>182</v>
      </c>
      <c r="G7" s="120" t="s">
        <v>181</v>
      </c>
      <c r="H7" s="4"/>
      <c r="I7" s="4"/>
      <c r="J7" s="4"/>
    </row>
    <row r="8" spans="3:11">
      <c r="C8" s="219" t="s">
        <v>84</v>
      </c>
      <c r="D8" s="219"/>
      <c r="E8" s="219"/>
      <c r="F8" s="166" t="s">
        <v>78</v>
      </c>
      <c r="G8" s="165" t="s">
        <v>78</v>
      </c>
      <c r="H8" s="166" t="s">
        <v>113</v>
      </c>
      <c r="I8" s="60"/>
      <c r="J8" s="61"/>
    </row>
    <row r="9" spans="3:11">
      <c r="C9" s="218" t="s">
        <v>114</v>
      </c>
      <c r="D9" s="218"/>
      <c r="E9" s="218"/>
      <c r="F9" s="167">
        <f>D5/365*153</f>
        <v>243493.00273972601</v>
      </c>
      <c r="G9" s="167">
        <f>ER!F6</f>
        <v>216089</v>
      </c>
      <c r="H9" s="168">
        <f>(G9-F9)/F9</f>
        <v>-0.11254533983064244</v>
      </c>
      <c r="I9" s="63"/>
      <c r="J9" s="66">
        <v>153</v>
      </c>
      <c r="K9" t="s">
        <v>84</v>
      </c>
    </row>
    <row r="10" spans="3:11">
      <c r="C10" s="217">
        <v>2015</v>
      </c>
      <c r="D10" s="217"/>
      <c r="E10" s="217"/>
      <c r="F10" s="167">
        <f>D5</f>
        <v>580882</v>
      </c>
      <c r="G10" s="167">
        <f>ER!F7</f>
        <v>389352</v>
      </c>
      <c r="H10" s="168">
        <f t="shared" ref="H10:H15" si="0">(G10-F10)/F10</f>
        <v>-0.3297227319834321</v>
      </c>
      <c r="I10" s="63"/>
      <c r="J10" s="85">
        <v>365</v>
      </c>
      <c r="K10" t="s">
        <v>84</v>
      </c>
    </row>
    <row r="11" spans="3:11">
      <c r="C11" s="217">
        <v>2016</v>
      </c>
      <c r="D11" s="217"/>
      <c r="E11" s="217"/>
      <c r="F11" s="167">
        <f>D5</f>
        <v>580882</v>
      </c>
      <c r="G11" s="167">
        <f>ER!F8</f>
        <v>347851</v>
      </c>
      <c r="H11" s="168">
        <f t="shared" si="0"/>
        <v>-0.40116753488660345</v>
      </c>
      <c r="I11" s="63"/>
      <c r="J11" s="64">
        <v>366</v>
      </c>
      <c r="K11" t="s">
        <v>84</v>
      </c>
    </row>
    <row r="12" spans="3:11">
      <c r="C12" s="217">
        <v>2017</v>
      </c>
      <c r="D12" s="217"/>
      <c r="E12" s="217"/>
      <c r="F12" s="167">
        <f>D5</f>
        <v>580882</v>
      </c>
      <c r="G12" s="167">
        <f>ER!F9</f>
        <v>245899</v>
      </c>
      <c r="H12" s="168">
        <f t="shared" si="0"/>
        <v>-0.57667994532452371</v>
      </c>
      <c r="I12" s="63"/>
      <c r="J12" s="64">
        <v>365</v>
      </c>
      <c r="K12" t="s">
        <v>84</v>
      </c>
    </row>
    <row r="13" spans="3:11">
      <c r="C13" s="218">
        <v>2018</v>
      </c>
      <c r="D13" s="218"/>
      <c r="E13" s="218"/>
      <c r="F13" s="167">
        <f>D5</f>
        <v>580882</v>
      </c>
      <c r="G13" s="167">
        <f>ER!F10</f>
        <v>196537</v>
      </c>
      <c r="H13" s="168">
        <f t="shared" si="0"/>
        <v>-0.66165761720969152</v>
      </c>
      <c r="I13" s="63"/>
      <c r="J13" s="64">
        <v>365</v>
      </c>
      <c r="K13" t="s">
        <v>84</v>
      </c>
    </row>
    <row r="14" spans="3:11">
      <c r="C14" s="217">
        <v>2019</v>
      </c>
      <c r="D14" s="217"/>
      <c r="E14" s="217"/>
      <c r="F14" s="167">
        <v>580882</v>
      </c>
      <c r="G14" s="167">
        <f>ER!F11</f>
        <v>273972</v>
      </c>
      <c r="H14" s="168">
        <f t="shared" si="0"/>
        <v>-0.5283517134288892</v>
      </c>
      <c r="I14" s="63"/>
      <c r="J14" s="64">
        <v>365</v>
      </c>
      <c r="K14" t="s">
        <v>84</v>
      </c>
    </row>
    <row r="15" spans="3:11">
      <c r="C15" s="218" t="s">
        <v>209</v>
      </c>
      <c r="D15" s="218"/>
      <c r="E15" s="218"/>
      <c r="F15" s="167">
        <f>D5/365*121</f>
        <v>192566.36164383561</v>
      </c>
      <c r="G15" s="167">
        <f>ER!F12</f>
        <v>11649</v>
      </c>
      <c r="H15" s="168">
        <f t="shared" si="0"/>
        <v>-0.93950656853793812</v>
      </c>
      <c r="I15" s="63"/>
      <c r="J15" s="67">
        <v>121</v>
      </c>
      <c r="K15" t="s">
        <v>84</v>
      </c>
    </row>
    <row r="16" spans="3:11" ht="15.75" thickBot="1">
      <c r="C16" s="121" t="s">
        <v>208</v>
      </c>
      <c r="D16" s="122"/>
      <c r="E16" s="123"/>
      <c r="F16" s="124">
        <f>(D5/365)*H5</f>
        <v>3342060.8219178081</v>
      </c>
      <c r="G16" s="124">
        <f>ER!F14</f>
        <v>1681349</v>
      </c>
      <c r="H16" s="125">
        <f>(G16-F16)/F16</f>
        <v>-0.49691250710536899</v>
      </c>
      <c r="I16" s="69"/>
      <c r="J16" s="72"/>
    </row>
  </sheetData>
  <mergeCells count="8">
    <mergeCell ref="C14:E14"/>
    <mergeCell ref="C15:E15"/>
    <mergeCell ref="C8:E8"/>
    <mergeCell ref="C9:E9"/>
    <mergeCell ref="C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B6" workbookViewId="0">
      <selection activeCell="J17" sqref="J17"/>
    </sheetView>
  </sheetViews>
  <sheetFormatPr defaultColWidth="8.85546875" defaultRowHeight="15"/>
  <cols>
    <col min="1" max="1" width="15.42578125" bestFit="1" customWidth="1"/>
    <col min="2" max="2" width="19.140625" customWidth="1"/>
    <col min="3" max="3" width="15.7109375" customWidth="1"/>
    <col min="4" max="4" width="17.42578125" customWidth="1"/>
    <col min="5" max="5" width="15" customWidth="1"/>
    <col min="6" max="6" width="15.85546875" customWidth="1"/>
    <col min="9" max="9" width="23.42578125" customWidth="1"/>
    <col min="10" max="10" width="15.28515625" customWidth="1"/>
    <col min="11" max="11" width="15.42578125" customWidth="1"/>
    <col min="12" max="12" width="10.28515625" bestFit="1" customWidth="1"/>
    <col min="13" max="13" width="15.140625" customWidth="1"/>
  </cols>
  <sheetData>
    <row r="1" spans="1:13" ht="90">
      <c r="A1" s="132" t="s">
        <v>0</v>
      </c>
      <c r="B1" s="133" t="s">
        <v>1</v>
      </c>
      <c r="C1" s="133" t="s">
        <v>2</v>
      </c>
      <c r="D1" s="133" t="s">
        <v>3</v>
      </c>
      <c r="E1" s="133" t="s">
        <v>186</v>
      </c>
      <c r="F1" s="134" t="s">
        <v>187</v>
      </c>
      <c r="I1" s="227" t="s">
        <v>137</v>
      </c>
      <c r="J1" s="137" t="s">
        <v>194</v>
      </c>
      <c r="K1" s="229" t="s">
        <v>196</v>
      </c>
      <c r="L1" s="229" t="s">
        <v>197</v>
      </c>
      <c r="M1" s="137" t="s">
        <v>198</v>
      </c>
    </row>
    <row r="2" spans="1:13" ht="15.75" thickBot="1">
      <c r="A2" s="130" t="s">
        <v>49</v>
      </c>
      <c r="B2" s="126">
        <v>137131600</v>
      </c>
      <c r="C2" s="126">
        <v>303222</v>
      </c>
      <c r="D2" s="127">
        <f>B2-C2</f>
        <v>136828378</v>
      </c>
      <c r="E2" s="128">
        <v>0.51400000000000001</v>
      </c>
      <c r="F2" s="127">
        <f>D2*E2/1000</f>
        <v>70329.78629199999</v>
      </c>
      <c r="I2" s="228"/>
      <c r="J2" s="138" t="s">
        <v>195</v>
      </c>
      <c r="K2" s="230"/>
      <c r="L2" s="230"/>
      <c r="M2" s="138" t="s">
        <v>195</v>
      </c>
    </row>
    <row r="3" spans="1:13">
      <c r="A3" s="130" t="s">
        <v>50</v>
      </c>
      <c r="B3" s="126">
        <v>103178515</v>
      </c>
      <c r="C3" s="126">
        <v>332584</v>
      </c>
      <c r="D3" s="127">
        <f t="shared" ref="D3:D66" si="0">B3-C3</f>
        <v>102845931</v>
      </c>
      <c r="E3" s="128">
        <v>0.51400000000000001</v>
      </c>
      <c r="F3" s="127">
        <f t="shared" ref="F3:F6" si="1">D3*E3/1000</f>
        <v>52862.808534000003</v>
      </c>
      <c r="I3" s="169">
        <v>2014</v>
      </c>
      <c r="J3" s="225">
        <f>F7</f>
        <v>262170.34450399998</v>
      </c>
      <c r="K3" s="231">
        <f>'Project Emission'!D11</f>
        <v>46080.4</v>
      </c>
      <c r="L3" s="233">
        <v>0</v>
      </c>
      <c r="M3" s="225">
        <f>J3-K3</f>
        <v>216089.94450399998</v>
      </c>
    </row>
    <row r="4" spans="1:13" ht="15.75" thickBot="1">
      <c r="A4" s="130" t="s">
        <v>51</v>
      </c>
      <c r="B4" s="126">
        <v>96886222</v>
      </c>
      <c r="C4" s="126">
        <v>448292</v>
      </c>
      <c r="D4" s="127">
        <f t="shared" si="0"/>
        <v>96437930</v>
      </c>
      <c r="E4" s="128">
        <v>0.51400000000000001</v>
      </c>
      <c r="F4" s="127">
        <f t="shared" si="1"/>
        <v>49569.096020000005</v>
      </c>
      <c r="I4" s="163" t="s">
        <v>199</v>
      </c>
      <c r="J4" s="226"/>
      <c r="K4" s="232"/>
      <c r="L4" s="226"/>
      <c r="M4" s="226"/>
    </row>
    <row r="5" spans="1:13">
      <c r="A5" s="130" t="s">
        <v>52</v>
      </c>
      <c r="B5" s="126">
        <v>91508009</v>
      </c>
      <c r="C5" s="126">
        <v>435172</v>
      </c>
      <c r="D5" s="127">
        <f t="shared" si="0"/>
        <v>91072837</v>
      </c>
      <c r="E5" s="128">
        <v>0.51400000000000001</v>
      </c>
      <c r="F5" s="127">
        <f t="shared" si="1"/>
        <v>46811.438218000003</v>
      </c>
      <c r="I5" s="169">
        <v>2015</v>
      </c>
      <c r="J5" s="225">
        <f>F20</f>
        <v>472909.88498799998</v>
      </c>
      <c r="K5" s="231">
        <f>'Project Emission'!D24</f>
        <v>83556.400000000009</v>
      </c>
      <c r="L5" s="233">
        <v>0</v>
      </c>
      <c r="M5" s="225">
        <f>J5-K5</f>
        <v>389353.48498799995</v>
      </c>
    </row>
    <row r="6" spans="1:13" ht="15.75" thickBot="1">
      <c r="A6" s="130" t="s">
        <v>53</v>
      </c>
      <c r="B6" s="126">
        <v>83300051</v>
      </c>
      <c r="C6" s="126">
        <v>426091</v>
      </c>
      <c r="D6" s="127">
        <f t="shared" si="0"/>
        <v>82873960</v>
      </c>
      <c r="E6" s="128">
        <v>0.51400000000000001</v>
      </c>
      <c r="F6" s="127">
        <f t="shared" si="1"/>
        <v>42597.21544</v>
      </c>
      <c r="I6" s="162" t="s">
        <v>200</v>
      </c>
      <c r="J6" s="221"/>
      <c r="K6" s="223"/>
      <c r="L6" s="221"/>
      <c r="M6" s="226"/>
    </row>
    <row r="7" spans="1:13" ht="15.75" thickTop="1">
      <c r="A7" s="131" t="s">
        <v>185</v>
      </c>
      <c r="B7" s="129">
        <f t="shared" ref="B7:D7" si="2">SUM(B2:B6)</f>
        <v>512004397</v>
      </c>
      <c r="C7" s="129">
        <f t="shared" si="2"/>
        <v>1945361</v>
      </c>
      <c r="D7" s="129">
        <f t="shared" si="2"/>
        <v>510059036</v>
      </c>
      <c r="E7" s="129"/>
      <c r="F7" s="129">
        <f>SUM(F2:F6)</f>
        <v>262170.34450399998</v>
      </c>
      <c r="I7" s="169">
        <v>2016</v>
      </c>
      <c r="J7" s="220">
        <f>F33</f>
        <v>422319.71563200001</v>
      </c>
      <c r="K7" s="222">
        <f>'Project Emission'!D37</f>
        <v>74467.3</v>
      </c>
      <c r="L7" s="224">
        <v>0</v>
      </c>
      <c r="M7" s="225">
        <f t="shared" ref="M7" si="3">J7-K7</f>
        <v>347852.41563200002</v>
      </c>
    </row>
    <row r="8" spans="1:13" ht="15.75" thickBot="1">
      <c r="A8" s="130" t="s">
        <v>54</v>
      </c>
      <c r="B8" s="126">
        <v>68801821.999999985</v>
      </c>
      <c r="C8" s="126">
        <v>840236.99999999814</v>
      </c>
      <c r="D8" s="127">
        <f t="shared" si="0"/>
        <v>67961584.999999985</v>
      </c>
      <c r="E8" s="128">
        <v>0.51400000000000001</v>
      </c>
      <c r="F8" s="127">
        <f>D8*E8/1000</f>
        <v>34932.254689999987</v>
      </c>
      <c r="I8" s="162" t="s">
        <v>201</v>
      </c>
      <c r="J8" s="221"/>
      <c r="K8" s="223"/>
      <c r="L8" s="221"/>
      <c r="M8" s="226"/>
    </row>
    <row r="9" spans="1:13" ht="15.75" thickTop="1">
      <c r="A9" s="130" t="s">
        <v>55</v>
      </c>
      <c r="B9" s="126">
        <v>52814973</v>
      </c>
      <c r="C9" s="126">
        <v>609642</v>
      </c>
      <c r="D9" s="127">
        <f t="shared" si="0"/>
        <v>52205331</v>
      </c>
      <c r="E9" s="128">
        <v>0.51400000000000001</v>
      </c>
      <c r="F9" s="127">
        <f t="shared" ref="F9:F71" si="4">D9*E9/1000</f>
        <v>26833.540133999999</v>
      </c>
      <c r="I9" s="169">
        <v>2017</v>
      </c>
      <c r="J9" s="220">
        <f>F46</f>
        <v>298727.54234599997</v>
      </c>
      <c r="K9" s="222">
        <f>'Project Emission'!D50</f>
        <v>52827.7</v>
      </c>
      <c r="L9" s="224">
        <v>0</v>
      </c>
      <c r="M9" s="225">
        <f t="shared" ref="M9" si="5">J9-K9</f>
        <v>245899.84234599996</v>
      </c>
    </row>
    <row r="10" spans="1:13" ht="15.75" thickBot="1">
      <c r="A10" s="130" t="s">
        <v>48</v>
      </c>
      <c r="B10" s="126">
        <v>17865882</v>
      </c>
      <c r="C10" s="126">
        <v>680172</v>
      </c>
      <c r="D10" s="127">
        <f t="shared" si="0"/>
        <v>17185710</v>
      </c>
      <c r="E10" s="128">
        <v>0.51400000000000001</v>
      </c>
      <c r="F10" s="127">
        <f t="shared" si="4"/>
        <v>8833.4549399999996</v>
      </c>
      <c r="I10" s="162" t="s">
        <v>202</v>
      </c>
      <c r="J10" s="221"/>
      <c r="K10" s="223"/>
      <c r="L10" s="221"/>
      <c r="M10" s="226"/>
    </row>
    <row r="11" spans="1:13" ht="15.75" thickTop="1">
      <c r="A11" s="130" t="s">
        <v>56</v>
      </c>
      <c r="B11" s="126">
        <v>16145277</v>
      </c>
      <c r="C11" s="126">
        <v>622485</v>
      </c>
      <c r="D11" s="127">
        <f t="shared" si="0"/>
        <v>15522792</v>
      </c>
      <c r="E11" s="128">
        <v>0.51400000000000001</v>
      </c>
      <c r="F11" s="127">
        <f t="shared" si="4"/>
        <v>7978.7150880000008</v>
      </c>
      <c r="I11" s="169">
        <v>2018</v>
      </c>
      <c r="J11" s="220">
        <f>F59</f>
        <v>238853.48031799996</v>
      </c>
      <c r="K11" s="222">
        <f>'Project Emission'!D63</f>
        <v>42315.199999999997</v>
      </c>
      <c r="L11" s="224">
        <v>0</v>
      </c>
      <c r="M11" s="225">
        <f t="shared" ref="M11" si="6">J11-K11</f>
        <v>196538.28031799995</v>
      </c>
    </row>
    <row r="12" spans="1:13" ht="15.75" thickBot="1">
      <c r="A12" s="130" t="s">
        <v>57</v>
      </c>
      <c r="B12" s="126">
        <v>40072574</v>
      </c>
      <c r="C12" s="126">
        <v>496756</v>
      </c>
      <c r="D12" s="127">
        <f t="shared" si="0"/>
        <v>39575818</v>
      </c>
      <c r="E12" s="128">
        <v>0.51400000000000001</v>
      </c>
      <c r="F12" s="127">
        <f t="shared" si="4"/>
        <v>20341.970452000001</v>
      </c>
      <c r="I12" s="162" t="s">
        <v>203</v>
      </c>
      <c r="J12" s="221"/>
      <c r="K12" s="223"/>
      <c r="L12" s="221"/>
      <c r="M12" s="226"/>
    </row>
    <row r="13" spans="1:13" ht="15.75" thickTop="1">
      <c r="A13" s="130" t="s">
        <v>58</v>
      </c>
      <c r="B13" s="126">
        <v>11998094</v>
      </c>
      <c r="C13" s="126">
        <v>1047003</v>
      </c>
      <c r="D13" s="127">
        <f t="shared" si="0"/>
        <v>10951091</v>
      </c>
      <c r="E13" s="128">
        <v>0.51400000000000001</v>
      </c>
      <c r="F13" s="127">
        <f t="shared" si="4"/>
        <v>5628.8607739999998</v>
      </c>
      <c r="I13" s="169">
        <v>2019</v>
      </c>
      <c r="J13" s="220">
        <f>F72</f>
        <v>332597.50192800001</v>
      </c>
      <c r="K13" s="222">
        <f>'Project Emission'!D76</f>
        <v>58624.9</v>
      </c>
      <c r="L13" s="224">
        <v>0</v>
      </c>
      <c r="M13" s="225">
        <f t="shared" ref="M13" si="7">J13-K13</f>
        <v>273972.60192799999</v>
      </c>
    </row>
    <row r="14" spans="1:13" ht="15.75" thickBot="1">
      <c r="A14" s="130" t="s">
        <v>59</v>
      </c>
      <c r="B14" s="126">
        <v>140860068</v>
      </c>
      <c r="C14" s="126">
        <v>1138096</v>
      </c>
      <c r="D14" s="127">
        <f t="shared" si="0"/>
        <v>139721972</v>
      </c>
      <c r="E14" s="128">
        <v>0.51400000000000001</v>
      </c>
      <c r="F14" s="127">
        <f t="shared" si="4"/>
        <v>71817.093607999996</v>
      </c>
      <c r="I14" s="162" t="s">
        <v>204</v>
      </c>
      <c r="J14" s="221"/>
      <c r="K14" s="223"/>
      <c r="L14" s="221"/>
      <c r="M14" s="226"/>
    </row>
    <row r="15" spans="1:13" ht="15.75" thickTop="1">
      <c r="A15" s="130" t="s">
        <v>60</v>
      </c>
      <c r="B15" s="126">
        <v>165243508</v>
      </c>
      <c r="C15" s="126">
        <v>974970</v>
      </c>
      <c r="D15" s="127">
        <f t="shared" si="0"/>
        <v>164268538</v>
      </c>
      <c r="E15" s="128">
        <v>0.51400000000000001</v>
      </c>
      <c r="F15" s="127">
        <f t="shared" si="4"/>
        <v>84434.028532000011</v>
      </c>
      <c r="I15" s="169">
        <v>2020</v>
      </c>
      <c r="J15" s="220">
        <f>F77</f>
        <v>14294.425837999999</v>
      </c>
      <c r="K15" s="222">
        <f>'Project Emission'!D81</f>
        <v>2644.7</v>
      </c>
      <c r="L15" s="224">
        <v>0</v>
      </c>
      <c r="M15" s="225">
        <f>J15-K15</f>
        <v>11649.725837999998</v>
      </c>
    </row>
    <row r="16" spans="1:13" ht="15.75" thickBot="1">
      <c r="A16" s="130" t="s">
        <v>61</v>
      </c>
      <c r="B16" s="126">
        <v>148011240</v>
      </c>
      <c r="C16" s="126">
        <v>577124</v>
      </c>
      <c r="D16" s="127">
        <f t="shared" si="0"/>
        <v>147434116</v>
      </c>
      <c r="E16" s="128">
        <v>0.51400000000000001</v>
      </c>
      <c r="F16" s="127">
        <f t="shared" si="4"/>
        <v>75781.135624000002</v>
      </c>
      <c r="I16" s="162" t="s">
        <v>205</v>
      </c>
      <c r="J16" s="221"/>
      <c r="K16" s="223"/>
      <c r="L16" s="221"/>
      <c r="M16" s="226"/>
    </row>
    <row r="17" spans="1:13" ht="16.5" thickTop="1" thickBot="1">
      <c r="A17" s="130" t="s">
        <v>62</v>
      </c>
      <c r="B17" s="126">
        <v>65810112</v>
      </c>
      <c r="C17" s="126">
        <v>475419</v>
      </c>
      <c r="D17" s="127">
        <f t="shared" si="0"/>
        <v>65334693</v>
      </c>
      <c r="E17" s="128">
        <v>0.51400000000000001</v>
      </c>
      <c r="F17" s="127">
        <f t="shared" si="4"/>
        <v>33582.032202000002</v>
      </c>
      <c r="I17" s="142" t="s">
        <v>206</v>
      </c>
      <c r="J17" s="140">
        <f>SUM(J3:J15)</f>
        <v>2041872.8955539996</v>
      </c>
      <c r="K17" s="141">
        <f>SUM(K3:K15)</f>
        <v>360516.60000000009</v>
      </c>
      <c r="L17" s="139">
        <v>0</v>
      </c>
      <c r="M17" s="140">
        <f>SUM(M3:M16)</f>
        <v>1681356.295554</v>
      </c>
    </row>
    <row r="18" spans="1:13">
      <c r="A18" s="130" t="s">
        <v>63</v>
      </c>
      <c r="B18" s="126">
        <v>108530220</v>
      </c>
      <c r="C18" s="126">
        <v>399318</v>
      </c>
      <c r="D18" s="127">
        <f t="shared" si="0"/>
        <v>108130902</v>
      </c>
      <c r="E18" s="128">
        <v>0.51400000000000001</v>
      </c>
      <c r="F18" s="127">
        <f t="shared" si="4"/>
        <v>55579.283627999997</v>
      </c>
    </row>
    <row r="19" spans="1:13">
      <c r="A19" s="130" t="s">
        <v>64</v>
      </c>
      <c r="B19" s="126">
        <v>92250221</v>
      </c>
      <c r="C19" s="126">
        <v>484627</v>
      </c>
      <c r="D19" s="127">
        <f t="shared" si="0"/>
        <v>91765594</v>
      </c>
      <c r="E19" s="128">
        <v>0.51400000000000001</v>
      </c>
      <c r="F19" s="127">
        <f t="shared" si="4"/>
        <v>47167.515315999997</v>
      </c>
    </row>
    <row r="20" spans="1:13">
      <c r="A20" s="131" t="s">
        <v>188</v>
      </c>
      <c r="B20" s="129">
        <f t="shared" ref="B20:D20" si="8">SUM(B8:B19)</f>
        <v>928403991</v>
      </c>
      <c r="C20" s="129">
        <f t="shared" si="8"/>
        <v>8345848.9999999981</v>
      </c>
      <c r="D20" s="129">
        <f t="shared" si="8"/>
        <v>920058142</v>
      </c>
      <c r="E20" s="129"/>
      <c r="F20" s="129">
        <f>SUM(F8:F19)</f>
        <v>472909.88498799998</v>
      </c>
    </row>
    <row r="21" spans="1:13">
      <c r="A21" s="130" t="s">
        <v>65</v>
      </c>
      <c r="B21" s="126">
        <v>81452639</v>
      </c>
      <c r="C21" s="126">
        <v>479814</v>
      </c>
      <c r="D21" s="127">
        <f t="shared" si="0"/>
        <v>80972825</v>
      </c>
      <c r="E21" s="128">
        <v>0.51400000000000001</v>
      </c>
      <c r="F21" s="127">
        <f t="shared" si="4"/>
        <v>41620.032050000002</v>
      </c>
    </row>
    <row r="22" spans="1:13">
      <c r="A22" s="130" t="s">
        <v>16</v>
      </c>
      <c r="B22" s="126">
        <v>17479484</v>
      </c>
      <c r="C22" s="126">
        <v>513605</v>
      </c>
      <c r="D22" s="127">
        <f t="shared" si="0"/>
        <v>16965879</v>
      </c>
      <c r="E22" s="128">
        <v>0.51400000000000001</v>
      </c>
      <c r="F22" s="127">
        <f t="shared" si="4"/>
        <v>8720.4618059999993</v>
      </c>
      <c r="I22" t="s">
        <v>184</v>
      </c>
    </row>
    <row r="23" spans="1:13">
      <c r="A23" s="130" t="s">
        <v>66</v>
      </c>
      <c r="B23" s="126">
        <v>29501767</v>
      </c>
      <c r="C23" s="126">
        <v>467524</v>
      </c>
      <c r="D23" s="127">
        <f t="shared" si="0"/>
        <v>29034243</v>
      </c>
      <c r="E23" s="128">
        <v>0.51400000000000001</v>
      </c>
      <c r="F23" s="127">
        <f t="shared" si="4"/>
        <v>14923.600902</v>
      </c>
      <c r="I23" t="s">
        <v>184</v>
      </c>
    </row>
    <row r="24" spans="1:13">
      <c r="A24" s="130" t="s">
        <v>67</v>
      </c>
      <c r="B24" s="126">
        <v>23332395</v>
      </c>
      <c r="C24" s="126">
        <v>452118</v>
      </c>
      <c r="D24" s="127">
        <f t="shared" si="0"/>
        <v>22880277</v>
      </c>
      <c r="E24" s="128">
        <v>0.51400000000000001</v>
      </c>
      <c r="F24" s="127">
        <f t="shared" si="4"/>
        <v>11760.462378</v>
      </c>
    </row>
    <row r="25" spans="1:13">
      <c r="A25" s="130" t="s">
        <v>68</v>
      </c>
      <c r="B25" s="126">
        <v>29401314</v>
      </c>
      <c r="C25" s="126">
        <v>437394</v>
      </c>
      <c r="D25" s="127">
        <f t="shared" si="0"/>
        <v>28963920</v>
      </c>
      <c r="E25" s="128">
        <v>0.51400000000000001</v>
      </c>
      <c r="F25" s="127">
        <f t="shared" si="4"/>
        <v>14887.454880000001</v>
      </c>
    </row>
    <row r="26" spans="1:13">
      <c r="A26" s="130" t="s">
        <v>69</v>
      </c>
      <c r="B26" s="126">
        <v>64142605</v>
      </c>
      <c r="C26" s="126">
        <v>487818</v>
      </c>
      <c r="D26" s="127">
        <f t="shared" si="0"/>
        <v>63654787</v>
      </c>
      <c r="E26" s="128">
        <v>0.51400000000000001</v>
      </c>
      <c r="F26" s="127">
        <f t="shared" si="4"/>
        <v>32718.560517999998</v>
      </c>
    </row>
    <row r="27" spans="1:13">
      <c r="A27" s="130" t="s">
        <v>70</v>
      </c>
      <c r="B27" s="126">
        <v>79863149</v>
      </c>
      <c r="C27" s="126">
        <v>475247</v>
      </c>
      <c r="D27" s="127">
        <f t="shared" si="0"/>
        <v>79387902</v>
      </c>
      <c r="E27" s="128">
        <v>0.51400000000000001</v>
      </c>
      <c r="F27" s="127">
        <f t="shared" si="4"/>
        <v>40805.381627999996</v>
      </c>
    </row>
    <row r="28" spans="1:13">
      <c r="A28" s="130" t="s">
        <v>71</v>
      </c>
      <c r="B28" s="126">
        <v>163073473</v>
      </c>
      <c r="C28" s="126">
        <v>260086</v>
      </c>
      <c r="D28" s="127">
        <f t="shared" si="0"/>
        <v>162813387</v>
      </c>
      <c r="E28" s="128">
        <v>0.51400000000000001</v>
      </c>
      <c r="F28" s="127">
        <f t="shared" si="4"/>
        <v>83686.080917999992</v>
      </c>
    </row>
    <row r="29" spans="1:13">
      <c r="A29" s="130" t="s">
        <v>72</v>
      </c>
      <c r="B29" s="126">
        <v>103548093</v>
      </c>
      <c r="C29" s="126">
        <v>377466</v>
      </c>
      <c r="D29" s="127">
        <f t="shared" si="0"/>
        <v>103170627</v>
      </c>
      <c r="E29" s="128">
        <v>0.51400000000000001</v>
      </c>
      <c r="F29" s="127">
        <f t="shared" si="4"/>
        <v>53029.702278000004</v>
      </c>
    </row>
    <row r="30" spans="1:13">
      <c r="A30" s="130" t="s">
        <v>73</v>
      </c>
      <c r="B30" s="126">
        <v>70293643</v>
      </c>
      <c r="C30" s="126">
        <v>784985</v>
      </c>
      <c r="D30" s="127">
        <f t="shared" si="0"/>
        <v>69508658</v>
      </c>
      <c r="E30" s="128">
        <v>0.51400000000000001</v>
      </c>
      <c r="F30" s="127">
        <f t="shared" si="4"/>
        <v>35727.450211999996</v>
      </c>
    </row>
    <row r="31" spans="1:13">
      <c r="A31" s="130" t="s">
        <v>17</v>
      </c>
      <c r="B31" s="126">
        <v>87017283</v>
      </c>
      <c r="C31" s="126">
        <v>463748</v>
      </c>
      <c r="D31" s="127">
        <f t="shared" si="0"/>
        <v>86553535</v>
      </c>
      <c r="E31" s="128">
        <v>0.51400000000000001</v>
      </c>
      <c r="F31" s="127">
        <f t="shared" si="4"/>
        <v>44488.516990000004</v>
      </c>
    </row>
    <row r="32" spans="1:13">
      <c r="A32" s="130" t="s">
        <v>18</v>
      </c>
      <c r="B32" s="126">
        <v>78307820</v>
      </c>
      <c r="C32" s="126">
        <v>580172</v>
      </c>
      <c r="D32" s="127">
        <f t="shared" si="0"/>
        <v>77727648</v>
      </c>
      <c r="E32" s="128">
        <v>0.51400000000000001</v>
      </c>
      <c r="F32" s="127">
        <f t="shared" si="4"/>
        <v>39952.011072000001</v>
      </c>
    </row>
    <row r="33" spans="1:6">
      <c r="A33" s="131" t="s">
        <v>189</v>
      </c>
      <c r="B33" s="129">
        <f t="shared" ref="B33:D33" si="9">SUM(B21:B32)</f>
        <v>827413665</v>
      </c>
      <c r="C33" s="129">
        <f t="shared" si="9"/>
        <v>5779977</v>
      </c>
      <c r="D33" s="129">
        <f t="shared" si="9"/>
        <v>821633688</v>
      </c>
      <c r="E33" s="129"/>
      <c r="F33" s="129">
        <f>SUM(F21:F32)</f>
        <v>422319.71563200001</v>
      </c>
    </row>
    <row r="34" spans="1:6">
      <c r="A34" s="130" t="s">
        <v>19</v>
      </c>
      <c r="B34" s="126">
        <v>77767365</v>
      </c>
      <c r="C34" s="126">
        <v>658700</v>
      </c>
      <c r="D34" s="127">
        <f t="shared" si="0"/>
        <v>77108665</v>
      </c>
      <c r="E34" s="128">
        <v>0.51400000000000001</v>
      </c>
      <c r="F34" s="127">
        <f t="shared" si="4"/>
        <v>39633.853810000001</v>
      </c>
    </row>
    <row r="35" spans="1:6">
      <c r="A35" s="130" t="s">
        <v>20</v>
      </c>
      <c r="B35" s="126">
        <v>36996572</v>
      </c>
      <c r="C35" s="126">
        <v>522409</v>
      </c>
      <c r="D35" s="127">
        <f t="shared" si="0"/>
        <v>36474163</v>
      </c>
      <c r="E35" s="128">
        <v>0.51400000000000001</v>
      </c>
      <c r="F35" s="127">
        <f t="shared" si="4"/>
        <v>18747.719782</v>
      </c>
    </row>
    <row r="36" spans="1:6">
      <c r="A36" s="130" t="s">
        <v>21</v>
      </c>
      <c r="B36" s="126">
        <v>19201962</v>
      </c>
      <c r="C36" s="126">
        <v>621536</v>
      </c>
      <c r="D36" s="127">
        <f t="shared" si="0"/>
        <v>18580426</v>
      </c>
      <c r="E36" s="128">
        <v>0.51400000000000001</v>
      </c>
      <c r="F36" s="127">
        <f t="shared" si="4"/>
        <v>9550.3389640000005</v>
      </c>
    </row>
    <row r="37" spans="1:6">
      <c r="A37" s="130" t="s">
        <v>22</v>
      </c>
      <c r="B37" s="126">
        <v>19704160</v>
      </c>
      <c r="C37" s="126">
        <v>423036</v>
      </c>
      <c r="D37" s="127">
        <f t="shared" si="0"/>
        <v>19281124</v>
      </c>
      <c r="E37" s="128">
        <v>0.51400000000000001</v>
      </c>
      <c r="F37" s="127">
        <f t="shared" si="4"/>
        <v>9910.4977359999993</v>
      </c>
    </row>
    <row r="38" spans="1:6">
      <c r="A38" s="130" t="s">
        <v>23</v>
      </c>
      <c r="B38" s="126">
        <v>18924440</v>
      </c>
      <c r="C38" s="126">
        <v>398896</v>
      </c>
      <c r="D38" s="127">
        <f t="shared" si="0"/>
        <v>18525544</v>
      </c>
      <c r="E38" s="128">
        <v>0.51400000000000001</v>
      </c>
      <c r="F38" s="127">
        <f t="shared" si="4"/>
        <v>9522.1296160000002</v>
      </c>
    </row>
    <row r="39" spans="1:6">
      <c r="A39" s="130" t="s">
        <v>24</v>
      </c>
      <c r="B39" s="126">
        <v>15084309</v>
      </c>
      <c r="C39" s="126">
        <v>493867</v>
      </c>
      <c r="D39" s="127">
        <f t="shared" si="0"/>
        <v>14590442</v>
      </c>
      <c r="E39" s="128">
        <v>0.51400000000000001</v>
      </c>
      <c r="F39" s="127">
        <f t="shared" si="4"/>
        <v>7499.4871880000001</v>
      </c>
    </row>
    <row r="40" spans="1:6">
      <c r="A40" s="130" t="s">
        <v>25</v>
      </c>
      <c r="B40" s="126">
        <v>84645243</v>
      </c>
      <c r="C40" s="126">
        <v>409169</v>
      </c>
      <c r="D40" s="127">
        <f t="shared" si="0"/>
        <v>84236074</v>
      </c>
      <c r="E40" s="128">
        <v>0.51400000000000001</v>
      </c>
      <c r="F40" s="127">
        <f t="shared" si="4"/>
        <v>43297.342036000002</v>
      </c>
    </row>
    <row r="41" spans="1:6">
      <c r="A41" s="130" t="s">
        <v>26</v>
      </c>
      <c r="B41" s="126">
        <v>96355429</v>
      </c>
      <c r="C41" s="126">
        <v>370086</v>
      </c>
      <c r="D41" s="127">
        <f t="shared" si="0"/>
        <v>95985343</v>
      </c>
      <c r="E41" s="128">
        <v>0.51400000000000001</v>
      </c>
      <c r="F41" s="127">
        <f t="shared" si="4"/>
        <v>49336.466302000001</v>
      </c>
    </row>
    <row r="42" spans="1:6">
      <c r="A42" s="130" t="s">
        <v>27</v>
      </c>
      <c r="B42" s="126">
        <v>113179227</v>
      </c>
      <c r="C42" s="126">
        <v>336235</v>
      </c>
      <c r="D42" s="127">
        <f t="shared" si="0"/>
        <v>112842992</v>
      </c>
      <c r="E42" s="128">
        <v>0.51400000000000001</v>
      </c>
      <c r="F42" s="127">
        <f t="shared" si="4"/>
        <v>58001.297888000001</v>
      </c>
    </row>
    <row r="43" spans="1:6">
      <c r="A43" s="130" t="s">
        <v>28</v>
      </c>
      <c r="B43" s="126">
        <v>80758603</v>
      </c>
      <c r="C43" s="126">
        <v>410454</v>
      </c>
      <c r="D43" s="127">
        <f t="shared" si="0"/>
        <v>80348149</v>
      </c>
      <c r="E43" s="128">
        <v>0.51400000000000001</v>
      </c>
      <c r="F43" s="127">
        <f t="shared" si="4"/>
        <v>41298.948586000006</v>
      </c>
    </row>
    <row r="44" spans="1:6">
      <c r="A44" s="130" t="s">
        <v>29</v>
      </c>
      <c r="B44" s="126">
        <v>24356058</v>
      </c>
      <c r="C44" s="126">
        <v>543430</v>
      </c>
      <c r="D44" s="127">
        <f t="shared" si="0"/>
        <v>23812628</v>
      </c>
      <c r="E44" s="128">
        <v>0.51400000000000001</v>
      </c>
      <c r="F44" s="127">
        <f t="shared" si="4"/>
        <v>12239.690791999999</v>
      </c>
    </row>
    <row r="45" spans="1:6">
      <c r="A45" s="130" t="s">
        <v>30</v>
      </c>
      <c r="B45" s="126">
        <v>0</v>
      </c>
      <c r="C45" s="126">
        <v>603561</v>
      </c>
      <c r="D45" s="127">
        <f t="shared" si="0"/>
        <v>-603561</v>
      </c>
      <c r="E45" s="128">
        <v>0.51400000000000001</v>
      </c>
      <c r="F45" s="127">
        <f t="shared" si="4"/>
        <v>-310.23035399999998</v>
      </c>
    </row>
    <row r="46" spans="1:6">
      <c r="A46" s="131" t="s">
        <v>190</v>
      </c>
      <c r="B46" s="129">
        <f t="shared" ref="B46:D46" si="10">SUM(B34:B45)</f>
        <v>586973368</v>
      </c>
      <c r="C46" s="129">
        <f t="shared" si="10"/>
        <v>5791379</v>
      </c>
      <c r="D46" s="129">
        <f t="shared" si="10"/>
        <v>581181989</v>
      </c>
      <c r="E46" s="129"/>
      <c r="F46" s="129">
        <f>SUM(F34:F45)</f>
        <v>298727.54234599997</v>
      </c>
    </row>
    <row r="47" spans="1:6">
      <c r="A47" s="130" t="s">
        <v>31</v>
      </c>
      <c r="B47" s="126">
        <v>108129962</v>
      </c>
      <c r="C47" s="126">
        <v>417157</v>
      </c>
      <c r="D47" s="127">
        <f t="shared" si="0"/>
        <v>107712805</v>
      </c>
      <c r="E47" s="128">
        <v>0.51400000000000001</v>
      </c>
      <c r="F47" s="127">
        <f t="shared" si="4"/>
        <v>55364.38177</v>
      </c>
    </row>
    <row r="48" spans="1:6">
      <c r="A48" s="130" t="s">
        <v>32</v>
      </c>
      <c r="B48" s="126">
        <v>19206386</v>
      </c>
      <c r="C48" s="126">
        <v>519225</v>
      </c>
      <c r="D48" s="127">
        <f t="shared" si="0"/>
        <v>18687161</v>
      </c>
      <c r="E48" s="128">
        <v>0.51400000000000001</v>
      </c>
      <c r="F48" s="127">
        <f t="shared" si="4"/>
        <v>9605.2007540000013</v>
      </c>
    </row>
    <row r="49" spans="1:6">
      <c r="A49" s="130" t="s">
        <v>33</v>
      </c>
      <c r="B49" s="126">
        <v>32960212</v>
      </c>
      <c r="C49" s="126">
        <v>458557</v>
      </c>
      <c r="D49" s="127">
        <f t="shared" si="0"/>
        <v>32501655</v>
      </c>
      <c r="E49" s="128">
        <v>0.51400000000000001</v>
      </c>
      <c r="F49" s="127">
        <f t="shared" si="4"/>
        <v>16705.85067</v>
      </c>
    </row>
    <row r="50" spans="1:6">
      <c r="A50" s="130" t="s">
        <v>34</v>
      </c>
      <c r="B50" s="126">
        <v>40082855</v>
      </c>
      <c r="C50" s="126">
        <v>366562</v>
      </c>
      <c r="D50" s="127">
        <f t="shared" si="0"/>
        <v>39716293</v>
      </c>
      <c r="E50" s="128">
        <v>0.51400000000000001</v>
      </c>
      <c r="F50" s="127">
        <f t="shared" si="4"/>
        <v>20414.174602000003</v>
      </c>
    </row>
    <row r="51" spans="1:6">
      <c r="A51" s="130" t="s">
        <v>35</v>
      </c>
      <c r="B51" s="126">
        <v>20147741</v>
      </c>
      <c r="C51" s="126">
        <v>380065</v>
      </c>
      <c r="D51" s="127">
        <f t="shared" si="0"/>
        <v>19767676</v>
      </c>
      <c r="E51" s="128">
        <v>0.51400000000000001</v>
      </c>
      <c r="F51" s="127">
        <f t="shared" si="4"/>
        <v>10160.585464</v>
      </c>
    </row>
    <row r="52" spans="1:6">
      <c r="A52" s="130" t="s">
        <v>36</v>
      </c>
      <c r="B52" s="126">
        <v>13146199</v>
      </c>
      <c r="C52" s="126">
        <v>480648</v>
      </c>
      <c r="D52" s="127">
        <f t="shared" si="0"/>
        <v>12665551</v>
      </c>
      <c r="E52" s="128">
        <v>0.51400000000000001</v>
      </c>
      <c r="F52" s="127">
        <f t="shared" si="4"/>
        <v>6510.0932140000004</v>
      </c>
    </row>
    <row r="53" spans="1:6">
      <c r="A53" s="130" t="s">
        <v>37</v>
      </c>
      <c r="B53" s="126">
        <v>87324524</v>
      </c>
      <c r="C53" s="126">
        <v>427044</v>
      </c>
      <c r="D53" s="127">
        <f t="shared" si="0"/>
        <v>86897480</v>
      </c>
      <c r="E53" s="128">
        <v>0.51400000000000001</v>
      </c>
      <c r="F53" s="127">
        <f t="shared" si="4"/>
        <v>44665.30472</v>
      </c>
    </row>
    <row r="54" spans="1:6">
      <c r="A54" s="130" t="s">
        <v>38</v>
      </c>
      <c r="B54" s="126">
        <v>76303347</v>
      </c>
      <c r="C54" s="126">
        <v>402799</v>
      </c>
      <c r="D54" s="127">
        <f t="shared" si="0"/>
        <v>75900548</v>
      </c>
      <c r="E54" s="128">
        <v>0.51400000000000001</v>
      </c>
      <c r="F54" s="127">
        <f t="shared" si="4"/>
        <v>39012.881671999996</v>
      </c>
    </row>
    <row r="55" spans="1:6">
      <c r="A55" s="130" t="s">
        <v>39</v>
      </c>
      <c r="B55" s="126">
        <v>29937232</v>
      </c>
      <c r="C55" s="126">
        <v>451205</v>
      </c>
      <c r="D55" s="127">
        <f t="shared" si="0"/>
        <v>29486027</v>
      </c>
      <c r="E55" s="128">
        <v>0.51400000000000001</v>
      </c>
      <c r="F55" s="127">
        <f t="shared" si="4"/>
        <v>15155.817878</v>
      </c>
    </row>
    <row r="56" spans="1:6">
      <c r="A56" s="130" t="s">
        <v>40</v>
      </c>
      <c r="B56" s="126">
        <v>6343994</v>
      </c>
      <c r="C56" s="126">
        <v>497693</v>
      </c>
      <c r="D56" s="127">
        <f t="shared" si="0"/>
        <v>5846301</v>
      </c>
      <c r="E56" s="128">
        <v>0.51400000000000001</v>
      </c>
      <c r="F56" s="127">
        <f t="shared" si="4"/>
        <v>3004.9987140000003</v>
      </c>
    </row>
    <row r="57" spans="1:6">
      <c r="A57" s="130" t="s">
        <v>41</v>
      </c>
      <c r="B57" s="126">
        <v>30376117</v>
      </c>
      <c r="C57" s="126">
        <v>494004</v>
      </c>
      <c r="D57" s="127">
        <f t="shared" si="0"/>
        <v>29882113</v>
      </c>
      <c r="E57" s="128">
        <v>0.51400000000000001</v>
      </c>
      <c r="F57" s="127">
        <f t="shared" si="4"/>
        <v>15359.406082</v>
      </c>
    </row>
    <row r="58" spans="1:6">
      <c r="A58" s="130" t="s">
        <v>42</v>
      </c>
      <c r="B58" s="126">
        <v>6209648</v>
      </c>
      <c r="C58" s="126">
        <v>577771</v>
      </c>
      <c r="D58" s="127">
        <f t="shared" si="0"/>
        <v>5631877</v>
      </c>
      <c r="E58" s="128">
        <v>0.51400000000000001</v>
      </c>
      <c r="F58" s="127">
        <f t="shared" si="4"/>
        <v>2894.7847779999997</v>
      </c>
    </row>
    <row r="59" spans="1:6">
      <c r="A59" s="131" t="s">
        <v>191</v>
      </c>
      <c r="B59" s="129">
        <f t="shared" ref="B59:D59" si="11">SUM(B47:B58)</f>
        <v>470168217</v>
      </c>
      <c r="C59" s="129">
        <f t="shared" si="11"/>
        <v>5472730</v>
      </c>
      <c r="D59" s="129">
        <f t="shared" si="11"/>
        <v>464695487</v>
      </c>
      <c r="E59" s="129"/>
      <c r="F59" s="129">
        <f>SUM(F47:F58)</f>
        <v>238853.48031799996</v>
      </c>
    </row>
    <row r="60" spans="1:6">
      <c r="A60" s="130" t="s">
        <v>43</v>
      </c>
      <c r="B60" s="126">
        <v>28484154</v>
      </c>
      <c r="C60" s="126">
        <v>549822</v>
      </c>
      <c r="D60" s="127">
        <f t="shared" si="0"/>
        <v>27934332</v>
      </c>
      <c r="E60" s="128">
        <v>0.51400000000000001</v>
      </c>
      <c r="F60" s="127">
        <f t="shared" si="4"/>
        <v>14358.246648</v>
      </c>
    </row>
    <row r="61" spans="1:6">
      <c r="A61" s="130" t="s">
        <v>44</v>
      </c>
      <c r="B61" s="126">
        <v>48304574</v>
      </c>
      <c r="C61" s="126">
        <v>465017</v>
      </c>
      <c r="D61" s="127">
        <f t="shared" si="0"/>
        <v>47839557</v>
      </c>
      <c r="E61" s="128">
        <v>0.51400000000000001</v>
      </c>
      <c r="F61" s="127">
        <f t="shared" si="4"/>
        <v>24589.532298000002</v>
      </c>
    </row>
    <row r="62" spans="1:6">
      <c r="A62" s="130" t="s">
        <v>87</v>
      </c>
      <c r="B62" s="126">
        <v>49220685</v>
      </c>
      <c r="C62" s="126">
        <v>413114</v>
      </c>
      <c r="D62" s="127">
        <f t="shared" si="0"/>
        <v>48807571</v>
      </c>
      <c r="E62" s="128">
        <v>0.51400000000000001</v>
      </c>
      <c r="F62" s="127">
        <f t="shared" si="4"/>
        <v>25087.091494</v>
      </c>
    </row>
    <row r="63" spans="1:6">
      <c r="A63" s="130" t="s">
        <v>88</v>
      </c>
      <c r="B63" s="126">
        <v>36280801</v>
      </c>
      <c r="C63" s="126">
        <v>360532</v>
      </c>
      <c r="D63" s="127">
        <f t="shared" si="0"/>
        <v>35920269</v>
      </c>
      <c r="E63" s="128">
        <v>0.51400000000000001</v>
      </c>
      <c r="F63" s="127">
        <f t="shared" si="4"/>
        <v>18463.018265999999</v>
      </c>
    </row>
    <row r="64" spans="1:6">
      <c r="A64" s="130" t="s">
        <v>89</v>
      </c>
      <c r="B64" s="126">
        <v>13574193</v>
      </c>
      <c r="C64" s="126">
        <v>462715</v>
      </c>
      <c r="D64" s="127">
        <f t="shared" si="0"/>
        <v>13111478</v>
      </c>
      <c r="E64" s="128">
        <v>0.51400000000000001</v>
      </c>
      <c r="F64" s="127">
        <f t="shared" si="4"/>
        <v>6739.2996919999996</v>
      </c>
    </row>
    <row r="65" spans="1:6">
      <c r="A65" s="130" t="s">
        <v>90</v>
      </c>
      <c r="B65" s="126">
        <v>31425061</v>
      </c>
      <c r="C65" s="126">
        <v>459724</v>
      </c>
      <c r="D65" s="127">
        <f t="shared" si="0"/>
        <v>30965337</v>
      </c>
      <c r="E65" s="128">
        <v>0.51400000000000001</v>
      </c>
      <c r="F65" s="127">
        <f t="shared" si="4"/>
        <v>15916.183218</v>
      </c>
    </row>
    <row r="66" spans="1:6">
      <c r="A66" s="130" t="s">
        <v>91</v>
      </c>
      <c r="B66" s="126">
        <v>102879235</v>
      </c>
      <c r="C66" s="126">
        <v>332219</v>
      </c>
      <c r="D66" s="127">
        <f t="shared" si="0"/>
        <v>102547016</v>
      </c>
      <c r="E66" s="128">
        <v>0.51400000000000001</v>
      </c>
      <c r="F66" s="127">
        <f t="shared" si="4"/>
        <v>52709.166224000001</v>
      </c>
    </row>
    <row r="67" spans="1:6">
      <c r="A67" s="130" t="s">
        <v>92</v>
      </c>
      <c r="B67" s="126">
        <v>101844648</v>
      </c>
      <c r="C67" s="126">
        <v>326275</v>
      </c>
      <c r="D67" s="127">
        <f t="shared" ref="D67:D76" si="12">B67-C67</f>
        <v>101518373</v>
      </c>
      <c r="E67" s="128">
        <v>0.51400000000000001</v>
      </c>
      <c r="F67" s="127">
        <f t="shared" si="4"/>
        <v>52180.443722000004</v>
      </c>
    </row>
    <row r="68" spans="1:6">
      <c r="A68" s="130" t="s">
        <v>93</v>
      </c>
      <c r="B68" s="126">
        <v>98441527</v>
      </c>
      <c r="C68" s="126">
        <v>258176</v>
      </c>
      <c r="D68" s="127">
        <f t="shared" si="12"/>
        <v>98183351</v>
      </c>
      <c r="E68" s="128">
        <v>0.51400000000000001</v>
      </c>
      <c r="F68" s="127">
        <f t="shared" si="4"/>
        <v>50466.242414000008</v>
      </c>
    </row>
    <row r="69" spans="1:6">
      <c r="A69" s="130" t="s">
        <v>94</v>
      </c>
      <c r="B69" s="126">
        <v>42335139</v>
      </c>
      <c r="C69" s="126">
        <v>197984</v>
      </c>
      <c r="D69" s="127">
        <f t="shared" si="12"/>
        <v>42137155</v>
      </c>
      <c r="E69" s="128">
        <v>0.51400000000000001</v>
      </c>
      <c r="F69" s="127">
        <f t="shared" si="4"/>
        <v>21658.497670000001</v>
      </c>
    </row>
    <row r="70" spans="1:6">
      <c r="A70" s="130" t="s">
        <v>95</v>
      </c>
      <c r="B70" s="126">
        <v>61269551</v>
      </c>
      <c r="C70" s="126">
        <v>200560</v>
      </c>
      <c r="D70" s="127">
        <f t="shared" si="12"/>
        <v>61068991</v>
      </c>
      <c r="E70" s="128">
        <v>0.51400000000000001</v>
      </c>
      <c r="F70" s="127">
        <f t="shared" si="4"/>
        <v>31389.461374000002</v>
      </c>
    </row>
    <row r="71" spans="1:6">
      <c r="A71" s="130" t="s">
        <v>96</v>
      </c>
      <c r="B71" s="126">
        <v>37327377</v>
      </c>
      <c r="C71" s="126">
        <v>283955</v>
      </c>
      <c r="D71" s="127">
        <f t="shared" si="12"/>
        <v>37043422</v>
      </c>
      <c r="E71" s="128">
        <v>0.51400000000000001</v>
      </c>
      <c r="F71" s="127">
        <f t="shared" si="4"/>
        <v>19040.318908000001</v>
      </c>
    </row>
    <row r="72" spans="1:6">
      <c r="A72" s="131" t="s">
        <v>192</v>
      </c>
      <c r="B72" s="129">
        <f t="shared" ref="B72:D72" si="13">SUM(B60:B71)</f>
        <v>651386945</v>
      </c>
      <c r="C72" s="129">
        <f t="shared" si="13"/>
        <v>4310093</v>
      </c>
      <c r="D72" s="129">
        <f t="shared" si="13"/>
        <v>647076852</v>
      </c>
      <c r="E72" s="129"/>
      <c r="F72" s="129">
        <f>SUM(F60:F71)</f>
        <v>332597.50192800001</v>
      </c>
    </row>
    <row r="73" spans="1:6">
      <c r="A73" s="130" t="s">
        <v>97</v>
      </c>
      <c r="B73" s="126">
        <v>9195206</v>
      </c>
      <c r="C73" s="126">
        <v>364097</v>
      </c>
      <c r="D73" s="127">
        <f t="shared" si="12"/>
        <v>8831109</v>
      </c>
      <c r="E73" s="128">
        <v>0.51400000000000001</v>
      </c>
      <c r="F73" s="127">
        <f t="shared" ref="F73:F76" si="14">D73*E73/1000</f>
        <v>4539.1900260000002</v>
      </c>
    </row>
    <row r="74" spans="1:6">
      <c r="A74" s="130" t="s">
        <v>98</v>
      </c>
      <c r="B74" s="126">
        <v>4698825</v>
      </c>
      <c r="C74" s="126">
        <v>380855</v>
      </c>
      <c r="D74" s="127">
        <f t="shared" si="12"/>
        <v>4317970</v>
      </c>
      <c r="E74" s="128">
        <v>0.51400000000000001</v>
      </c>
      <c r="F74" s="127">
        <f t="shared" si="14"/>
        <v>2219.43658</v>
      </c>
    </row>
    <row r="75" spans="1:6">
      <c r="A75" s="130" t="s">
        <v>99</v>
      </c>
      <c r="B75" s="126">
        <v>10318390</v>
      </c>
      <c r="C75" s="126">
        <v>424346</v>
      </c>
      <c r="D75" s="127">
        <f t="shared" si="12"/>
        <v>9894044</v>
      </c>
      <c r="E75" s="128">
        <v>0.51400000000000001</v>
      </c>
      <c r="F75" s="127">
        <f t="shared" si="14"/>
        <v>5085.5386160000007</v>
      </c>
    </row>
    <row r="76" spans="1:6">
      <c r="A76" s="130" t="s">
        <v>100</v>
      </c>
      <c r="B76" s="126">
        <v>5172435</v>
      </c>
      <c r="C76" s="126">
        <v>405391</v>
      </c>
      <c r="D76" s="127">
        <f t="shared" si="12"/>
        <v>4767044</v>
      </c>
      <c r="E76" s="128">
        <v>0.51400000000000001</v>
      </c>
      <c r="F76" s="127">
        <f t="shared" si="14"/>
        <v>2450.260616</v>
      </c>
    </row>
    <row r="77" spans="1:6">
      <c r="A77" s="135" t="s">
        <v>193</v>
      </c>
      <c r="B77" s="136">
        <f t="shared" ref="B77:D77" si="15">SUM(B73:B76)</f>
        <v>29384856</v>
      </c>
      <c r="C77" s="136">
        <f t="shared" si="15"/>
        <v>1574689</v>
      </c>
      <c r="D77" s="136">
        <f t="shared" si="15"/>
        <v>27810167</v>
      </c>
      <c r="E77" s="136"/>
      <c r="F77" s="136">
        <f>SUM(F73:F76)</f>
        <v>14294.425837999999</v>
      </c>
    </row>
    <row r="79" spans="1:6">
      <c r="A79" s="143" t="s">
        <v>121</v>
      </c>
      <c r="B79" s="144">
        <f>B7+B20+B33+B46+B59+B72+B77</f>
        <v>4005735439</v>
      </c>
      <c r="C79" s="144">
        <f t="shared" ref="C79" si="16">C7+C20+C33+C46+C59+C72+C77</f>
        <v>33220078</v>
      </c>
      <c r="D79" s="144">
        <f>D7+D20+D33+D46+D59+D72+D77</f>
        <v>3972515361</v>
      </c>
      <c r="E79" s="144"/>
      <c r="F79" s="144">
        <f>F7+F20+F33+F46+F59+F72+F77</f>
        <v>2041872.8955539996</v>
      </c>
    </row>
  </sheetData>
  <mergeCells count="31">
    <mergeCell ref="J13:J14"/>
    <mergeCell ref="K13:K14"/>
    <mergeCell ref="L13:L14"/>
    <mergeCell ref="M13:M14"/>
    <mergeCell ref="J15:J16"/>
    <mergeCell ref="K15:K16"/>
    <mergeCell ref="L15:L16"/>
    <mergeCell ref="M15:M16"/>
    <mergeCell ref="J9:J10"/>
    <mergeCell ref="K9:K10"/>
    <mergeCell ref="L9:L10"/>
    <mergeCell ref="M9:M10"/>
    <mergeCell ref="J11:J12"/>
    <mergeCell ref="K11:K12"/>
    <mergeCell ref="L11:L12"/>
    <mergeCell ref="M11:M12"/>
    <mergeCell ref="J7:J8"/>
    <mergeCell ref="K7:K8"/>
    <mergeCell ref="L7:L8"/>
    <mergeCell ref="M7:M8"/>
    <mergeCell ref="I1:I2"/>
    <mergeCell ref="K1:K2"/>
    <mergeCell ref="L1:L2"/>
    <mergeCell ref="J3:J4"/>
    <mergeCell ref="K3:K4"/>
    <mergeCell ref="L3:L4"/>
    <mergeCell ref="M3:M4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ignoredErrors>
    <ignoredError sqref="F3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E9032E0A888A42AF81DE597B096E2E" ma:contentTypeVersion="11" ma:contentTypeDescription="Create a new document." ma:contentTypeScope="" ma:versionID="e16909bdf335abdb5979c24bc5439937">
  <xsd:schema xmlns:xsd="http://www.w3.org/2001/XMLSchema" xmlns:xs="http://www.w3.org/2001/XMLSchema" xmlns:p="http://schemas.microsoft.com/office/2006/metadata/properties" xmlns:ns2="757c514c-5e98-4830-a950-9bf50c6b417e" xmlns:ns3="6502c273-67c2-440e-b79d-6221121bada1" targetNamespace="http://schemas.microsoft.com/office/2006/metadata/properties" ma:root="true" ma:fieldsID="b9d178691cdcfcfc19fbfed68b29a488" ns2:_="" ns3:_="">
    <xsd:import namespace="757c514c-5e98-4830-a950-9bf50c6b417e"/>
    <xsd:import namespace="6502c273-67c2-440e-b79d-6221121ba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514c-5e98-4830-a950-9bf50c6b41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2c273-67c2-440e-b79d-6221121ba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EEADD-D02A-43A3-98D2-2D89DD785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812981-347F-43EF-94E5-D04038C4A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514c-5e98-4830-a950-9bf50c6b417e"/>
    <ds:schemaRef ds:uri="6502c273-67c2-440e-b79d-6221121ba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BOYABAT HEPP</vt:lpstr>
      <vt:lpstr>Project Emission</vt:lpstr>
      <vt:lpstr>Reservoir Area</vt:lpstr>
      <vt:lpstr>ER</vt:lpstr>
      <vt:lpstr>Vintage Base Comparison</vt:lpstr>
      <vt:lpstr>Revised_EPIAS</vt:lpstr>
    </vt:vector>
  </TitlesOfParts>
  <Company>Ruzgar Danismanlik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Cagla Balci Eris</dc:creator>
  <cp:lastModifiedBy>Anıl Söyler</cp:lastModifiedBy>
  <cp:lastPrinted>2012-10-12T14:47:03Z</cp:lastPrinted>
  <dcterms:created xsi:type="dcterms:W3CDTF">2010-11-11T14:08:33Z</dcterms:created>
  <dcterms:modified xsi:type="dcterms:W3CDTF">2022-01-17T10:04:25Z</dcterms:modified>
</cp:coreProperties>
</file>