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nking\4. VCS\VVAL31 &amp;VVER51_Giriraj Enterprises and DJM\170329\"/>
    </mc:Choice>
  </mc:AlternateContent>
  <bookViews>
    <workbookView xWindow="0" yWindow="0" windowWidth="20490" windowHeight="7755" tabRatio="835"/>
  </bookViews>
  <sheets>
    <sheet name="Project Cost" sheetId="1" r:id="rId1"/>
    <sheet name="Assumption" sheetId="2" r:id="rId2"/>
    <sheet name="P&amp;L Stat." sheetId="4" r:id="rId3"/>
    <sheet name="Sensitivity" sheetId="6" r:id="rId4"/>
    <sheet name="Benchmark" sheetId="11" r:id="rId5"/>
  </sheets>
  <calcPr calcId="152511"/>
</workbook>
</file>

<file path=xl/calcChain.xml><?xml version="1.0" encoding="utf-8"?>
<calcChain xmlns="http://schemas.openxmlformats.org/spreadsheetml/2006/main">
  <c r="C13" i="2" l="1"/>
  <c r="C24" i="2"/>
  <c r="C17" i="1" l="1"/>
  <c r="C20" i="1" l="1"/>
  <c r="F3" i="2" l="1"/>
  <c r="H14" i="4" l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G14" i="4"/>
  <c r="F14" i="4"/>
  <c r="E14" i="4"/>
  <c r="C16" i="2" l="1"/>
  <c r="C22" i="1" l="1"/>
  <c r="C18" i="1" l="1"/>
  <c r="C9" i="2" l="1"/>
  <c r="B2" i="2" l="1"/>
  <c r="D9" i="4"/>
  <c r="E9" i="4" s="1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P72" i="4" l="1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Y38" i="4"/>
  <c r="Z38" i="4"/>
  <c r="AA38" i="4"/>
  <c r="AB38" i="4"/>
  <c r="AC38" i="4"/>
  <c r="Y10" i="4"/>
  <c r="AB10" i="4" l="1"/>
  <c r="Z10" i="4"/>
  <c r="AC10" i="4"/>
  <c r="AA10" i="4"/>
  <c r="E85" i="4"/>
  <c r="E84" i="4"/>
  <c r="D29" i="4" l="1"/>
  <c r="E29" i="4" s="1"/>
  <c r="F29" i="4" s="1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R29" i="4" s="1"/>
  <c r="S29" i="4" s="1"/>
  <c r="T29" i="4" s="1"/>
  <c r="U29" i="4" s="1"/>
  <c r="V29" i="4" s="1"/>
  <c r="W29" i="4" s="1"/>
  <c r="X29" i="4" s="1"/>
  <c r="Y29" i="4" s="1"/>
  <c r="Z29" i="4" l="1"/>
  <c r="C8" i="2"/>
  <c r="AA29" i="4" l="1"/>
  <c r="AB29" i="4" s="1"/>
  <c r="R98" i="4"/>
  <c r="T98" i="4" s="1"/>
  <c r="V98" i="4" s="1"/>
  <c r="X98" i="4" s="1"/>
  <c r="Z98" i="4" s="1"/>
  <c r="AB98" i="4" s="1"/>
  <c r="AD98" i="4" s="1"/>
  <c r="AF98" i="4" s="1"/>
  <c r="AH98" i="4" s="1"/>
  <c r="AJ98" i="4" s="1"/>
  <c r="AL98" i="4" s="1"/>
  <c r="AN98" i="4" s="1"/>
  <c r="AP98" i="4" s="1"/>
  <c r="AR98" i="4" s="1"/>
  <c r="AC29" i="4" l="1"/>
  <c r="C36" i="2" l="1"/>
  <c r="C11" i="11" l="1"/>
  <c r="C12" i="11" s="1"/>
  <c r="D6" i="11" s="1"/>
  <c r="E13" i="6" l="1"/>
  <c r="E3" i="2" s="1"/>
  <c r="X38" i="4"/>
  <c r="W38" i="4"/>
  <c r="V38" i="4"/>
  <c r="U38" i="4"/>
  <c r="T38" i="4"/>
  <c r="S38" i="4"/>
  <c r="R38" i="4"/>
  <c r="Q38" i="4"/>
  <c r="P38" i="4"/>
  <c r="D108" i="4"/>
  <c r="D107" i="4"/>
  <c r="D105" i="4"/>
  <c r="D106" i="4" s="1"/>
  <c r="D109" i="4" l="1"/>
  <c r="D20" i="4" l="1"/>
  <c r="E20" i="4" s="1"/>
  <c r="F20" i="4" s="1"/>
  <c r="G20" i="4" s="1"/>
  <c r="H20" i="4" s="1"/>
  <c r="I20" i="4" s="1"/>
  <c r="J20" i="4" s="1"/>
  <c r="K20" i="4" s="1"/>
  <c r="L20" i="4" s="1"/>
  <c r="M20" i="4" s="1"/>
  <c r="N20" i="4" l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C14" i="2"/>
  <c r="C11" i="2" l="1"/>
  <c r="C10" i="2"/>
  <c r="C38" i="2" l="1"/>
  <c r="D110" i="4"/>
  <c r="D112" i="4" l="1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D10" i="4"/>
  <c r="C49" i="2" l="1"/>
  <c r="C2" i="4" l="1"/>
  <c r="C2" i="6" l="1"/>
  <c r="C6" i="4" l="1"/>
  <c r="D6" i="4" l="1"/>
  <c r="D89" i="4"/>
  <c r="F89" i="4" s="1"/>
  <c r="D133" i="4" l="1"/>
  <c r="D127" i="4"/>
  <c r="D121" i="4"/>
  <c r="D115" i="4"/>
  <c r="D11" i="4"/>
  <c r="D90" i="4"/>
  <c r="D87" i="4" s="1"/>
  <c r="E6" i="4"/>
  <c r="F6" i="4" s="1"/>
  <c r="E90" i="4"/>
  <c r="H89" i="4"/>
  <c r="D7" i="4"/>
  <c r="E7" i="4" l="1"/>
  <c r="F7" i="4" s="1"/>
  <c r="F133" i="4"/>
  <c r="F127" i="4"/>
  <c r="F121" i="4"/>
  <c r="F115" i="4"/>
  <c r="E133" i="4"/>
  <c r="E127" i="4"/>
  <c r="E121" i="4"/>
  <c r="E115" i="4"/>
  <c r="D12" i="4"/>
  <c r="D13" i="4" s="1"/>
  <c r="E89" i="4"/>
  <c r="G89" i="4" s="1"/>
  <c r="F90" i="4" s="1"/>
  <c r="E87" i="4" s="1"/>
  <c r="D92" i="4"/>
  <c r="E11" i="4"/>
  <c r="J89" i="4"/>
  <c r="G90" i="4"/>
  <c r="F11" i="4"/>
  <c r="G6" i="4"/>
  <c r="G133" i="4" l="1"/>
  <c r="G127" i="4"/>
  <c r="G121" i="4"/>
  <c r="G115" i="4"/>
  <c r="D15" i="4"/>
  <c r="G92" i="4"/>
  <c r="E92" i="4"/>
  <c r="E94" i="4" s="1"/>
  <c r="I89" i="4"/>
  <c r="H90" i="4" s="1"/>
  <c r="G87" i="4" s="1"/>
  <c r="F12" i="4"/>
  <c r="F13" i="4" s="1"/>
  <c r="F15" i="4" s="1"/>
  <c r="F18" i="4" s="1"/>
  <c r="E12" i="4"/>
  <c r="E13" i="4" s="1"/>
  <c r="L89" i="4"/>
  <c r="I90" i="4"/>
  <c r="F92" i="4"/>
  <c r="G11" i="4"/>
  <c r="H6" i="4"/>
  <c r="G7" i="4"/>
  <c r="D18" i="4" l="1"/>
  <c r="D23" i="4" s="1"/>
  <c r="G94" i="4"/>
  <c r="H133" i="4"/>
  <c r="H127" i="4"/>
  <c r="H121" i="4"/>
  <c r="H115" i="4"/>
  <c r="K89" i="4"/>
  <c r="M89" i="4" s="1"/>
  <c r="E15" i="4"/>
  <c r="I92" i="4"/>
  <c r="G12" i="4"/>
  <c r="G13" i="4" s="1"/>
  <c r="G15" i="4" s="1"/>
  <c r="G18" i="4" s="1"/>
  <c r="N89" i="4"/>
  <c r="K90" i="4"/>
  <c r="H11" i="4"/>
  <c r="I6" i="4"/>
  <c r="H92" i="4"/>
  <c r="H7" i="4"/>
  <c r="D22" i="4" l="1"/>
  <c r="D25" i="4" s="1"/>
  <c r="E18" i="4"/>
  <c r="E23" i="4" s="1"/>
  <c r="F23" i="4" s="1"/>
  <c r="J90" i="4"/>
  <c r="I87" i="4" s="1"/>
  <c r="I133" i="4"/>
  <c r="I127" i="4"/>
  <c r="I121" i="4"/>
  <c r="I115" i="4"/>
  <c r="K92" i="4"/>
  <c r="I94" i="4"/>
  <c r="F22" i="4"/>
  <c r="H12" i="4"/>
  <c r="H13" i="4" s="1"/>
  <c r="H15" i="4" s="1"/>
  <c r="H18" i="4" s="1"/>
  <c r="M90" i="4"/>
  <c r="M92" i="4" s="1"/>
  <c r="P89" i="4"/>
  <c r="L90" i="4"/>
  <c r="K87" i="4" s="1"/>
  <c r="O89" i="4"/>
  <c r="I7" i="4"/>
  <c r="I11" i="4"/>
  <c r="J6" i="4"/>
  <c r="E22" i="4" l="1"/>
  <c r="E25" i="4" s="1"/>
  <c r="J92" i="4"/>
  <c r="K94" i="4" s="1"/>
  <c r="G23" i="4"/>
  <c r="F25" i="4"/>
  <c r="J133" i="4"/>
  <c r="J127" i="4"/>
  <c r="J121" i="4"/>
  <c r="J115" i="4"/>
  <c r="G22" i="4"/>
  <c r="I12" i="4"/>
  <c r="I13" i="4" s="1"/>
  <c r="I15" i="4" s="1"/>
  <c r="I18" i="4" s="1"/>
  <c r="N90" i="4"/>
  <c r="M87" i="4" s="1"/>
  <c r="Q89" i="4"/>
  <c r="R89" i="4"/>
  <c r="O90" i="4"/>
  <c r="O92" i="4" s="1"/>
  <c r="L92" i="4"/>
  <c r="J7" i="4"/>
  <c r="J11" i="4"/>
  <c r="K6" i="4"/>
  <c r="H23" i="4" l="1"/>
  <c r="I23" i="4" s="1"/>
  <c r="G25" i="4"/>
  <c r="K133" i="4"/>
  <c r="K127" i="4"/>
  <c r="K121" i="4"/>
  <c r="K115" i="4"/>
  <c r="H22" i="4"/>
  <c r="J12" i="4"/>
  <c r="J13" i="4" s="1"/>
  <c r="J15" i="4" s="1"/>
  <c r="J18" i="4" s="1"/>
  <c r="T89" i="4"/>
  <c r="Q90" i="4"/>
  <c r="Q92" i="4" s="1"/>
  <c r="P90" i="4"/>
  <c r="O87" i="4" s="1"/>
  <c r="S89" i="4"/>
  <c r="K7" i="4"/>
  <c r="N92" i="4"/>
  <c r="K11" i="4"/>
  <c r="L6" i="4"/>
  <c r="M94" i="4"/>
  <c r="H25" i="4" l="1"/>
  <c r="L133" i="4"/>
  <c r="L127" i="4"/>
  <c r="L121" i="4"/>
  <c r="L115" i="4"/>
  <c r="I22" i="4"/>
  <c r="I25" i="4" s="1"/>
  <c r="K12" i="4"/>
  <c r="K13" i="4" s="1"/>
  <c r="K15" i="4" s="1"/>
  <c r="K18" i="4" s="1"/>
  <c r="J23" i="4"/>
  <c r="S90" i="4"/>
  <c r="S92" i="4" s="1"/>
  <c r="V89" i="4"/>
  <c r="R90" i="4"/>
  <c r="Q87" i="4" s="1"/>
  <c r="U89" i="4"/>
  <c r="L7" i="4"/>
  <c r="L11" i="4"/>
  <c r="M6" i="4"/>
  <c r="P92" i="4"/>
  <c r="O94" i="4"/>
  <c r="M133" i="4" l="1"/>
  <c r="M127" i="4"/>
  <c r="M121" i="4"/>
  <c r="M115" i="4"/>
  <c r="J22" i="4"/>
  <c r="J25" i="4" s="1"/>
  <c r="L12" i="4"/>
  <c r="L13" i="4" s="1"/>
  <c r="L15" i="4" s="1"/>
  <c r="L18" i="4" s="1"/>
  <c r="K23" i="4"/>
  <c r="T90" i="4"/>
  <c r="S87" i="4" s="1"/>
  <c r="W89" i="4"/>
  <c r="U90" i="4"/>
  <c r="U92" i="4" s="1"/>
  <c r="X89" i="4"/>
  <c r="M11" i="4"/>
  <c r="N6" i="4"/>
  <c r="R92" i="4"/>
  <c r="S94" i="4" s="1"/>
  <c r="M7" i="4"/>
  <c r="Q94" i="4"/>
  <c r="N133" i="4" l="1"/>
  <c r="N127" i="4"/>
  <c r="N121" i="4"/>
  <c r="N115" i="4"/>
  <c r="K22" i="4"/>
  <c r="K25" i="4" s="1"/>
  <c r="M12" i="4"/>
  <c r="M13" i="4" s="1"/>
  <c r="M15" i="4" s="1"/>
  <c r="M18" i="4" s="1"/>
  <c r="L23" i="4"/>
  <c r="W90" i="4"/>
  <c r="W92" i="4" s="1"/>
  <c r="Z89" i="4"/>
  <c r="V90" i="4"/>
  <c r="U87" i="4" s="1"/>
  <c r="Y89" i="4"/>
  <c r="T92" i="4"/>
  <c r="U94" i="4" s="1"/>
  <c r="N11" i="4"/>
  <c r="O6" i="4"/>
  <c r="N7" i="4"/>
  <c r="O133" i="4" l="1"/>
  <c r="O127" i="4"/>
  <c r="O121" i="4"/>
  <c r="O115" i="4"/>
  <c r="L22" i="4"/>
  <c r="L25" i="4" s="1"/>
  <c r="N12" i="4"/>
  <c r="N13" i="4" s="1"/>
  <c r="M23" i="4"/>
  <c r="X90" i="4"/>
  <c r="W87" i="4" s="1"/>
  <c r="AA89" i="4"/>
  <c r="AB89" i="4"/>
  <c r="Y90" i="4"/>
  <c r="Y92" i="4" s="1"/>
  <c r="V92" i="4"/>
  <c r="W94" i="4" s="1"/>
  <c r="O7" i="4"/>
  <c r="O11" i="4"/>
  <c r="P6" i="4"/>
  <c r="N15" i="4" l="1"/>
  <c r="M22" i="4"/>
  <c r="M25" i="4" s="1"/>
  <c r="O12" i="4"/>
  <c r="O13" i="4" s="1"/>
  <c r="AA90" i="4"/>
  <c r="AA92" i="4" s="1"/>
  <c r="AD89" i="4"/>
  <c r="Z90" i="4"/>
  <c r="Y87" i="4" s="1"/>
  <c r="AC89" i="4"/>
  <c r="Q6" i="4"/>
  <c r="P11" i="4"/>
  <c r="P7" i="4"/>
  <c r="X92" i="4"/>
  <c r="N18" i="4" l="1"/>
  <c r="N23" i="4" s="1"/>
  <c r="P23" i="4"/>
  <c r="O15" i="4"/>
  <c r="O18" i="4" s="1"/>
  <c r="P12" i="4"/>
  <c r="P13" i="4" s="1"/>
  <c r="AB90" i="4"/>
  <c r="AA87" i="4" s="1"/>
  <c r="AE89" i="4"/>
  <c r="AF89" i="4"/>
  <c r="AC90" i="4"/>
  <c r="AC92" i="4" s="1"/>
  <c r="Z92" i="4"/>
  <c r="AA94" i="4" s="1"/>
  <c r="Q7" i="4"/>
  <c r="Y94" i="4"/>
  <c r="R6" i="4"/>
  <c r="Q11" i="4"/>
  <c r="N22" i="4" l="1"/>
  <c r="N25" i="4" s="1"/>
  <c r="Q23" i="4"/>
  <c r="O22" i="4"/>
  <c r="O23" i="4"/>
  <c r="P15" i="4"/>
  <c r="Q12" i="4"/>
  <c r="Q13" i="4" s="1"/>
  <c r="AE90" i="4"/>
  <c r="AE92" i="4" s="1"/>
  <c r="AH89" i="4"/>
  <c r="AD90" i="4"/>
  <c r="AC87" i="4" s="1"/>
  <c r="AG89" i="4"/>
  <c r="R11" i="4"/>
  <c r="S6" i="4"/>
  <c r="AB92" i="4"/>
  <c r="AC94" i="4" s="1"/>
  <c r="R7" i="4"/>
  <c r="P18" i="4" l="1"/>
  <c r="P22" i="4" s="1"/>
  <c r="P25" i="4" s="1"/>
  <c r="R23" i="4"/>
  <c r="O25" i="4"/>
  <c r="Q15" i="4"/>
  <c r="R12" i="4"/>
  <c r="R13" i="4" s="1"/>
  <c r="AF90" i="4"/>
  <c r="AE87" i="4" s="1"/>
  <c r="AI89" i="4"/>
  <c r="AJ89" i="4"/>
  <c r="AG90" i="4"/>
  <c r="AG92" i="4" s="1"/>
  <c r="AD92" i="4"/>
  <c r="AE94" i="4" s="1"/>
  <c r="T6" i="4"/>
  <c r="S11" i="4"/>
  <c r="S7" i="4"/>
  <c r="Q18" i="4" l="1"/>
  <c r="Q22" i="4" s="1"/>
  <c r="Q25" i="4" s="1"/>
  <c r="S23" i="4"/>
  <c r="R15" i="4"/>
  <c r="S12" i="4"/>
  <c r="S13" i="4" s="1"/>
  <c r="AL89" i="4"/>
  <c r="AI90" i="4"/>
  <c r="AI92" i="4" s="1"/>
  <c r="AH90" i="4"/>
  <c r="AG87" i="4" s="1"/>
  <c r="AK89" i="4"/>
  <c r="AF92" i="4"/>
  <c r="AG94" i="4" s="1"/>
  <c r="U6" i="4"/>
  <c r="T11" i="4"/>
  <c r="T7" i="4"/>
  <c r="R18" i="4" l="1"/>
  <c r="R22" i="4" s="1"/>
  <c r="R25" i="4" s="1"/>
  <c r="T23" i="4"/>
  <c r="S15" i="4"/>
  <c r="T12" i="4"/>
  <c r="T13" i="4" s="1"/>
  <c r="AN89" i="4"/>
  <c r="AK90" i="4"/>
  <c r="AK92" i="4" s="1"/>
  <c r="AJ90" i="4"/>
  <c r="AI87" i="4" s="1"/>
  <c r="AM89" i="4"/>
  <c r="AH92" i="4"/>
  <c r="AI94" i="4" s="1"/>
  <c r="T51" i="4"/>
  <c r="U7" i="4"/>
  <c r="U11" i="4"/>
  <c r="V6" i="4"/>
  <c r="S18" i="4" l="1"/>
  <c r="S22" i="4" s="1"/>
  <c r="S25" i="4" s="1"/>
  <c r="U23" i="4"/>
  <c r="T15" i="4"/>
  <c r="U12" i="4"/>
  <c r="U13" i="4" s="1"/>
  <c r="AM90" i="4"/>
  <c r="AM92" i="4" s="1"/>
  <c r="AP89" i="4"/>
  <c r="AL90" i="4"/>
  <c r="AK87" i="4" s="1"/>
  <c r="AO89" i="4"/>
  <c r="W6" i="4"/>
  <c r="X6" i="4" s="1"/>
  <c r="Y6" i="4" s="1"/>
  <c r="V11" i="4"/>
  <c r="U51" i="4"/>
  <c r="V7" i="4"/>
  <c r="AJ92" i="4"/>
  <c r="AK94" i="4" s="1"/>
  <c r="Z6" i="4" l="1"/>
  <c r="Y11" i="4"/>
  <c r="Y12" i="4" s="1"/>
  <c r="Y13" i="4" s="1"/>
  <c r="Y15" i="4" s="1"/>
  <c r="Y18" i="4" s="1"/>
  <c r="Y22" i="4" s="1"/>
  <c r="T18" i="4"/>
  <c r="T22" i="4" s="1"/>
  <c r="T25" i="4" s="1"/>
  <c r="V23" i="4"/>
  <c r="U15" i="4"/>
  <c r="V12" i="4"/>
  <c r="V13" i="4" s="1"/>
  <c r="AN90" i="4"/>
  <c r="AM87" i="4" s="1"/>
  <c r="AQ89" i="4"/>
  <c r="AR89" i="4"/>
  <c r="AT89" i="4" s="1"/>
  <c r="AO90" i="4"/>
  <c r="AO92" i="4" s="1"/>
  <c r="AL92" i="4"/>
  <c r="V51" i="4"/>
  <c r="W7" i="4"/>
  <c r="W11" i="4"/>
  <c r="AP90" i="4" l="1"/>
  <c r="AO87" i="4" s="1"/>
  <c r="AS89" i="4"/>
  <c r="AV89" i="4"/>
  <c r="AS90" i="4"/>
  <c r="Z11" i="4"/>
  <c r="Z12" i="4" s="1"/>
  <c r="Z13" i="4" s="1"/>
  <c r="Z15" i="4" s="1"/>
  <c r="Z18" i="4" s="1"/>
  <c r="Z22" i="4" s="1"/>
  <c r="AA6" i="4"/>
  <c r="U18" i="4"/>
  <c r="U22" i="4" s="1"/>
  <c r="U25" i="4" s="1"/>
  <c r="W23" i="4"/>
  <c r="V15" i="4"/>
  <c r="X11" i="4"/>
  <c r="W12" i="4"/>
  <c r="W13" i="4" s="1"/>
  <c r="AQ90" i="4"/>
  <c r="AQ92" i="4" s="1"/>
  <c r="AN92" i="4"/>
  <c r="AO94" i="4" s="1"/>
  <c r="AP92" i="4"/>
  <c r="W51" i="4"/>
  <c r="X7" i="4"/>
  <c r="AM94" i="4"/>
  <c r="AS92" i="4" l="1"/>
  <c r="AR90" i="4"/>
  <c r="AU89" i="4"/>
  <c r="AX89" i="4"/>
  <c r="AU90" i="4"/>
  <c r="X23" i="4"/>
  <c r="Y7" i="4"/>
  <c r="AA11" i="4"/>
  <c r="AB6" i="4"/>
  <c r="V18" i="4"/>
  <c r="V22" i="4" s="1"/>
  <c r="V25" i="4" s="1"/>
  <c r="X51" i="4"/>
  <c r="W15" i="4"/>
  <c r="X12" i="4"/>
  <c r="X13" i="4" s="1"/>
  <c r="AQ94" i="4"/>
  <c r="AU92" i="4" l="1"/>
  <c r="AZ89" i="4"/>
  <c r="AW90" i="4"/>
  <c r="AR92" i="4"/>
  <c r="AS94" i="4" s="1"/>
  <c r="AQ87" i="4"/>
  <c r="AT90" i="4"/>
  <c r="AW89" i="4"/>
  <c r="AA12" i="4"/>
  <c r="AA13" i="4" s="1"/>
  <c r="AA15" i="4" s="1"/>
  <c r="AA18" i="4" s="1"/>
  <c r="AA22" i="4" s="1"/>
  <c r="AC6" i="4"/>
  <c r="AC11" i="4" s="1"/>
  <c r="AC12" i="4" s="1"/>
  <c r="AC13" i="4" s="1"/>
  <c r="AC15" i="4" s="1"/>
  <c r="AC18" i="4" s="1"/>
  <c r="AC22" i="4" s="1"/>
  <c r="AB11" i="4"/>
  <c r="AB12" i="4" s="1"/>
  <c r="AB13" i="4" s="1"/>
  <c r="AB15" i="4" s="1"/>
  <c r="AB18" i="4" s="1"/>
  <c r="AB22" i="4" s="1"/>
  <c r="Y51" i="4"/>
  <c r="Y23" i="4"/>
  <c r="Y25" i="4" s="1"/>
  <c r="Z7" i="4"/>
  <c r="W18" i="4"/>
  <c r="W22" i="4" s="1"/>
  <c r="W25" i="4" s="1"/>
  <c r="X15" i="4"/>
  <c r="AW92" i="4" l="1"/>
  <c r="AT92" i="4"/>
  <c r="AU94" i="4" s="1"/>
  <c r="AS87" i="4"/>
  <c r="AV90" i="4"/>
  <c r="AY89" i="4"/>
  <c r="BB89" i="4"/>
  <c r="AY90" i="4"/>
  <c r="Z23" i="4"/>
  <c r="Z25" i="4" s="1"/>
  <c r="AA7" i="4"/>
  <c r="Z51" i="4"/>
  <c r="X18" i="4"/>
  <c r="X22" i="4" s="1"/>
  <c r="X25" i="4" s="1"/>
  <c r="AY92" i="4" l="1"/>
  <c r="BD89" i="4"/>
  <c r="BA90" i="4"/>
  <c r="AV92" i="4"/>
  <c r="AW94" i="4" s="1"/>
  <c r="AU87" i="4"/>
  <c r="AX90" i="4"/>
  <c r="BA89" i="4"/>
  <c r="AA51" i="4"/>
  <c r="AA23" i="4"/>
  <c r="AA25" i="4" s="1"/>
  <c r="AB7" i="4"/>
  <c r="C56" i="2"/>
  <c r="C58" i="2"/>
  <c r="C57" i="2"/>
  <c r="D22" i="1" l="1"/>
  <c r="E22" i="1" s="1"/>
  <c r="C21" i="2" s="1"/>
  <c r="E83" i="4" s="1"/>
  <c r="E98" i="4" s="1"/>
  <c r="G98" i="4" s="1"/>
  <c r="I98" i="4" s="1"/>
  <c r="K98" i="4" s="1"/>
  <c r="D17" i="1"/>
  <c r="D20" i="1"/>
  <c r="E20" i="1" s="1"/>
  <c r="C40" i="2" s="1"/>
  <c r="BA92" i="4"/>
  <c r="AX92" i="4"/>
  <c r="AY94" i="4" s="1"/>
  <c r="AW87" i="4"/>
  <c r="AZ90" i="4"/>
  <c r="BC89" i="4"/>
  <c r="BB90" i="4" s="1"/>
  <c r="BD90" i="4"/>
  <c r="BC90" i="4"/>
  <c r="AC7" i="4"/>
  <c r="AB23" i="4"/>
  <c r="AB25" i="4" s="1"/>
  <c r="AB51" i="4"/>
  <c r="D18" i="1" l="1"/>
  <c r="E17" i="1"/>
  <c r="E18" i="1" s="1"/>
  <c r="BC92" i="4"/>
  <c r="BD92" i="4"/>
  <c r="BC87" i="4"/>
  <c r="AZ92" i="4"/>
  <c r="BA94" i="4" s="1"/>
  <c r="AY87" i="4"/>
  <c r="BB92" i="4"/>
  <c r="BA87" i="4"/>
  <c r="AC51" i="4"/>
  <c r="AC23" i="4"/>
  <c r="AC25" i="4" s="1"/>
  <c r="M98" i="4"/>
  <c r="O98" i="4" s="1"/>
  <c r="Q98" i="4" s="1"/>
  <c r="S98" i="4" s="1"/>
  <c r="U98" i="4" s="1"/>
  <c r="W98" i="4" s="1"/>
  <c r="Y98" i="4" s="1"/>
  <c r="AA98" i="4" s="1"/>
  <c r="AC98" i="4" s="1"/>
  <c r="AE98" i="4" s="1"/>
  <c r="AG98" i="4" s="1"/>
  <c r="AI98" i="4" s="1"/>
  <c r="AK98" i="4" s="1"/>
  <c r="AM98" i="4" s="1"/>
  <c r="AO98" i="4" s="1"/>
  <c r="AQ98" i="4" s="1"/>
  <c r="AS98" i="4" s="1"/>
  <c r="BC94" i="4" l="1"/>
  <c r="AS96" i="4"/>
  <c r="AU98" i="4"/>
  <c r="AR96" i="4"/>
  <c r="F96" i="4"/>
  <c r="G96" i="4"/>
  <c r="D96" i="4"/>
  <c r="D99" i="4" s="1"/>
  <c r="D28" i="4" s="1"/>
  <c r="E96" i="4"/>
  <c r="H96" i="4"/>
  <c r="I96" i="4"/>
  <c r="J96" i="4"/>
  <c r="K96" i="4"/>
  <c r="AW98" i="4" l="1"/>
  <c r="AU96" i="4"/>
  <c r="AT96" i="4"/>
  <c r="AT99" i="4" s="1"/>
  <c r="Y28" i="4" s="1"/>
  <c r="F99" i="4"/>
  <c r="E28" i="4" s="1"/>
  <c r="H99" i="4"/>
  <c r="F28" i="4" s="1"/>
  <c r="J99" i="4"/>
  <c r="G28" i="4" s="1"/>
  <c r="L96" i="4"/>
  <c r="L99" i="4" s="1"/>
  <c r="H28" i="4" s="1"/>
  <c r="M96" i="4"/>
  <c r="AV96" i="4" l="1"/>
  <c r="AV99" i="4" s="1"/>
  <c r="Z28" i="4" s="1"/>
  <c r="AY98" i="4"/>
  <c r="AW96" i="4"/>
  <c r="N96" i="4"/>
  <c r="N99" i="4" s="1"/>
  <c r="I28" i="4" s="1"/>
  <c r="O96" i="4"/>
  <c r="BA98" i="4" l="1"/>
  <c r="AX96" i="4"/>
  <c r="AX99" i="4" s="1"/>
  <c r="AA28" i="4" s="1"/>
  <c r="AY96" i="4"/>
  <c r="P96" i="4"/>
  <c r="P99" i="4" s="1"/>
  <c r="J28" i="4" s="1"/>
  <c r="Q96" i="4"/>
  <c r="AZ96" i="4" l="1"/>
  <c r="AZ99" i="4" s="1"/>
  <c r="AB28" i="4" s="1"/>
  <c r="BC98" i="4"/>
  <c r="BA96" i="4"/>
  <c r="R96" i="4"/>
  <c r="R99" i="4" s="1"/>
  <c r="K28" i="4" s="1"/>
  <c r="S96" i="4"/>
  <c r="BB96" i="4" l="1"/>
  <c r="BB99" i="4" s="1"/>
  <c r="AC28" i="4" s="1"/>
  <c r="BC96" i="4"/>
  <c r="BD99" i="4" s="1"/>
  <c r="T96" i="4"/>
  <c r="T99" i="4" s="1"/>
  <c r="L28" i="4" s="1"/>
  <c r="U96" i="4"/>
  <c r="V96" i="4" l="1"/>
  <c r="V99" i="4" s="1"/>
  <c r="M28" i="4" s="1"/>
  <c r="W96" i="4"/>
  <c r="X96" i="4" l="1"/>
  <c r="X99" i="4" s="1"/>
  <c r="N28" i="4" s="1"/>
  <c r="Y96" i="4"/>
  <c r="Z96" i="4" l="1"/>
  <c r="Z99" i="4" s="1"/>
  <c r="O28" i="4" s="1"/>
  <c r="AA96" i="4"/>
  <c r="AB96" i="4" l="1"/>
  <c r="AB99" i="4" s="1"/>
  <c r="P28" i="4" s="1"/>
  <c r="AC96" i="4"/>
  <c r="AE96" i="4" l="1"/>
  <c r="AD96" i="4"/>
  <c r="AD99" i="4" s="1"/>
  <c r="Q28" i="4" s="1"/>
  <c r="AG96" i="4" l="1"/>
  <c r="AF96" i="4"/>
  <c r="AF99" i="4" s="1"/>
  <c r="R28" i="4" s="1"/>
  <c r="AH96" i="4" l="1"/>
  <c r="AH99" i="4" s="1"/>
  <c r="S28" i="4" s="1"/>
  <c r="AI96" i="4"/>
  <c r="AK96" i="4" l="1"/>
  <c r="AJ96" i="4"/>
  <c r="AJ99" i="4" s="1"/>
  <c r="T28" i="4" s="1"/>
  <c r="AM96" i="4" l="1"/>
  <c r="AL96" i="4"/>
  <c r="AL99" i="4" s="1"/>
  <c r="U28" i="4" s="1"/>
  <c r="AN96" i="4" l="1"/>
  <c r="AN99" i="4" s="1"/>
  <c r="V28" i="4" s="1"/>
  <c r="AO96" i="4"/>
  <c r="AP96" i="4" l="1"/>
  <c r="AP99" i="4" s="1"/>
  <c r="W28" i="4" s="1"/>
  <c r="AQ96" i="4"/>
  <c r="AR99" i="4" s="1"/>
  <c r="X28" i="4" s="1"/>
  <c r="C28" i="2" l="1"/>
  <c r="C32" i="2" l="1"/>
  <c r="C26" i="2"/>
  <c r="F30" i="4" s="1"/>
  <c r="F32" i="4" s="1"/>
  <c r="F34" i="4" s="1"/>
  <c r="C41" i="2"/>
  <c r="G30" i="4" l="1"/>
  <c r="G32" i="4" s="1"/>
  <c r="G34" i="4" s="1"/>
  <c r="K30" i="4"/>
  <c r="K32" i="4" s="1"/>
  <c r="K34" i="4" s="1"/>
  <c r="O30" i="4"/>
  <c r="O32" i="4" s="1"/>
  <c r="O34" i="4" s="1"/>
  <c r="S30" i="4"/>
  <c r="S32" i="4" s="1"/>
  <c r="S34" i="4" s="1"/>
  <c r="W30" i="4"/>
  <c r="W32" i="4" s="1"/>
  <c r="W34" i="4" s="1"/>
  <c r="AA30" i="4"/>
  <c r="AA32" i="4" s="1"/>
  <c r="AA34" i="4" s="1"/>
  <c r="H30" i="4"/>
  <c r="H32" i="4" s="1"/>
  <c r="H34" i="4" s="1"/>
  <c r="L30" i="4"/>
  <c r="L32" i="4" s="1"/>
  <c r="L34" i="4" s="1"/>
  <c r="P30" i="4"/>
  <c r="P32" i="4" s="1"/>
  <c r="P34" i="4" s="1"/>
  <c r="X30" i="4"/>
  <c r="X32" i="4" s="1"/>
  <c r="X34" i="4" s="1"/>
  <c r="AB30" i="4"/>
  <c r="AB32" i="4" s="1"/>
  <c r="AB34" i="4" s="1"/>
  <c r="I30" i="4"/>
  <c r="M30" i="4"/>
  <c r="M32" i="4" s="1"/>
  <c r="M34" i="4" s="1"/>
  <c r="Q30" i="4"/>
  <c r="Q32" i="4" s="1"/>
  <c r="Q34" i="4" s="1"/>
  <c r="U30" i="4"/>
  <c r="U32" i="4" s="1"/>
  <c r="U34" i="4" s="1"/>
  <c r="Y30" i="4"/>
  <c r="Y32" i="4" s="1"/>
  <c r="Y34" i="4" s="1"/>
  <c r="AC30" i="4"/>
  <c r="AC32" i="4" s="1"/>
  <c r="AC34" i="4" s="1"/>
  <c r="J30" i="4"/>
  <c r="J32" i="4" s="1"/>
  <c r="J34" i="4" s="1"/>
  <c r="N30" i="4"/>
  <c r="N32" i="4" s="1"/>
  <c r="N34" i="4" s="1"/>
  <c r="R30" i="4"/>
  <c r="R32" i="4" s="1"/>
  <c r="R34" i="4" s="1"/>
  <c r="V30" i="4"/>
  <c r="V32" i="4" s="1"/>
  <c r="V34" i="4" s="1"/>
  <c r="Z30" i="4"/>
  <c r="Z32" i="4" s="1"/>
  <c r="Z34" i="4" s="1"/>
  <c r="T30" i="4"/>
  <c r="T32" i="4" s="1"/>
  <c r="T34" i="4" s="1"/>
  <c r="I32" i="4"/>
  <c r="I34" i="4" s="1"/>
  <c r="E30" i="4"/>
  <c r="E32" i="4" s="1"/>
  <c r="E34" i="4" s="1"/>
  <c r="D30" i="4"/>
  <c r="D32" i="4" s="1"/>
  <c r="D34" i="4" s="1"/>
  <c r="C37" i="2"/>
  <c r="D111" i="4" s="1"/>
  <c r="C29" i="2"/>
  <c r="C30" i="2" s="1"/>
  <c r="C65" i="4" s="1"/>
  <c r="C74" i="4" s="1"/>
  <c r="D104" i="4"/>
  <c r="D116" i="4" s="1"/>
  <c r="D48" i="4"/>
  <c r="C43" i="2"/>
  <c r="C45" i="2" s="1"/>
  <c r="AC71" i="4" s="1"/>
  <c r="C44" i="2" l="1"/>
  <c r="P35" i="4" s="1"/>
  <c r="E48" i="4"/>
  <c r="F48" i="4" s="1"/>
  <c r="D117" i="4"/>
  <c r="D119" i="4"/>
  <c r="Q35" i="4" l="1"/>
  <c r="Q37" i="4" s="1"/>
  <c r="Q40" i="4" s="1"/>
  <c r="L35" i="4"/>
  <c r="L69" i="4" s="1"/>
  <c r="AA35" i="4"/>
  <c r="AA37" i="4" s="1"/>
  <c r="AA40" i="4" s="1"/>
  <c r="V35" i="4"/>
  <c r="V69" i="4" s="1"/>
  <c r="W35" i="4"/>
  <c r="W69" i="4" s="1"/>
  <c r="H35" i="4"/>
  <c r="H37" i="4" s="1"/>
  <c r="K35" i="4"/>
  <c r="K37" i="4" s="1"/>
  <c r="G35" i="4"/>
  <c r="G69" i="4" s="1"/>
  <c r="R35" i="4"/>
  <c r="R69" i="4" s="1"/>
  <c r="AB35" i="4"/>
  <c r="AB37" i="4" s="1"/>
  <c r="AB40" i="4" s="1"/>
  <c r="E35" i="4"/>
  <c r="E37" i="4" s="1"/>
  <c r="Z35" i="4"/>
  <c r="Z69" i="4" s="1"/>
  <c r="Y35" i="4"/>
  <c r="Y37" i="4" s="1"/>
  <c r="Y40" i="4" s="1"/>
  <c r="J35" i="4"/>
  <c r="J37" i="4" s="1"/>
  <c r="AC35" i="4"/>
  <c r="AC69" i="4" s="1"/>
  <c r="M35" i="4"/>
  <c r="M69" i="4" s="1"/>
  <c r="F35" i="4"/>
  <c r="F69" i="4" s="1"/>
  <c r="U35" i="4"/>
  <c r="U37" i="4" s="1"/>
  <c r="U40" i="4" s="1"/>
  <c r="T35" i="4"/>
  <c r="T37" i="4" s="1"/>
  <c r="T40" i="4" s="1"/>
  <c r="X35" i="4"/>
  <c r="X37" i="4" s="1"/>
  <c r="X40" i="4" s="1"/>
  <c r="S35" i="4"/>
  <c r="S37" i="4" s="1"/>
  <c r="S40" i="4" s="1"/>
  <c r="N35" i="4"/>
  <c r="N47" i="4" s="1"/>
  <c r="D35" i="4"/>
  <c r="D47" i="4" s="1"/>
  <c r="I35" i="4"/>
  <c r="I47" i="4" s="1"/>
  <c r="O35" i="4"/>
  <c r="O37" i="4" s="1"/>
  <c r="G48" i="4"/>
  <c r="H48" i="4" s="1"/>
  <c r="D118" i="4"/>
  <c r="D122" i="4" s="1"/>
  <c r="P69" i="4"/>
  <c r="P47" i="4"/>
  <c r="P37" i="4"/>
  <c r="P40" i="4" s="1"/>
  <c r="H47" i="4" l="1"/>
  <c r="W47" i="4"/>
  <c r="R47" i="4"/>
  <c r="K47" i="4"/>
  <c r="L47" i="4"/>
  <c r="Q69" i="4"/>
  <c r="F47" i="4"/>
  <c r="Y69" i="4"/>
  <c r="W37" i="4"/>
  <c r="W40" i="4" s="1"/>
  <c r="W46" i="4" s="1"/>
  <c r="Q47" i="4"/>
  <c r="L37" i="4"/>
  <c r="O69" i="4"/>
  <c r="Y47" i="4"/>
  <c r="G37" i="4"/>
  <c r="X47" i="4"/>
  <c r="E47" i="4"/>
  <c r="V37" i="4"/>
  <c r="V40" i="4" s="1"/>
  <c r="V46" i="4" s="1"/>
  <c r="Z37" i="4"/>
  <c r="Z40" i="4" s="1"/>
  <c r="Z46" i="4" s="1"/>
  <c r="V47" i="4"/>
  <c r="I69" i="4"/>
  <c r="Z47" i="4"/>
  <c r="AA47" i="4"/>
  <c r="G47" i="4"/>
  <c r="M37" i="4"/>
  <c r="I37" i="4"/>
  <c r="M47" i="4"/>
  <c r="T69" i="4"/>
  <c r="AC37" i="4"/>
  <c r="AC40" i="4" s="1"/>
  <c r="AC46" i="4" s="1"/>
  <c r="D37" i="4"/>
  <c r="E69" i="4"/>
  <c r="AA69" i="4"/>
  <c r="T47" i="4"/>
  <c r="AC47" i="4"/>
  <c r="K69" i="4"/>
  <c r="H69" i="4"/>
  <c r="D69" i="4"/>
  <c r="X69" i="4"/>
  <c r="N37" i="4"/>
  <c r="O47" i="4"/>
  <c r="S47" i="4"/>
  <c r="U69" i="4"/>
  <c r="J47" i="4"/>
  <c r="S69" i="4"/>
  <c r="AB69" i="4"/>
  <c r="U47" i="4"/>
  <c r="J69" i="4"/>
  <c r="N69" i="4"/>
  <c r="AB47" i="4"/>
  <c r="R37" i="4"/>
  <c r="R40" i="4" s="1"/>
  <c r="R46" i="4" s="1"/>
  <c r="F37" i="4"/>
  <c r="U46" i="4"/>
  <c r="S46" i="4"/>
  <c r="T46" i="4"/>
  <c r="P46" i="4"/>
  <c r="Q46" i="4"/>
  <c r="I48" i="4"/>
  <c r="X46" i="4"/>
  <c r="D125" i="4"/>
  <c r="D123" i="4"/>
  <c r="Y46" i="4"/>
  <c r="AB46" i="4"/>
  <c r="AA46" i="4"/>
  <c r="AA54" i="4" l="1"/>
  <c r="R54" i="4"/>
  <c r="Q54" i="4"/>
  <c r="P54" i="4"/>
  <c r="S54" i="4"/>
  <c r="U54" i="4"/>
  <c r="Z54" i="4"/>
  <c r="X54" i="4"/>
  <c r="V54" i="4"/>
  <c r="AC54" i="4"/>
  <c r="Y54" i="4"/>
  <c r="AB54" i="4"/>
  <c r="D124" i="4"/>
  <c r="D128" i="4" s="1"/>
  <c r="J48" i="4"/>
  <c r="W54" i="4"/>
  <c r="T54" i="4"/>
  <c r="D131" i="4" l="1"/>
  <c r="D129" i="4"/>
  <c r="D130" i="4" s="1"/>
  <c r="D134" i="4" s="1"/>
  <c r="K48" i="4"/>
  <c r="L48" i="4" l="1"/>
  <c r="M48" i="4" s="1"/>
  <c r="N48" i="4" s="1"/>
  <c r="O48" i="4" s="1"/>
  <c r="P48" i="4" s="1"/>
  <c r="D135" i="4"/>
  <c r="D140" i="4" s="1"/>
  <c r="D72" i="4" s="1"/>
  <c r="D137" i="4"/>
  <c r="D139" i="4" s="1"/>
  <c r="D38" i="4" s="1"/>
  <c r="D40" i="4" s="1"/>
  <c r="D136" i="4" l="1"/>
  <c r="E116" i="4" s="1"/>
  <c r="E119" i="4" s="1"/>
  <c r="D46" i="4"/>
  <c r="P49" i="4"/>
  <c r="Q48" i="4"/>
  <c r="E117" i="4" l="1"/>
  <c r="E118" i="4" s="1"/>
  <c r="E122" i="4" s="1"/>
  <c r="E125" i="4" s="1"/>
  <c r="Q49" i="4"/>
  <c r="R48" i="4"/>
  <c r="D54" i="4"/>
  <c r="D49" i="4"/>
  <c r="E123" i="4" l="1"/>
  <c r="E124" i="4" s="1"/>
  <c r="E128" i="4" s="1"/>
  <c r="E129" i="4" s="1"/>
  <c r="E130" i="4" s="1"/>
  <c r="E134" i="4" s="1"/>
  <c r="D50" i="4"/>
  <c r="R49" i="4"/>
  <c r="S48" i="4"/>
  <c r="E131" i="4" l="1"/>
  <c r="D51" i="4"/>
  <c r="D52" i="4" s="1"/>
  <c r="E137" i="4"/>
  <c r="E135" i="4"/>
  <c r="E140" i="4" s="1"/>
  <c r="E72" i="4" s="1"/>
  <c r="T48" i="4"/>
  <c r="S49" i="4"/>
  <c r="E139" i="4" l="1"/>
  <c r="E38" i="4" s="1"/>
  <c r="E40" i="4" s="1"/>
  <c r="E46" i="4" s="1"/>
  <c r="E136" i="4"/>
  <c r="F116" i="4" s="1"/>
  <c r="F117" i="4" s="1"/>
  <c r="T49" i="4"/>
  <c r="T52" i="4" s="1"/>
  <c r="U48" i="4"/>
  <c r="D55" i="4"/>
  <c r="D59" i="4" s="1"/>
  <c r="D41" i="4" s="1"/>
  <c r="D43" i="4" s="1"/>
  <c r="D68" i="4" s="1"/>
  <c r="D57" i="4"/>
  <c r="D70" i="4" s="1"/>
  <c r="F119" i="4" l="1"/>
  <c r="F118" i="4"/>
  <c r="F122" i="4" s="1"/>
  <c r="F125" i="4" s="1"/>
  <c r="T55" i="4"/>
  <c r="T59" i="4" s="1"/>
  <c r="T41" i="4" s="1"/>
  <c r="T43" i="4" s="1"/>
  <c r="T68" i="4" s="1"/>
  <c r="T57" i="4"/>
  <c r="T70" i="4" s="1"/>
  <c r="V48" i="4"/>
  <c r="U49" i="4"/>
  <c r="U52" i="4" s="1"/>
  <c r="D74" i="4"/>
  <c r="E54" i="4"/>
  <c r="E49" i="4"/>
  <c r="F123" i="4" l="1"/>
  <c r="F124" i="4" s="1"/>
  <c r="F128" i="4" s="1"/>
  <c r="F131" i="4" s="1"/>
  <c r="E50" i="4"/>
  <c r="U55" i="4"/>
  <c r="U59" i="4" s="1"/>
  <c r="U41" i="4" s="1"/>
  <c r="U43" i="4" s="1"/>
  <c r="U68" i="4" s="1"/>
  <c r="U57" i="4"/>
  <c r="U70" i="4" s="1"/>
  <c r="V49" i="4"/>
  <c r="V52" i="4" s="1"/>
  <c r="W48" i="4"/>
  <c r="T74" i="4"/>
  <c r="F129" i="4" l="1"/>
  <c r="F130" i="4" s="1"/>
  <c r="F134" i="4" s="1"/>
  <c r="F135" i="4" s="1"/>
  <c r="F136" i="4" s="1"/>
  <c r="G116" i="4" s="1"/>
  <c r="U74" i="4"/>
  <c r="W49" i="4"/>
  <c r="W52" i="4" s="1"/>
  <c r="X48" i="4"/>
  <c r="V55" i="4"/>
  <c r="V59" i="4" s="1"/>
  <c r="V41" i="4" s="1"/>
  <c r="V43" i="4" s="1"/>
  <c r="V68" i="4" s="1"/>
  <c r="V57" i="4"/>
  <c r="V70" i="4" s="1"/>
  <c r="E51" i="4"/>
  <c r="E52" i="4" s="1"/>
  <c r="F137" i="4" l="1"/>
  <c r="F139" i="4" s="1"/>
  <c r="F38" i="4" s="1"/>
  <c r="F40" i="4" s="1"/>
  <c r="F46" i="4" s="1"/>
  <c r="V74" i="4"/>
  <c r="G117" i="4"/>
  <c r="G118" i="4" s="1"/>
  <c r="G122" i="4" s="1"/>
  <c r="G119" i="4"/>
  <c r="X49" i="4"/>
  <c r="X52" i="4" s="1"/>
  <c r="Y48" i="4"/>
  <c r="F140" i="4"/>
  <c r="F72" i="4" s="1"/>
  <c r="E55" i="4"/>
  <c r="E59" i="4" s="1"/>
  <c r="E41" i="4" s="1"/>
  <c r="E43" i="4" s="1"/>
  <c r="E68" i="4" s="1"/>
  <c r="E57" i="4"/>
  <c r="E70" i="4" s="1"/>
  <c r="W57" i="4"/>
  <c r="W70" i="4" s="1"/>
  <c r="W55" i="4"/>
  <c r="W59" i="4" s="1"/>
  <c r="W41" i="4" s="1"/>
  <c r="W43" i="4" s="1"/>
  <c r="W68" i="4" s="1"/>
  <c r="W74" i="4" l="1"/>
  <c r="E74" i="4"/>
  <c r="X55" i="4"/>
  <c r="X59" i="4" s="1"/>
  <c r="X41" i="4" s="1"/>
  <c r="X43" i="4" s="1"/>
  <c r="X68" i="4" s="1"/>
  <c r="X57" i="4"/>
  <c r="X70" i="4" s="1"/>
  <c r="G125" i="4"/>
  <c r="G123" i="4"/>
  <c r="G124" i="4" s="1"/>
  <c r="G128" i="4" s="1"/>
  <c r="F49" i="4"/>
  <c r="F54" i="4"/>
  <c r="Y49" i="4"/>
  <c r="Y52" i="4" s="1"/>
  <c r="Z48" i="4"/>
  <c r="G131" i="4" l="1"/>
  <c r="G129" i="4"/>
  <c r="G130" i="4" s="1"/>
  <c r="G134" i="4" s="1"/>
  <c r="Z49" i="4"/>
  <c r="Z52" i="4" s="1"/>
  <c r="AA48" i="4"/>
  <c r="Y57" i="4"/>
  <c r="Y70" i="4" s="1"/>
  <c r="Y55" i="4"/>
  <c r="Y59" i="4" s="1"/>
  <c r="Y41" i="4" s="1"/>
  <c r="Y43" i="4" s="1"/>
  <c r="Y68" i="4" s="1"/>
  <c r="F50" i="4"/>
  <c r="X74" i="4"/>
  <c r="G135" i="4" l="1"/>
  <c r="G140" i="4" s="1"/>
  <c r="G72" i="4" s="1"/>
  <c r="G137" i="4"/>
  <c r="G139" i="4" s="1"/>
  <c r="G38" i="4" s="1"/>
  <c r="G40" i="4" s="1"/>
  <c r="F51" i="4"/>
  <c r="F52" i="4" s="1"/>
  <c r="AA49" i="4"/>
  <c r="AA52" i="4" s="1"/>
  <c r="AB48" i="4"/>
  <c r="Y74" i="4"/>
  <c r="Z55" i="4"/>
  <c r="Z59" i="4" s="1"/>
  <c r="Z41" i="4" s="1"/>
  <c r="Z43" i="4" s="1"/>
  <c r="Z68" i="4" s="1"/>
  <c r="Z57" i="4"/>
  <c r="Z70" i="4" s="1"/>
  <c r="G136" i="4" l="1"/>
  <c r="H116" i="4" s="1"/>
  <c r="H117" i="4" s="1"/>
  <c r="H118" i="4" s="1"/>
  <c r="H122" i="4" s="1"/>
  <c r="Z74" i="4"/>
  <c r="F57" i="4"/>
  <c r="F70" i="4" s="1"/>
  <c r="F55" i="4"/>
  <c r="F59" i="4" s="1"/>
  <c r="F41" i="4" s="1"/>
  <c r="F43" i="4" s="1"/>
  <c r="F68" i="4" s="1"/>
  <c r="G46" i="4"/>
  <c r="AB49" i="4"/>
  <c r="AB52" i="4" s="1"/>
  <c r="AC48" i="4"/>
  <c r="AC49" i="4" s="1"/>
  <c r="AC52" i="4" s="1"/>
  <c r="AA55" i="4"/>
  <c r="AA59" i="4" s="1"/>
  <c r="AA41" i="4" s="1"/>
  <c r="AA43" i="4" s="1"/>
  <c r="AA68" i="4" s="1"/>
  <c r="AA57" i="4"/>
  <c r="AA70" i="4" s="1"/>
  <c r="H119" i="4" l="1"/>
  <c r="AA74" i="4"/>
  <c r="F74" i="4"/>
  <c r="H125" i="4"/>
  <c r="H123" i="4"/>
  <c r="H124" i="4" s="1"/>
  <c r="H128" i="4" s="1"/>
  <c r="AB55" i="4"/>
  <c r="AB59" i="4" s="1"/>
  <c r="AB41" i="4" s="1"/>
  <c r="AB43" i="4" s="1"/>
  <c r="AB68" i="4" s="1"/>
  <c r="AB57" i="4"/>
  <c r="AB70" i="4" s="1"/>
  <c r="G54" i="4"/>
  <c r="G49" i="4"/>
  <c r="AC55" i="4"/>
  <c r="AC59" i="4" s="1"/>
  <c r="AC41" i="4" s="1"/>
  <c r="AC43" i="4" s="1"/>
  <c r="AC68" i="4" s="1"/>
  <c r="AC57" i="4"/>
  <c r="AC70" i="4" s="1"/>
  <c r="H131" i="4" l="1"/>
  <c r="H129" i="4"/>
  <c r="G50" i="4"/>
  <c r="AC74" i="4"/>
  <c r="AB74" i="4"/>
  <c r="H130" i="4" l="1"/>
  <c r="H134" i="4" s="1"/>
  <c r="G51" i="4"/>
  <c r="G52" i="4" s="1"/>
  <c r="G57" i="4" l="1"/>
  <c r="G70" i="4" s="1"/>
  <c r="G55" i="4"/>
  <c r="G59" i="4" s="1"/>
  <c r="G41" i="4" s="1"/>
  <c r="G43" i="4" s="1"/>
  <c r="G68" i="4" s="1"/>
  <c r="H135" i="4"/>
  <c r="H140" i="4" s="1"/>
  <c r="H72" i="4" s="1"/>
  <c r="H137" i="4"/>
  <c r="H139" i="4" s="1"/>
  <c r="H38" i="4" s="1"/>
  <c r="H40" i="4" s="1"/>
  <c r="G74" i="4" l="1"/>
  <c r="H46" i="4"/>
  <c r="H136" i="4"/>
  <c r="I116" i="4" s="1"/>
  <c r="I119" i="4" l="1"/>
  <c r="I117" i="4"/>
  <c r="I118" i="4" s="1"/>
  <c r="I122" i="4" s="1"/>
  <c r="H49" i="4"/>
  <c r="H54" i="4"/>
  <c r="H50" i="4" l="1"/>
  <c r="I125" i="4"/>
  <c r="I123" i="4"/>
  <c r="I124" i="4" s="1"/>
  <c r="I128" i="4" s="1"/>
  <c r="I129" i="4" l="1"/>
  <c r="I130" i="4" s="1"/>
  <c r="I134" i="4" s="1"/>
  <c r="I131" i="4"/>
  <c r="H51" i="4"/>
  <c r="H52" i="4" s="1"/>
  <c r="I135" i="4" l="1"/>
  <c r="I140" i="4" s="1"/>
  <c r="I72" i="4" s="1"/>
  <c r="I137" i="4"/>
  <c r="I139" i="4" s="1"/>
  <c r="I38" i="4" s="1"/>
  <c r="I40" i="4" s="1"/>
  <c r="H57" i="4"/>
  <c r="H70" i="4" s="1"/>
  <c r="H55" i="4"/>
  <c r="H59" i="4" s="1"/>
  <c r="H41" i="4" s="1"/>
  <c r="H43" i="4" s="1"/>
  <c r="H68" i="4" s="1"/>
  <c r="I136" i="4" l="1"/>
  <c r="J116" i="4" s="1"/>
  <c r="J117" i="4" s="1"/>
  <c r="J118" i="4" s="1"/>
  <c r="J122" i="4" s="1"/>
  <c r="H74" i="4"/>
  <c r="I46" i="4"/>
  <c r="J119" i="4" l="1"/>
  <c r="J125" i="4"/>
  <c r="J123" i="4"/>
  <c r="J124" i="4" s="1"/>
  <c r="J128" i="4" s="1"/>
  <c r="I49" i="4"/>
  <c r="I54" i="4"/>
  <c r="J129" i="4" l="1"/>
  <c r="J130" i="4" s="1"/>
  <c r="J134" i="4" s="1"/>
  <c r="J131" i="4"/>
  <c r="I50" i="4"/>
  <c r="J137" i="4" l="1"/>
  <c r="J139" i="4" s="1"/>
  <c r="J38" i="4" s="1"/>
  <c r="J40" i="4" s="1"/>
  <c r="J135" i="4"/>
  <c r="J136" i="4" s="1"/>
  <c r="K116" i="4" s="1"/>
  <c r="I51" i="4"/>
  <c r="I52" i="4" s="1"/>
  <c r="K119" i="4" l="1"/>
  <c r="K117" i="4"/>
  <c r="I57" i="4"/>
  <c r="I70" i="4" s="1"/>
  <c r="I55" i="4"/>
  <c r="I59" i="4" s="1"/>
  <c r="I41" i="4" s="1"/>
  <c r="I43" i="4" s="1"/>
  <c r="I68" i="4" s="1"/>
  <c r="J140" i="4"/>
  <c r="J72" i="4" s="1"/>
  <c r="J46" i="4"/>
  <c r="J49" i="4" l="1"/>
  <c r="J54" i="4"/>
  <c r="I74" i="4"/>
  <c r="K118" i="4"/>
  <c r="K122" i="4" s="1"/>
  <c r="J50" i="4" l="1"/>
  <c r="K125" i="4"/>
  <c r="K123" i="4"/>
  <c r="J51" i="4" l="1"/>
  <c r="J52" i="4" s="1"/>
  <c r="K124" i="4"/>
  <c r="K128" i="4" s="1"/>
  <c r="J55" i="4" l="1"/>
  <c r="J59" i="4" s="1"/>
  <c r="J41" i="4" s="1"/>
  <c r="J43" i="4" s="1"/>
  <c r="J68" i="4" s="1"/>
  <c r="J57" i="4"/>
  <c r="J70" i="4" s="1"/>
  <c r="K129" i="4"/>
  <c r="K131" i="4"/>
  <c r="J74" i="4" l="1"/>
  <c r="K130" i="4"/>
  <c r="K134" i="4" s="1"/>
  <c r="K135" i="4" l="1"/>
  <c r="K140" i="4" s="1"/>
  <c r="K72" i="4" s="1"/>
  <c r="K137" i="4"/>
  <c r="K139" i="4" s="1"/>
  <c r="K38" i="4" s="1"/>
  <c r="K40" i="4" s="1"/>
  <c r="K136" i="4" l="1"/>
  <c r="L116" i="4" s="1"/>
  <c r="L119" i="4" s="1"/>
  <c r="K46" i="4"/>
  <c r="L117" i="4" l="1"/>
  <c r="L118" i="4" s="1"/>
  <c r="L122" i="4" s="1"/>
  <c r="K54" i="4"/>
  <c r="K49" i="4"/>
  <c r="L123" i="4" l="1"/>
  <c r="L125" i="4"/>
  <c r="K50" i="4"/>
  <c r="L124" i="4" l="1"/>
  <c r="L128" i="4" s="1"/>
  <c r="K51" i="4"/>
  <c r="K52" i="4" s="1"/>
  <c r="K57" i="4" l="1"/>
  <c r="K70" i="4" s="1"/>
  <c r="K55" i="4"/>
  <c r="K59" i="4" s="1"/>
  <c r="K41" i="4" s="1"/>
  <c r="K43" i="4" s="1"/>
  <c r="K68" i="4" s="1"/>
  <c r="L129" i="4"/>
  <c r="L131" i="4"/>
  <c r="K74" i="4" l="1"/>
  <c r="L130" i="4"/>
  <c r="L134" i="4" s="1"/>
  <c r="L137" i="4" l="1"/>
  <c r="L139" i="4" s="1"/>
  <c r="L38" i="4" s="1"/>
  <c r="L40" i="4" s="1"/>
  <c r="L135" i="4"/>
  <c r="L140" i="4" s="1"/>
  <c r="L72" i="4" s="1"/>
  <c r="L136" i="4" l="1"/>
  <c r="M116" i="4" s="1"/>
  <c r="L46" i="4"/>
  <c r="L54" i="4" l="1"/>
  <c r="L49" i="4"/>
  <c r="M117" i="4"/>
  <c r="M119" i="4"/>
  <c r="L50" i="4" l="1"/>
  <c r="M118" i="4"/>
  <c r="M122" i="4" s="1"/>
  <c r="L51" i="4" l="1"/>
  <c r="L52" i="4" s="1"/>
  <c r="M125" i="4"/>
  <c r="M123" i="4"/>
  <c r="M124" i="4" l="1"/>
  <c r="M128" i="4" s="1"/>
  <c r="L55" i="4"/>
  <c r="L59" i="4" s="1"/>
  <c r="L41" i="4" s="1"/>
  <c r="L43" i="4" s="1"/>
  <c r="L68" i="4" s="1"/>
  <c r="L57" i="4"/>
  <c r="L70" i="4" s="1"/>
  <c r="L74" i="4" l="1"/>
  <c r="M131" i="4"/>
  <c r="M129" i="4"/>
  <c r="M130" i="4" l="1"/>
  <c r="M134" i="4" s="1"/>
  <c r="M135" i="4" l="1"/>
  <c r="M140" i="4" s="1"/>
  <c r="M72" i="4" s="1"/>
  <c r="M137" i="4"/>
  <c r="M139" i="4" s="1"/>
  <c r="M38" i="4" s="1"/>
  <c r="M40" i="4" s="1"/>
  <c r="M136" i="4" l="1"/>
  <c r="N116" i="4" s="1"/>
  <c r="N119" i="4" s="1"/>
  <c r="M46" i="4"/>
  <c r="N117" i="4" l="1"/>
  <c r="N118" i="4" s="1"/>
  <c r="N122" i="4" s="1"/>
  <c r="N123" i="4" s="1"/>
  <c r="N124" i="4" s="1"/>
  <c r="N128" i="4" s="1"/>
  <c r="M49" i="4"/>
  <c r="M54" i="4"/>
  <c r="N125" i="4" l="1"/>
  <c r="N131" i="4"/>
  <c r="N129" i="4"/>
  <c r="N130" i="4" s="1"/>
  <c r="N134" i="4" s="1"/>
  <c r="M50" i="4"/>
  <c r="N137" i="4" l="1"/>
  <c r="N139" i="4" s="1"/>
  <c r="N38" i="4" s="1"/>
  <c r="N40" i="4" s="1"/>
  <c r="N135" i="4"/>
  <c r="N136" i="4" s="1"/>
  <c r="O116" i="4" s="1"/>
  <c r="M51" i="4"/>
  <c r="M52" i="4" s="1"/>
  <c r="O119" i="4" l="1"/>
  <c r="O117" i="4"/>
  <c r="O118" i="4" s="1"/>
  <c r="O122" i="4" s="1"/>
  <c r="N46" i="4"/>
  <c r="N140" i="4"/>
  <c r="N72" i="4" s="1"/>
  <c r="M55" i="4"/>
  <c r="M59" i="4" s="1"/>
  <c r="M41" i="4" s="1"/>
  <c r="M43" i="4" s="1"/>
  <c r="M68" i="4" s="1"/>
  <c r="M57" i="4"/>
  <c r="M70" i="4" s="1"/>
  <c r="O123" i="4" l="1"/>
  <c r="O124" i="4" s="1"/>
  <c r="O128" i="4" s="1"/>
  <c r="O125" i="4"/>
  <c r="N49" i="4"/>
  <c r="N54" i="4"/>
  <c r="M74" i="4"/>
  <c r="N50" i="4" l="1"/>
  <c r="O129" i="4"/>
  <c r="O131" i="4"/>
  <c r="N51" i="4" l="1"/>
  <c r="N52" i="4" s="1"/>
  <c r="O130" i="4"/>
  <c r="O134" i="4" s="1"/>
  <c r="N55" i="4" l="1"/>
  <c r="N59" i="4" s="1"/>
  <c r="N41" i="4" s="1"/>
  <c r="N43" i="4" s="1"/>
  <c r="N68" i="4" s="1"/>
  <c r="N57" i="4"/>
  <c r="N70" i="4" s="1"/>
  <c r="O137" i="4"/>
  <c r="O139" i="4" s="1"/>
  <c r="O38" i="4" s="1"/>
  <c r="O40" i="4" s="1"/>
  <c r="O135" i="4"/>
  <c r="O140" i="4" s="1"/>
  <c r="O72" i="4" s="1"/>
  <c r="O46" i="4" l="1"/>
  <c r="O136" i="4"/>
  <c r="N74" i="4"/>
  <c r="O49" i="4" l="1"/>
  <c r="O54" i="4"/>
  <c r="O50" i="4" l="1"/>
  <c r="P50" i="4" l="1"/>
  <c r="O51" i="4"/>
  <c r="O52" i="4" s="1"/>
  <c r="O57" i="4" l="1"/>
  <c r="O70" i="4" s="1"/>
  <c r="O55" i="4"/>
  <c r="O59" i="4" s="1"/>
  <c r="O41" i="4" s="1"/>
  <c r="O43" i="4" s="1"/>
  <c r="O68" i="4" s="1"/>
  <c r="P51" i="4"/>
  <c r="P52" i="4" s="1"/>
  <c r="Q50" i="4"/>
  <c r="O74" i="4" l="1"/>
  <c r="Q51" i="4"/>
  <c r="Q52" i="4" s="1"/>
  <c r="R50" i="4"/>
  <c r="P55" i="4"/>
  <c r="P59" i="4" s="1"/>
  <c r="P41" i="4" s="1"/>
  <c r="P43" i="4" s="1"/>
  <c r="P68" i="4" s="1"/>
  <c r="P57" i="4"/>
  <c r="P70" i="4" s="1"/>
  <c r="P74" i="4" l="1"/>
  <c r="R51" i="4"/>
  <c r="R52" i="4" s="1"/>
  <c r="S50" i="4"/>
  <c r="Q55" i="4"/>
  <c r="Q59" i="4" s="1"/>
  <c r="Q41" i="4" s="1"/>
  <c r="Q43" i="4" s="1"/>
  <c r="Q68" i="4" s="1"/>
  <c r="Q57" i="4"/>
  <c r="Q70" i="4" s="1"/>
  <c r="T50" i="4" l="1"/>
  <c r="U50" i="4" s="1"/>
  <c r="V50" i="4" s="1"/>
  <c r="W50" i="4" s="1"/>
  <c r="X50" i="4" s="1"/>
  <c r="Y50" i="4" s="1"/>
  <c r="Z50" i="4" s="1"/>
  <c r="AA50" i="4" s="1"/>
  <c r="AB50" i="4" s="1"/>
  <c r="AC50" i="4" s="1"/>
  <c r="S51" i="4"/>
  <c r="S52" i="4" s="1"/>
  <c r="Q74" i="4"/>
  <c r="R55" i="4"/>
  <c r="R59" i="4" s="1"/>
  <c r="R41" i="4" s="1"/>
  <c r="R43" i="4" s="1"/>
  <c r="R68" i="4" s="1"/>
  <c r="R57" i="4"/>
  <c r="R70" i="4" s="1"/>
  <c r="S55" i="4" l="1"/>
  <c r="S59" i="4" s="1"/>
  <c r="S41" i="4" s="1"/>
  <c r="S43" i="4" s="1"/>
  <c r="S68" i="4" s="1"/>
  <c r="S57" i="4"/>
  <c r="S70" i="4" s="1"/>
  <c r="R74" i="4"/>
  <c r="S74" i="4" l="1"/>
  <c r="C77" i="4" s="1"/>
  <c r="C13" i="6" s="1"/>
  <c r="D18" i="6" l="1"/>
  <c r="D20" i="6" s="1"/>
  <c r="D3" i="2"/>
  <c r="D21" i="6" l="1"/>
  <c r="D19" i="6"/>
</calcChain>
</file>

<file path=xl/sharedStrings.xml><?xml version="1.0" encoding="utf-8"?>
<sst xmlns="http://schemas.openxmlformats.org/spreadsheetml/2006/main" count="314" uniqueCount="217">
  <si>
    <t xml:space="preserve">Cost of the Project Activity </t>
  </si>
  <si>
    <t>Project Location</t>
  </si>
  <si>
    <t>Expected Date of Commissioning</t>
  </si>
  <si>
    <t>Life of Plant in years</t>
  </si>
  <si>
    <t>Items</t>
  </si>
  <si>
    <t>Cost</t>
  </si>
  <si>
    <t>Tax</t>
  </si>
  <si>
    <t>Cost + Tax</t>
  </si>
  <si>
    <t>Equity IRR without CDM</t>
  </si>
  <si>
    <t>Benchmark (Equity IRR)</t>
  </si>
  <si>
    <t>Assumption and financial of the project</t>
  </si>
  <si>
    <t>Details of the project</t>
  </si>
  <si>
    <t xml:space="preserve">Source </t>
  </si>
  <si>
    <t>Link</t>
  </si>
  <si>
    <t>State where the project is situated</t>
  </si>
  <si>
    <t>Operation and maintenance cost and Insurance</t>
  </si>
  <si>
    <t>Financial parameters</t>
  </si>
  <si>
    <t>Book Depreciation</t>
  </si>
  <si>
    <t>%</t>
  </si>
  <si>
    <t>Income Tax</t>
  </si>
  <si>
    <t>Financial Year</t>
  </si>
  <si>
    <t>MAT</t>
  </si>
  <si>
    <t>Final Tax rates</t>
  </si>
  <si>
    <t>Investor's Name:</t>
  </si>
  <si>
    <t>PROFIT &amp; LOSS STATEMENT</t>
  </si>
  <si>
    <t>Financial Year Closing</t>
  </si>
  <si>
    <t xml:space="preserve">Year </t>
  </si>
  <si>
    <t>Installed Capacity</t>
  </si>
  <si>
    <t>KW</t>
  </si>
  <si>
    <t>PLF</t>
  </si>
  <si>
    <t>Days</t>
  </si>
  <si>
    <t>Hours</t>
  </si>
  <si>
    <t>each year</t>
  </si>
  <si>
    <t>Tariff Rate</t>
  </si>
  <si>
    <t>INR/Unit</t>
  </si>
  <si>
    <t>INR MN</t>
  </si>
  <si>
    <t>Total Revenue</t>
  </si>
  <si>
    <t>Expenses</t>
  </si>
  <si>
    <t>Total Expenses</t>
  </si>
  <si>
    <t>PBDIT</t>
  </si>
  <si>
    <t>Less</t>
  </si>
  <si>
    <t xml:space="preserve">Book Depreciation </t>
  </si>
  <si>
    <t>PBIT</t>
  </si>
  <si>
    <t>Interest over the term Loan</t>
  </si>
  <si>
    <t>PBT</t>
  </si>
  <si>
    <t>Tax Payable</t>
  </si>
  <si>
    <t>PAT</t>
  </si>
  <si>
    <t>Tax Calculation</t>
  </si>
  <si>
    <t>Add</t>
  </si>
  <si>
    <t xml:space="preserve">IT Depreciation </t>
  </si>
  <si>
    <t>Cumulative profit</t>
  </si>
  <si>
    <t>Sec. 80IA benefit</t>
  </si>
  <si>
    <t>Tax shield</t>
  </si>
  <si>
    <t>Tax payable</t>
  </si>
  <si>
    <t xml:space="preserve">Equity Investment </t>
  </si>
  <si>
    <t>Cash Inflows</t>
  </si>
  <si>
    <t>Tax Shield</t>
  </si>
  <si>
    <t>Residual Value</t>
  </si>
  <si>
    <t>Net Cash Flow</t>
  </si>
  <si>
    <t>Equity IRR</t>
  </si>
  <si>
    <t>BACK UP WORKINGS</t>
  </si>
  <si>
    <t>from</t>
  </si>
  <si>
    <t>to</t>
  </si>
  <si>
    <t>Total days in a period</t>
  </si>
  <si>
    <t>Total days in a year - O&amp;M calculation year</t>
  </si>
  <si>
    <t>O&amp;M Charges</t>
  </si>
  <si>
    <t>FY Closure</t>
  </si>
  <si>
    <t>SENSITIVITY ANALYSIS</t>
  </si>
  <si>
    <t>Sensitivity Factors</t>
  </si>
  <si>
    <t>O&amp;M</t>
  </si>
  <si>
    <t>Project Cost</t>
  </si>
  <si>
    <t>Final Results</t>
  </si>
  <si>
    <t>Sensitivity Analysis</t>
  </si>
  <si>
    <t>Variation %</t>
  </si>
  <si>
    <t>Normal</t>
  </si>
  <si>
    <t>Breaching Value</t>
  </si>
  <si>
    <t xml:space="preserve">PLF </t>
  </si>
  <si>
    <t>Cash Outflow</t>
  </si>
  <si>
    <t>CASH FLOW STATEMENT (Equity IRR)</t>
  </si>
  <si>
    <t>Repayment of Principal on Loan</t>
  </si>
  <si>
    <t>in INR MN</t>
  </si>
  <si>
    <t>Taxable Profit</t>
  </si>
  <si>
    <t>Taxable Profit after Sec. 80IA Deduction</t>
  </si>
  <si>
    <t>Calculated Value</t>
  </si>
  <si>
    <t>Total Capacity (MW)</t>
  </si>
  <si>
    <t>Life of the plant (Yrs.)</t>
  </si>
  <si>
    <t>Annual generation (kWh)</t>
  </si>
  <si>
    <t>TOTAL COST (INR Mn.)</t>
  </si>
  <si>
    <t>Loan Amount (INR Mn.)</t>
  </si>
  <si>
    <t>Equity Investment (INR Mn.)</t>
  </si>
  <si>
    <t>Gross Depreciable Value (INR Mn.)</t>
  </si>
  <si>
    <t>Income tax rate (%)</t>
  </si>
  <si>
    <t>MAT (%)</t>
  </si>
  <si>
    <t>Service Tax (%)</t>
  </si>
  <si>
    <t>Surcharge (%)</t>
  </si>
  <si>
    <t>Education cess (%)</t>
  </si>
  <si>
    <t>Insurance (INR Mn.)</t>
  </si>
  <si>
    <t>Insurance</t>
  </si>
  <si>
    <t>As per TAC order 2001, Sheet No. 31</t>
  </si>
  <si>
    <t>Gross Annual Generation</t>
  </si>
  <si>
    <t>kWh</t>
  </si>
  <si>
    <t>Salvage Value (%)</t>
  </si>
  <si>
    <t>Net Depreciable Value (INR Mn.)</t>
  </si>
  <si>
    <t>Salvage value (INR Mn.)</t>
  </si>
  <si>
    <t>Term loan</t>
  </si>
  <si>
    <t>Book Depreciation (SLM Method)</t>
  </si>
  <si>
    <t>Residual Value (INR Mn.)</t>
  </si>
  <si>
    <t>IT Depreciation</t>
  </si>
  <si>
    <t>PLF (%)</t>
  </si>
  <si>
    <t>O&amp;M Expenses</t>
  </si>
  <si>
    <t>O &amp; M Expenses (INR Mn.)</t>
  </si>
  <si>
    <t>Escalation in the operational expenses (%)</t>
  </si>
  <si>
    <t>Generation of electricity</t>
  </si>
  <si>
    <t xml:space="preserve">Net Annual generation </t>
  </si>
  <si>
    <t>Land</t>
  </si>
  <si>
    <t>Assumption</t>
  </si>
  <si>
    <t>Interest rate (%)</t>
  </si>
  <si>
    <t>Loan Tenure (Qtr.)</t>
  </si>
  <si>
    <t>Moratorium Period (Qtr.)</t>
  </si>
  <si>
    <t>Repayment Period (Qtr.)</t>
  </si>
  <si>
    <t>Repayment instalments value (INR Mn.)</t>
  </si>
  <si>
    <t>1st instalment from  (Qtr. end)</t>
  </si>
  <si>
    <t>Considered from the next Quarter End</t>
  </si>
  <si>
    <t>LOAN REPAYMENT STATEMENT</t>
  </si>
  <si>
    <t>Loan Amount</t>
  </si>
  <si>
    <t>Interest rate</t>
  </si>
  <si>
    <t>Percent</t>
  </si>
  <si>
    <t>per quarter</t>
  </si>
  <si>
    <t>Loan Tenure</t>
  </si>
  <si>
    <t>Quarter</t>
  </si>
  <si>
    <t>Moratorium Period</t>
  </si>
  <si>
    <t>Repayment Period</t>
  </si>
  <si>
    <t>Loan Month</t>
  </si>
  <si>
    <t>Repayment installments value</t>
  </si>
  <si>
    <t>1st installment from</t>
  </si>
  <si>
    <t>Quarterly Repayment</t>
  </si>
  <si>
    <t>Q1 ending Jun</t>
  </si>
  <si>
    <t>Opening balance</t>
  </si>
  <si>
    <t>Less: Repayment</t>
  </si>
  <si>
    <t>Closing balance</t>
  </si>
  <si>
    <t>Interest</t>
  </si>
  <si>
    <t>Q2 ending Sep</t>
  </si>
  <si>
    <t>Q3 ending Dec</t>
  </si>
  <si>
    <t>Q4 ending Mar</t>
  </si>
  <si>
    <t>Total interest</t>
  </si>
  <si>
    <t>Total repayment</t>
  </si>
  <si>
    <t>Benchmark Calculations</t>
  </si>
  <si>
    <t>Value</t>
  </si>
  <si>
    <t>Sources Link</t>
  </si>
  <si>
    <t>Document Date</t>
  </si>
  <si>
    <t>Default Value for India as per UNFCCC guidelines</t>
  </si>
  <si>
    <t>Benchmark (with 10yrs Forecast)</t>
  </si>
  <si>
    <t>As Per Income Tax Rule, Pg 30 Para E(l)</t>
  </si>
  <si>
    <t>As Per Income Tax Rule</t>
  </si>
  <si>
    <t>As Per Income Tax Rule, Pg 30</t>
  </si>
  <si>
    <t>As Per Income Tax Rule, Pg 5, 11 and 12</t>
  </si>
  <si>
    <t>As Per IT rule Pg 4</t>
  </si>
  <si>
    <t>As per MNRE scheme dt. 04.09.2013,</t>
  </si>
  <si>
    <t>State</t>
  </si>
  <si>
    <t>Transmission &amp; Wheeling Losses (%)</t>
  </si>
  <si>
    <t>Escalation in Administrative expenses</t>
  </si>
  <si>
    <t>Escalation for Admin Expenses</t>
  </si>
  <si>
    <t>Calculated</t>
  </si>
  <si>
    <t>Benchmark</t>
  </si>
  <si>
    <t>Defalut Value</t>
  </si>
  <si>
    <t xml:space="preserve">Total </t>
  </si>
  <si>
    <t>Charges</t>
  </si>
  <si>
    <t>Escalation</t>
  </si>
  <si>
    <t>Free period</t>
  </si>
  <si>
    <t>O &amp; M free for (Yr.)</t>
  </si>
  <si>
    <t>Admin Expenses</t>
  </si>
  <si>
    <t>Savings</t>
  </si>
  <si>
    <t>Estimated Generation</t>
  </si>
  <si>
    <t>Savings from units generated</t>
  </si>
  <si>
    <t>Administrative expenses (INR MN)</t>
  </si>
  <si>
    <t xml:space="preserve"> Benchmark</t>
  </si>
  <si>
    <t>Project Capacity (MW)</t>
  </si>
  <si>
    <t>SPV Name</t>
  </si>
  <si>
    <t xml:space="preserve"> 5% Escalation, starting from 2nd Yr.</t>
  </si>
  <si>
    <t>DPR</t>
  </si>
  <si>
    <t>O &amp; M Expenses for Project Activity</t>
  </si>
  <si>
    <t xml:space="preserve">http://www.ireda.gov.in/forms/contentpage.aspx?lid=743 </t>
  </si>
  <si>
    <t>Inflation forecast (WPI Mean) as per RBI for 10yrs</t>
  </si>
  <si>
    <t>Annual Degradation per year</t>
  </si>
  <si>
    <t>Annual Degradation</t>
  </si>
  <si>
    <t>Incentive/GBI Benefit</t>
  </si>
  <si>
    <t>O &amp; M Expenses for Project</t>
  </si>
  <si>
    <t xml:space="preserve">Administration and Miscellaneous expenses </t>
  </si>
  <si>
    <t>Total Project Cost</t>
  </si>
  <si>
    <t xml:space="preserve">Escalation in tariff rate </t>
  </si>
  <si>
    <t>DPR (page 12 of 65)</t>
  </si>
  <si>
    <t>DPR  (page 58 of 65)</t>
  </si>
  <si>
    <t>http://www.cercind.gov.in/2016/orders/SO17.pdf</t>
  </si>
  <si>
    <t>http://taxguru.in/income-tax/income-tax-rate-chart-assessment-year-201516-financial-year-201415.html</t>
  </si>
  <si>
    <t>http://taxguru.in/service-tax/service-tax-rate-increased-1236-14-subsuming-ec-shec-effective-01062015.html</t>
  </si>
  <si>
    <t>http://taxguru.in/income-tax/income-tax-rates-fy-201314-ay-201415.html</t>
  </si>
  <si>
    <t>assumption 70% loan and 30% equity</t>
  </si>
  <si>
    <t>GBI Benefit (INR/kWh) if applicable</t>
  </si>
  <si>
    <t>Offer letter</t>
  </si>
  <si>
    <t>As per EB62, Annex 05 Dated: 15 July 2011</t>
  </si>
  <si>
    <t>Equity IRR Calculation as per Default Value in EB 62 Annex 5</t>
  </si>
  <si>
    <t>As per EB 62 Annex 5</t>
  </si>
  <si>
    <t>https://rbi.org.in/Scripts/PublicationsView.aspx?id=16402</t>
  </si>
  <si>
    <t>Giriraj Enterprises</t>
  </si>
  <si>
    <t>Senkottai Village, Virudhnagar</t>
  </si>
  <si>
    <t>Tamil Nadu</t>
  </si>
  <si>
    <t>DPR Page 22 of 103</t>
  </si>
  <si>
    <t>Tariff rate at the decision making (INR/kWh)</t>
  </si>
  <si>
    <t>IT act</t>
  </si>
  <si>
    <t>http://www.taxafin.com/Income_Tax/Tax_Rates/Depreciation_Rates.html</t>
  </si>
  <si>
    <t>Decision Date</t>
  </si>
  <si>
    <t xml:space="preserve">DPR </t>
  </si>
  <si>
    <t>Bank of Baroda BPLR from 09/02/2013 onwards</t>
  </si>
  <si>
    <t>http://www.bankruna.com/basedata.htm</t>
  </si>
  <si>
    <t>As being a part of Malpani Group, Malpani group avails term loan facilities for its various renewable energy projects from Bank of Baroda only.</t>
  </si>
  <si>
    <t>IT Depreciation(%)</t>
  </si>
  <si>
    <t xml:space="preserve">Third Party DPR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</si>
</sst>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(* #,##0.00_);_(* \(#,##0.00\);_(* &quot;-&quot;??_);_(@_)"/>
    <numFmt numFmtId="165" formatCode="[$-409]d\-mmm\-yyyy;@"/>
    <numFmt numFmtId="166" formatCode="_(* #,##0_);_(* \(#,##0\);_(* &quot;-&quot;??_);_(@_)"/>
    <numFmt numFmtId="167" formatCode="[$-409]d\-mmm\-yy;@"/>
    <numFmt numFmtId="168" formatCode="0.0%"/>
    <numFmt numFmtId="169" formatCode="[$-409]dd\-mmm\-yy;@"/>
    <numFmt numFmtId="170" formatCode="0.0"/>
    <numFmt numFmtId="171" formatCode="_([$€-2]* #,##0.00_);_([$€-2]* \(#,##0.00\);_([$€-2]* &quot;-&quot;??_)"/>
    <numFmt numFmtId="172" formatCode="_(* #,##0.000_);_(* \(#,##0.000\);_(* &quot;-&quot;??_);_(@_)"/>
    <numFmt numFmtId="173" formatCode="[$-409]mmm\-yy;@"/>
    <numFmt numFmtId="174" formatCode="[$-409]d/mmm/yy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3" tint="0.39997558519241921"/>
      <name val="Calibri"/>
      <family val="2"/>
      <scheme val="minor"/>
    </font>
    <font>
      <u/>
      <sz val="8.6"/>
      <color theme="10"/>
      <name val="Calibri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b/>
      <sz val="24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4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67" fontId="1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8" fillId="0" borderId="0" applyNumberFormat="0" applyFill="0" applyBorder="0" applyAlignment="0" applyProtection="0">
      <alignment vertical="top"/>
      <protection locked="0"/>
    </xf>
    <xf numFmtId="167" fontId="8" fillId="0" borderId="0" applyNumberFormat="0" applyFill="0" applyBorder="0" applyAlignment="0" applyProtection="0">
      <alignment vertical="top"/>
      <protection locked="0"/>
    </xf>
    <xf numFmtId="167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170" fontId="1" fillId="0" borderId="0"/>
    <xf numFmtId="0" fontId="1" fillId="0" borderId="0"/>
    <xf numFmtId="0" fontId="10" fillId="0" borderId="0"/>
    <xf numFmtId="0" fontId="10" fillId="0" borderId="0"/>
    <xf numFmtId="170" fontId="1" fillId="0" borderId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7" fontId="1" fillId="0" borderId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70" fontId="1" fillId="0" borderId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10" fillId="0" borderId="0"/>
    <xf numFmtId="164" fontId="1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9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17" fillId="24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24" fillId="11" borderId="86" applyNumberForma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10" fillId="27" borderId="87" applyNumberFormat="0" applyFon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7" fillId="24" borderId="88" applyNumberFormat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  <xf numFmtId="0" fontId="29" fillId="0" borderId="89" applyNumberFormat="0" applyFill="0" applyAlignment="0" applyProtection="0"/>
  </cellStyleXfs>
  <cellXfs count="49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9" fontId="2" fillId="0" borderId="0" xfId="2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vertical="center"/>
    </xf>
    <xf numFmtId="167" fontId="0" fillId="0" borderId="0" xfId="5" applyNumberFormat="1" applyFont="1" applyFill="1" applyAlignment="1">
      <alignment vertical="center"/>
    </xf>
    <xf numFmtId="167" fontId="0" fillId="0" borderId="0" xfId="5" applyNumberFormat="1" applyFont="1" applyAlignment="1">
      <alignment vertical="center"/>
    </xf>
    <xf numFmtId="10" fontId="0" fillId="0" borderId="0" xfId="5" applyNumberFormat="1" applyFont="1" applyAlignment="1">
      <alignment vertical="center"/>
    </xf>
    <xf numFmtId="2" fontId="0" fillId="0" borderId="0" xfId="5" applyNumberFormat="1" applyFont="1" applyAlignment="1">
      <alignment vertical="center"/>
    </xf>
    <xf numFmtId="168" fontId="0" fillId="0" borderId="0" xfId="5" applyNumberFormat="1" applyFont="1" applyBorder="1" applyAlignment="1">
      <alignment vertical="center"/>
    </xf>
    <xf numFmtId="167" fontId="3" fillId="0" borderId="0" xfId="5" applyNumberFormat="1" applyFont="1" applyAlignment="1">
      <alignment vertical="center"/>
    </xf>
    <xf numFmtId="0" fontId="0" fillId="0" borderId="0" xfId="5" applyNumberFormat="1" applyFont="1" applyAlignment="1">
      <alignment vertical="center"/>
    </xf>
    <xf numFmtId="167" fontId="0" fillId="0" borderId="0" xfId="5" applyNumberFormat="1" applyFont="1" applyFill="1" applyAlignment="1">
      <alignment horizontal="right" vertical="center"/>
    </xf>
    <xf numFmtId="167" fontId="5" fillId="0" borderId="4" xfId="5" applyNumberFormat="1" applyFont="1" applyBorder="1" applyAlignment="1">
      <alignment horizontal="center" vertical="center"/>
    </xf>
    <xf numFmtId="169" fontId="0" fillId="0" borderId="5" xfId="5" applyNumberFormat="1" applyFont="1" applyFill="1" applyBorder="1" applyAlignment="1">
      <alignment horizontal="center" vertical="center"/>
    </xf>
    <xf numFmtId="15" fontId="0" fillId="0" borderId="5" xfId="5" applyNumberFormat="1" applyFont="1" applyBorder="1" applyAlignment="1">
      <alignment horizontal="center" vertical="center"/>
    </xf>
    <xf numFmtId="0" fontId="0" fillId="0" borderId="0" xfId="5" applyNumberFormat="1" applyFont="1" applyFill="1" applyAlignment="1">
      <alignment horizontal="right" vertical="center"/>
    </xf>
    <xf numFmtId="0" fontId="5" fillId="0" borderId="10" xfId="5" applyNumberFormat="1" applyFont="1" applyFill="1" applyBorder="1" applyAlignment="1">
      <alignment horizontal="center" vertical="center"/>
    </xf>
    <xf numFmtId="0" fontId="5" fillId="0" borderId="11" xfId="5" applyNumberFormat="1" applyFont="1" applyFill="1" applyBorder="1" applyAlignment="1">
      <alignment horizontal="center" vertical="center"/>
    </xf>
    <xf numFmtId="37" fontId="5" fillId="0" borderId="11" xfId="5" applyNumberFormat="1" applyFont="1" applyFill="1" applyBorder="1" applyAlignment="1">
      <alignment horizontal="center" vertical="center"/>
    </xf>
    <xf numFmtId="0" fontId="5" fillId="0" borderId="12" xfId="5" applyNumberFormat="1" applyFont="1" applyFill="1" applyBorder="1" applyAlignment="1">
      <alignment horizontal="center" vertical="center"/>
    </xf>
    <xf numFmtId="0" fontId="0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vertical="center"/>
    </xf>
    <xf numFmtId="0" fontId="5" fillId="0" borderId="0" xfId="5" applyNumberFormat="1" applyFont="1" applyFill="1" applyBorder="1" applyAlignment="1">
      <alignment horizontal="center" vertical="center"/>
    </xf>
    <xf numFmtId="0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right" vertical="center"/>
    </xf>
    <xf numFmtId="0" fontId="5" fillId="0" borderId="5" xfId="5" applyNumberFormat="1" applyFont="1" applyFill="1" applyBorder="1" applyAlignment="1">
      <alignment vertical="center"/>
    </xf>
    <xf numFmtId="167" fontId="5" fillId="0" borderId="7" xfId="5" applyNumberFormat="1" applyFont="1" applyFill="1" applyBorder="1" applyAlignment="1">
      <alignment horizontal="right" vertical="center"/>
    </xf>
    <xf numFmtId="0" fontId="5" fillId="0" borderId="7" xfId="5" applyNumberFormat="1" applyFont="1" applyFill="1" applyBorder="1" applyAlignment="1">
      <alignment horizontal="right" vertical="center"/>
    </xf>
    <xf numFmtId="167" fontId="0" fillId="0" borderId="8" xfId="5" applyNumberFormat="1" applyFont="1" applyBorder="1" applyAlignment="1">
      <alignment vertical="center"/>
    </xf>
    <xf numFmtId="166" fontId="0" fillId="0" borderId="8" xfId="5" applyNumberFormat="1" applyFont="1" applyBorder="1" applyAlignment="1">
      <alignment vertical="center"/>
    </xf>
    <xf numFmtId="166" fontId="0" fillId="0" borderId="9" xfId="5" applyNumberFormat="1" applyFont="1" applyBorder="1" applyAlignment="1">
      <alignment vertical="center"/>
    </xf>
    <xf numFmtId="167" fontId="0" fillId="0" borderId="11" xfId="5" applyNumberFormat="1" applyFont="1" applyBorder="1" applyAlignment="1">
      <alignment vertical="center"/>
    </xf>
    <xf numFmtId="167" fontId="0" fillId="0" borderId="0" xfId="5" applyNumberFormat="1" applyFont="1" applyFill="1" applyBorder="1" applyAlignment="1">
      <alignment horizontal="right" vertical="center"/>
    </xf>
    <xf numFmtId="167" fontId="5" fillId="0" borderId="0" xfId="5" applyNumberFormat="1" applyFont="1" applyFill="1" applyBorder="1" applyAlignment="1">
      <alignment vertical="center"/>
    </xf>
    <xf numFmtId="167" fontId="5" fillId="0" borderId="0" xfId="5" applyNumberFormat="1" applyFont="1" applyFill="1" applyBorder="1" applyAlignment="1">
      <alignment horizontal="center" vertical="center"/>
    </xf>
    <xf numFmtId="167" fontId="0" fillId="0" borderId="0" xfId="5" applyNumberFormat="1" applyFont="1" applyBorder="1" applyAlignment="1">
      <alignment vertical="center"/>
    </xf>
    <xf numFmtId="167" fontId="5" fillId="0" borderId="4" xfId="5" applyNumberFormat="1" applyFont="1" applyFill="1" applyBorder="1" applyAlignment="1">
      <alignment horizontal="left" vertical="center"/>
    </xf>
    <xf numFmtId="167" fontId="0" fillId="0" borderId="5" xfId="5" applyNumberFormat="1" applyFont="1" applyBorder="1" applyAlignment="1">
      <alignment vertical="center"/>
    </xf>
    <xf numFmtId="166" fontId="0" fillId="0" borderId="5" xfId="5" applyNumberFormat="1" applyFont="1" applyBorder="1" applyAlignment="1">
      <alignment vertical="center"/>
    </xf>
    <xf numFmtId="167" fontId="5" fillId="0" borderId="7" xfId="5" applyNumberFormat="1" applyFont="1" applyFill="1" applyBorder="1" applyAlignment="1">
      <alignment horizontal="left" vertical="center"/>
    </xf>
    <xf numFmtId="164" fontId="0" fillId="0" borderId="8" xfId="5" applyNumberFormat="1" applyFont="1" applyBorder="1" applyAlignment="1">
      <alignment horizontal="right" vertical="center"/>
    </xf>
    <xf numFmtId="164" fontId="0" fillId="0" borderId="8" xfId="5" applyNumberFormat="1" applyFont="1" applyBorder="1" applyAlignment="1">
      <alignment vertical="center"/>
    </xf>
    <xf numFmtId="164" fontId="0" fillId="0" borderId="9" xfId="5" applyNumberFormat="1" applyFont="1" applyBorder="1" applyAlignment="1">
      <alignment vertical="center"/>
    </xf>
    <xf numFmtId="167" fontId="3" fillId="0" borderId="0" xfId="5" applyNumberFormat="1" applyFont="1" applyFill="1" applyAlignment="1">
      <alignment horizontal="right" vertical="center"/>
    </xf>
    <xf numFmtId="167" fontId="3" fillId="0" borderId="11" xfId="5" applyNumberFormat="1" applyFont="1" applyBorder="1" applyAlignment="1">
      <alignment vertical="center"/>
    </xf>
    <xf numFmtId="164" fontId="3" fillId="0" borderId="11" xfId="5" applyNumberFormat="1" applyFont="1" applyBorder="1" applyAlignment="1">
      <alignment vertical="center"/>
    </xf>
    <xf numFmtId="164" fontId="3" fillId="0" borderId="12" xfId="5" applyNumberFormat="1" applyFont="1" applyBorder="1" applyAlignment="1">
      <alignment vertical="center"/>
    </xf>
    <xf numFmtId="167" fontId="5" fillId="0" borderId="0" xfId="5" applyNumberFormat="1" applyFont="1" applyFill="1" applyBorder="1" applyAlignment="1">
      <alignment horizontal="left" vertical="center"/>
    </xf>
    <xf numFmtId="164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left" vertical="center"/>
    </xf>
    <xf numFmtId="164" fontId="0" fillId="0" borderId="5" xfId="5" applyNumberFormat="1" applyFont="1" applyBorder="1" applyAlignment="1">
      <alignment vertical="center"/>
    </xf>
    <xf numFmtId="164" fontId="0" fillId="0" borderId="6" xfId="5" applyNumberFormat="1" applyFont="1" applyBorder="1" applyAlignment="1">
      <alignment vertical="center"/>
    </xf>
    <xf numFmtId="0" fontId="0" fillId="0" borderId="8" xfId="5" applyNumberFormat="1" applyFont="1" applyBorder="1" applyAlignment="1">
      <alignment vertical="center"/>
    </xf>
    <xf numFmtId="0" fontId="0" fillId="0" borderId="7" xfId="5" applyNumberFormat="1" applyFont="1" applyBorder="1" applyAlignment="1">
      <alignment horizontal="left" vertical="center"/>
    </xf>
    <xf numFmtId="167" fontId="0" fillId="0" borderId="0" xfId="5" applyNumberFormat="1" applyFont="1" applyBorder="1" applyAlignment="1">
      <alignment horizontal="left" vertical="center"/>
    </xf>
    <xf numFmtId="167" fontId="3" fillId="0" borderId="5" xfId="5" applyNumberFormat="1" applyFont="1" applyBorder="1" applyAlignment="1">
      <alignment vertical="center"/>
    </xf>
    <xf numFmtId="164" fontId="3" fillId="0" borderId="5" xfId="5" applyNumberFormat="1" applyFont="1" applyBorder="1" applyAlignment="1">
      <alignment vertical="center"/>
    </xf>
    <xf numFmtId="164" fontId="3" fillId="0" borderId="6" xfId="5" applyNumberFormat="1" applyFont="1" applyBorder="1" applyAlignment="1">
      <alignment vertical="center"/>
    </xf>
    <xf numFmtId="167" fontId="0" fillId="0" borderId="7" xfId="5" applyNumberFormat="1" applyFont="1" applyBorder="1" applyAlignment="1">
      <alignment horizontal="left" vertical="center"/>
    </xf>
    <xf numFmtId="167" fontId="3" fillId="0" borderId="8" xfId="5" applyNumberFormat="1" applyFont="1" applyBorder="1" applyAlignment="1">
      <alignment vertical="center"/>
    </xf>
    <xf numFmtId="164" fontId="3" fillId="0" borderId="8" xfId="5" applyNumberFormat="1" applyFont="1" applyBorder="1" applyAlignment="1">
      <alignment vertical="center"/>
    </xf>
    <xf numFmtId="164" fontId="3" fillId="0" borderId="9" xfId="5" applyNumberFormat="1" applyFont="1" applyBorder="1" applyAlignment="1">
      <alignment vertical="center"/>
    </xf>
    <xf numFmtId="167" fontId="0" fillId="0" borderId="10" xfId="5" applyNumberFormat="1" applyFont="1" applyBorder="1" applyAlignment="1">
      <alignment horizontal="left" vertical="center"/>
    </xf>
    <xf numFmtId="164" fontId="0" fillId="0" borderId="11" xfId="5" applyNumberFormat="1" applyFont="1" applyBorder="1" applyAlignment="1">
      <alignment vertical="center"/>
    </xf>
    <xf numFmtId="164" fontId="0" fillId="0" borderId="12" xfId="5" applyNumberFormat="1" applyFont="1" applyBorder="1" applyAlignment="1">
      <alignment vertical="center"/>
    </xf>
    <xf numFmtId="167" fontId="3" fillId="0" borderId="17" xfId="5" applyNumberFormat="1" applyFont="1" applyBorder="1" applyAlignment="1">
      <alignment vertical="center"/>
    </xf>
    <xf numFmtId="164" fontId="3" fillId="0" borderId="17" xfId="5" applyNumberFormat="1" applyFont="1" applyBorder="1" applyAlignment="1">
      <alignment vertical="center"/>
    </xf>
    <xf numFmtId="164" fontId="3" fillId="0" borderId="18" xfId="5" applyNumberFormat="1" applyFont="1" applyBorder="1" applyAlignment="1">
      <alignment vertical="center"/>
    </xf>
    <xf numFmtId="167" fontId="11" fillId="0" borderId="0" xfId="5" applyNumberFormat="1" applyFont="1" applyFill="1" applyBorder="1" applyAlignment="1">
      <alignment horizontal="left" vertical="center" wrapText="1"/>
    </xf>
    <xf numFmtId="167" fontId="0" fillId="0" borderId="0" xfId="5" applyNumberFormat="1" applyFont="1" applyFill="1" applyBorder="1" applyAlignment="1">
      <alignment vertical="center"/>
    </xf>
    <xf numFmtId="168" fontId="11" fillId="0" borderId="0" xfId="5" applyNumberFormat="1" applyFont="1" applyFill="1" applyBorder="1" applyAlignment="1">
      <alignment horizontal="center" vertical="center"/>
    </xf>
    <xf numFmtId="167" fontId="5" fillId="0" borderId="4" xfId="5" applyNumberFormat="1" applyFont="1" applyFill="1" applyBorder="1" applyAlignment="1">
      <alignment vertical="center"/>
    </xf>
    <xf numFmtId="167" fontId="5" fillId="0" borderId="7" xfId="5" applyNumberFormat="1" applyFont="1" applyFill="1" applyBorder="1" applyAlignment="1">
      <alignment vertical="center"/>
    </xf>
    <xf numFmtId="164" fontId="0" fillId="5" borderId="8" xfId="5" applyNumberFormat="1" applyFont="1" applyFill="1" applyBorder="1" applyAlignment="1">
      <alignment vertical="center"/>
    </xf>
    <xf numFmtId="164" fontId="0" fillId="5" borderId="9" xfId="5" applyNumberFormat="1" applyFont="1" applyFill="1" applyBorder="1" applyAlignment="1">
      <alignment vertical="center"/>
    </xf>
    <xf numFmtId="167" fontId="5" fillId="0" borderId="10" xfId="5" applyNumberFormat="1" applyFont="1" applyFill="1" applyBorder="1" applyAlignment="1">
      <alignment vertical="center"/>
    </xf>
    <xf numFmtId="164" fontId="0" fillId="0" borderId="5" xfId="5" applyNumberFormat="1" applyFont="1" applyFill="1" applyBorder="1" applyAlignment="1">
      <alignment vertical="center"/>
    </xf>
    <xf numFmtId="164" fontId="0" fillId="0" borderId="6" xfId="5" applyNumberFormat="1" applyFont="1" applyFill="1" applyBorder="1" applyAlignment="1">
      <alignment vertical="center"/>
    </xf>
    <xf numFmtId="164" fontId="13" fillId="0" borderId="0" xfId="5" applyNumberFormat="1" applyFont="1" applyBorder="1" applyAlignment="1">
      <alignment vertical="center"/>
    </xf>
    <xf numFmtId="167" fontId="2" fillId="0" borderId="0" xfId="5" applyNumberFormat="1" applyFont="1" applyFill="1" applyBorder="1" applyAlignment="1">
      <alignment horizontal="center" vertical="center" wrapText="1"/>
    </xf>
    <xf numFmtId="164" fontId="13" fillId="0" borderId="0" xfId="1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vertical="center"/>
    </xf>
    <xf numFmtId="0" fontId="5" fillId="0" borderId="7" xfId="5" applyNumberFormat="1" applyFont="1" applyFill="1" applyBorder="1" applyAlignment="1">
      <alignment vertical="center"/>
    </xf>
    <xf numFmtId="0" fontId="5" fillId="0" borderId="10" xfId="5" applyNumberFormat="1" applyFont="1" applyFill="1" applyBorder="1" applyAlignment="1">
      <alignment vertical="center"/>
    </xf>
    <xf numFmtId="167" fontId="3" fillId="0" borderId="0" xfId="5" applyNumberFormat="1" applyFont="1" applyBorder="1" applyAlignment="1">
      <alignment vertical="center"/>
    </xf>
    <xf numFmtId="0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Fill="1" applyBorder="1" applyAlignment="1">
      <alignment horizontal="right" vertical="center"/>
    </xf>
    <xf numFmtId="2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Border="1" applyAlignment="1">
      <alignment vertical="center"/>
    </xf>
    <xf numFmtId="167" fontId="3" fillId="0" borderId="0" xfId="5" applyNumberFormat="1" applyFont="1" applyFill="1" applyBorder="1" applyAlignment="1">
      <alignment horizontal="right" vertical="center"/>
    </xf>
    <xf numFmtId="0" fontId="3" fillId="0" borderId="0" xfId="5" applyNumberFormat="1" applyFont="1" applyBorder="1" applyAlignment="1">
      <alignment vertical="center"/>
    </xf>
    <xf numFmtId="0" fontId="13" fillId="0" borderId="0" xfId="5" applyNumberFormat="1" applyFont="1" applyBorder="1" applyAlignment="1">
      <alignment vertical="center"/>
    </xf>
    <xf numFmtId="0" fontId="11" fillId="0" borderId="0" xfId="5" applyNumberFormat="1" applyFont="1" applyFill="1" applyBorder="1" applyAlignment="1">
      <alignment horizontal="center" vertical="center" wrapText="1"/>
    </xf>
    <xf numFmtId="10" fontId="11" fillId="0" borderId="0" xfId="5" applyNumberFormat="1" applyFont="1" applyFill="1" applyBorder="1" applyAlignment="1">
      <alignment horizontal="center" vertical="center"/>
    </xf>
    <xf numFmtId="0" fontId="5" fillId="0" borderId="0" xfId="6" applyFont="1" applyFill="1" applyAlignment="1">
      <alignment vertical="center"/>
    </xf>
    <xf numFmtId="0" fontId="5" fillId="0" borderId="0" xfId="6" applyFont="1" applyFill="1" applyBorder="1" applyAlignment="1">
      <alignment vertical="center"/>
    </xf>
    <xf numFmtId="0" fontId="5" fillId="0" borderId="19" xfId="6" applyFont="1" applyFill="1" applyBorder="1" applyAlignment="1">
      <alignment vertical="center"/>
    </xf>
    <xf numFmtId="15" fontId="5" fillId="0" borderId="6" xfId="6" applyNumberFormat="1" applyFont="1" applyFill="1" applyBorder="1" applyAlignment="1">
      <alignment vertical="center"/>
    </xf>
    <xf numFmtId="0" fontId="5" fillId="0" borderId="20" xfId="6" applyFont="1" applyFill="1" applyBorder="1" applyAlignment="1">
      <alignment vertical="center"/>
    </xf>
    <xf numFmtId="15" fontId="5" fillId="0" borderId="7" xfId="6" applyNumberFormat="1" applyFont="1" applyFill="1" applyBorder="1" applyAlignment="1">
      <alignment vertical="center"/>
    </xf>
    <xf numFmtId="0" fontId="5" fillId="0" borderId="7" xfId="6" applyFont="1" applyFill="1" applyBorder="1" applyAlignment="1">
      <alignment vertical="center"/>
    </xf>
    <xf numFmtId="0" fontId="5" fillId="0" borderId="7" xfId="6" applyNumberFormat="1" applyFont="1" applyFill="1" applyBorder="1" applyAlignment="1">
      <alignment vertical="center"/>
    </xf>
    <xf numFmtId="0" fontId="5" fillId="0" borderId="20" xfId="6" applyNumberFormat="1" applyFont="1" applyFill="1" applyBorder="1" applyAlignment="1">
      <alignment vertical="center"/>
    </xf>
    <xf numFmtId="2" fontId="5" fillId="0" borderId="7" xfId="6" applyNumberFormat="1" applyFont="1" applyFill="1" applyBorder="1" applyAlignment="1">
      <alignment vertical="center"/>
    </xf>
    <xf numFmtId="0" fontId="5" fillId="0" borderId="21" xfId="6" applyNumberFormat="1" applyFont="1" applyFill="1" applyBorder="1" applyAlignment="1">
      <alignment vertical="center"/>
    </xf>
    <xf numFmtId="2" fontId="5" fillId="0" borderId="27" xfId="6" applyNumberFormat="1" applyFont="1" applyFill="1" applyBorder="1" applyAlignment="1">
      <alignment vertical="center"/>
    </xf>
    <xf numFmtId="2" fontId="5" fillId="0" borderId="10" xfId="6" applyNumberFormat="1" applyFont="1" applyFill="1" applyBorder="1" applyAlignment="1">
      <alignment vertical="center"/>
    </xf>
    <xf numFmtId="2" fontId="5" fillId="0" borderId="12" xfId="6" applyNumberFormat="1" applyFont="1" applyFill="1" applyBorder="1" applyAlignment="1">
      <alignment vertical="center"/>
    </xf>
    <xf numFmtId="2" fontId="5" fillId="0" borderId="28" xfId="6" applyNumberFormat="1" applyFont="1" applyFill="1" applyBorder="1" applyAlignment="1">
      <alignment vertical="center"/>
    </xf>
    <xf numFmtId="167" fontId="5" fillId="0" borderId="16" xfId="5" applyNumberFormat="1" applyFont="1" applyBorder="1" applyAlignment="1">
      <alignment horizontal="center" vertical="center"/>
    </xf>
    <xf numFmtId="15" fontId="5" fillId="0" borderId="45" xfId="6" applyNumberFormat="1" applyFont="1" applyFill="1" applyBorder="1" applyAlignment="1">
      <alignment vertical="center"/>
    </xf>
    <xf numFmtId="15" fontId="5" fillId="0" borderId="35" xfId="6" applyNumberFormat="1" applyFont="1" applyFill="1" applyBorder="1" applyAlignment="1">
      <alignment horizontal="center" vertical="center"/>
    </xf>
    <xf numFmtId="167" fontId="5" fillId="0" borderId="0" xfId="5" applyNumberFormat="1" applyFont="1" applyBorder="1" applyAlignment="1">
      <alignment horizontal="center" vertical="center"/>
    </xf>
    <xf numFmtId="15" fontId="5" fillId="0" borderId="0" xfId="6" applyNumberFormat="1" applyFont="1" applyFill="1" applyBorder="1" applyAlignment="1">
      <alignment vertical="center"/>
    </xf>
    <xf numFmtId="15" fontId="5" fillId="0" borderId="0" xfId="6" applyNumberFormat="1" applyFont="1" applyFill="1" applyBorder="1" applyAlignment="1">
      <alignment horizontal="center" vertical="center"/>
    </xf>
    <xf numFmtId="0" fontId="5" fillId="0" borderId="46" xfId="6" applyFont="1" applyFill="1" applyBorder="1" applyAlignment="1">
      <alignment vertical="center"/>
    </xf>
    <xf numFmtId="15" fontId="5" fillId="0" borderId="22" xfId="6" applyNumberFormat="1" applyFont="1" applyFill="1" applyBorder="1" applyAlignment="1">
      <alignment vertical="center"/>
    </xf>
    <xf numFmtId="15" fontId="5" fillId="0" borderId="4" xfId="6" applyNumberFormat="1" applyFont="1" applyFill="1" applyBorder="1" applyAlignment="1">
      <alignment vertical="center"/>
    </xf>
    <xf numFmtId="15" fontId="5" fillId="0" borderId="47" xfId="6" applyNumberFormat="1" applyFont="1" applyFill="1" applyBorder="1" applyAlignment="1">
      <alignment vertical="center"/>
    </xf>
    <xf numFmtId="0" fontId="5" fillId="0" borderId="47" xfId="6" applyFont="1" applyFill="1" applyBorder="1" applyAlignment="1">
      <alignment vertical="center"/>
    </xf>
    <xf numFmtId="0" fontId="5" fillId="0" borderId="47" xfId="6" applyNumberFormat="1" applyFont="1" applyFill="1" applyBorder="1" applyAlignment="1">
      <alignment vertical="center"/>
    </xf>
    <xf numFmtId="2" fontId="5" fillId="0" borderId="47" xfId="6" applyNumberFormat="1" applyFont="1" applyFill="1" applyBorder="1" applyAlignment="1">
      <alignment vertical="center"/>
    </xf>
    <xf numFmtId="164" fontId="5" fillId="0" borderId="7" xfId="6" applyNumberFormat="1" applyFont="1" applyFill="1" applyBorder="1" applyAlignment="1">
      <alignment vertical="center"/>
    </xf>
    <xf numFmtId="0" fontId="5" fillId="0" borderId="48" xfId="6" applyNumberFormat="1" applyFont="1" applyFill="1" applyBorder="1" applyAlignment="1">
      <alignment vertical="center"/>
    </xf>
    <xf numFmtId="167" fontId="0" fillId="0" borderId="0" xfId="188" applyNumberFormat="1" applyFont="1" applyFill="1" applyAlignment="1">
      <alignment vertical="center"/>
    </xf>
    <xf numFmtId="167" fontId="3" fillId="0" borderId="0" xfId="188" applyNumberFormat="1" applyFont="1" applyAlignment="1">
      <alignment vertical="center"/>
    </xf>
    <xf numFmtId="167" fontId="0" fillId="0" borderId="0" xfId="188" applyNumberFormat="1" applyFont="1" applyAlignment="1">
      <alignment vertical="center"/>
    </xf>
    <xf numFmtId="2" fontId="0" fillId="0" borderId="0" xfId="188" applyNumberFormat="1" applyFont="1" applyAlignment="1">
      <alignment vertical="center"/>
    </xf>
    <xf numFmtId="10" fontId="0" fillId="0" borderId="0" xfId="188" applyNumberFormat="1" applyFont="1" applyAlignment="1">
      <alignment vertical="center"/>
    </xf>
    <xf numFmtId="168" fontId="0" fillId="0" borderId="0" xfId="188" applyNumberFormat="1" applyFont="1" applyBorder="1" applyAlignment="1">
      <alignment vertical="center"/>
    </xf>
    <xf numFmtId="9" fontId="4" fillId="0" borderId="0" xfId="2" applyFont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10" fontId="11" fillId="0" borderId="15" xfId="2" applyNumberFormat="1" applyFont="1" applyFill="1" applyBorder="1" applyAlignment="1">
      <alignment vertical="center"/>
    </xf>
    <xf numFmtId="10" fontId="0" fillId="0" borderId="0" xfId="2" applyNumberFormat="1" applyFont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0" fontId="11" fillId="0" borderId="31" xfId="2" applyNumberFormat="1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10" fontId="11" fillId="0" borderId="26" xfId="2" applyNumberFormat="1" applyFont="1" applyFill="1" applyBorder="1" applyAlignment="1">
      <alignment vertical="center"/>
    </xf>
    <xf numFmtId="10" fontId="0" fillId="0" borderId="0" xfId="2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9" fontId="0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9" fontId="11" fillId="0" borderId="34" xfId="2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9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0" fontId="11" fillId="0" borderId="5" xfId="2" applyNumberFormat="1" applyFont="1" applyBorder="1" applyAlignment="1">
      <alignment vertical="center"/>
    </xf>
    <xf numFmtId="10" fontId="11" fillId="0" borderId="6" xfId="2" applyNumberFormat="1" applyFont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10" fontId="11" fillId="0" borderId="8" xfId="2" applyNumberFormat="1" applyFont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10" fontId="11" fillId="0" borderId="8" xfId="2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10" fontId="11" fillId="0" borderId="11" xfId="2" applyNumberFormat="1" applyFont="1" applyBorder="1" applyAlignment="1">
      <alignment vertical="center"/>
    </xf>
    <xf numFmtId="0" fontId="0" fillId="0" borderId="5" xfId="5" applyNumberFormat="1" applyFont="1" applyBorder="1" applyAlignment="1">
      <alignment vertical="center"/>
    </xf>
    <xf numFmtId="164" fontId="0" fillId="0" borderId="8" xfId="5" applyNumberFormat="1" applyFont="1" applyFill="1" applyBorder="1" applyAlignment="1">
      <alignment vertical="center"/>
    </xf>
    <xf numFmtId="164" fontId="0" fillId="0" borderId="0" xfId="5" applyNumberFormat="1" applyFont="1" applyFill="1" applyBorder="1" applyAlignment="1">
      <alignment vertical="center"/>
    </xf>
    <xf numFmtId="164" fontId="0" fillId="0" borderId="0" xfId="5" applyNumberFormat="1" applyFont="1" applyAlignment="1">
      <alignment vertical="center"/>
    </xf>
    <xf numFmtId="164" fontId="3" fillId="0" borderId="0" xfId="5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2" fontId="12" fillId="0" borderId="0" xfId="0" applyNumberFormat="1" applyFont="1" applyFill="1" applyBorder="1" applyAlignment="1">
      <alignment vertical="center" wrapText="1"/>
    </xf>
    <xf numFmtId="0" fontId="5" fillId="0" borderId="53" xfId="5" applyNumberFormat="1" applyFont="1" applyFill="1" applyBorder="1" applyAlignment="1">
      <alignment vertical="center"/>
    </xf>
    <xf numFmtId="0" fontId="5" fillId="0" borderId="54" xfId="6" applyFont="1" applyFill="1" applyBorder="1" applyAlignment="1">
      <alignment vertical="center"/>
    </xf>
    <xf numFmtId="15" fontId="5" fillId="0" borderId="55" xfId="6" applyNumberFormat="1" applyFont="1" applyFill="1" applyBorder="1" applyAlignment="1">
      <alignment vertical="center"/>
    </xf>
    <xf numFmtId="15" fontId="5" fillId="0" borderId="54" xfId="6" applyNumberFormat="1" applyFont="1" applyFill="1" applyBorder="1" applyAlignment="1">
      <alignment vertical="center"/>
    </xf>
    <xf numFmtId="0" fontId="5" fillId="0" borderId="55" xfId="6" applyFont="1" applyFill="1" applyBorder="1" applyAlignment="1">
      <alignment vertical="center"/>
    </xf>
    <xf numFmtId="0" fontId="5" fillId="0" borderId="54" xfId="6" applyNumberFormat="1" applyFont="1" applyFill="1" applyBorder="1" applyAlignment="1">
      <alignment vertical="center"/>
    </xf>
    <xf numFmtId="0" fontId="5" fillId="0" borderId="55" xfId="6" applyNumberFormat="1" applyFont="1" applyFill="1" applyBorder="1" applyAlignment="1">
      <alignment vertical="center"/>
    </xf>
    <xf numFmtId="2" fontId="5" fillId="0" borderId="55" xfId="6" applyNumberFormat="1" applyFont="1" applyFill="1" applyBorder="1" applyAlignment="1">
      <alignment vertical="center"/>
    </xf>
    <xf numFmtId="167" fontId="11" fillId="28" borderId="33" xfId="5" applyNumberFormat="1" applyFont="1" applyFill="1" applyBorder="1" applyAlignment="1">
      <alignment horizontal="center" vertical="center"/>
    </xf>
    <xf numFmtId="167" fontId="11" fillId="28" borderId="10" xfId="5" applyNumberFormat="1" applyFont="1" applyFill="1" applyBorder="1" applyAlignment="1">
      <alignment horizontal="center" vertical="center" wrapText="1"/>
    </xf>
    <xf numFmtId="167" fontId="11" fillId="28" borderId="4" xfId="5" applyNumberFormat="1" applyFont="1" applyFill="1" applyBorder="1" applyAlignment="1">
      <alignment horizontal="center" vertical="center" wrapText="1"/>
    </xf>
    <xf numFmtId="167" fontId="11" fillId="28" borderId="7" xfId="5" applyNumberFormat="1" applyFont="1" applyFill="1" applyBorder="1" applyAlignment="1">
      <alignment horizontal="center" vertical="center" wrapText="1"/>
    </xf>
    <xf numFmtId="167" fontId="11" fillId="28" borderId="16" xfId="5" applyNumberFormat="1" applyFont="1" applyFill="1" applyBorder="1" applyAlignment="1">
      <alignment horizontal="center" vertical="center" wrapText="1"/>
    </xf>
    <xf numFmtId="167" fontId="11" fillId="28" borderId="33" xfId="5" applyNumberFormat="1" applyFont="1" applyFill="1" applyBorder="1" applyAlignment="1">
      <alignment horizontal="center" vertical="center" wrapText="1"/>
    </xf>
    <xf numFmtId="0" fontId="11" fillId="28" borderId="35" xfId="6" applyFont="1" applyFill="1" applyBorder="1" applyAlignment="1">
      <alignment horizontal="center" vertical="center"/>
    </xf>
    <xf numFmtId="0" fontId="11" fillId="28" borderId="16" xfId="5" applyNumberFormat="1" applyFont="1" applyFill="1" applyBorder="1" applyAlignment="1">
      <alignment horizontal="center" vertical="center" wrapText="1"/>
    </xf>
    <xf numFmtId="10" fontId="11" fillId="28" borderId="18" xfId="5" applyNumberFormat="1" applyFont="1" applyFill="1" applyBorder="1" applyAlignment="1">
      <alignment horizontal="center" vertical="center"/>
    </xf>
    <xf numFmtId="0" fontId="11" fillId="28" borderId="35" xfId="5" applyNumberFormat="1" applyFont="1" applyFill="1" applyBorder="1" applyAlignment="1">
      <alignment horizontal="center" vertical="center" wrapText="1"/>
    </xf>
    <xf numFmtId="0" fontId="11" fillId="28" borderId="33" xfId="5" applyNumberFormat="1" applyFont="1" applyFill="1" applyBorder="1" applyAlignment="1">
      <alignment horizontal="center" vertical="center" wrapText="1"/>
    </xf>
    <xf numFmtId="0" fontId="3" fillId="28" borderId="33" xfId="0" applyFont="1" applyFill="1" applyBorder="1" applyAlignment="1">
      <alignment horizontal="center" vertical="center"/>
    </xf>
    <xf numFmtId="0" fontId="3" fillId="28" borderId="35" xfId="0" applyFont="1" applyFill="1" applyBorder="1" applyAlignment="1">
      <alignment horizontal="center" vertical="center"/>
    </xf>
    <xf numFmtId="9" fontId="0" fillId="0" borderId="0" xfId="0" applyNumberFormat="1" applyFont="1" applyBorder="1" applyAlignment="1">
      <alignment vertical="center"/>
    </xf>
    <xf numFmtId="15" fontId="5" fillId="0" borderId="56" xfId="6" applyNumberFormat="1" applyFont="1" applyFill="1" applyBorder="1" applyAlignment="1">
      <alignment vertical="center"/>
    </xf>
    <xf numFmtId="0" fontId="5" fillId="0" borderId="56" xfId="6" applyFont="1" applyFill="1" applyBorder="1" applyAlignment="1">
      <alignment vertical="center"/>
    </xf>
    <xf numFmtId="0" fontId="5" fillId="0" borderId="56" xfId="6" applyNumberFormat="1" applyFont="1" applyFill="1" applyBorder="1" applyAlignment="1">
      <alignment vertical="center"/>
    </xf>
    <xf numFmtId="2" fontId="5" fillId="0" borderId="56" xfId="6" applyNumberFormat="1" applyFont="1" applyFill="1" applyBorder="1" applyAlignment="1">
      <alignment vertical="center"/>
    </xf>
    <xf numFmtId="167" fontId="5" fillId="0" borderId="10" xfId="5" quotePrefix="1" applyNumberFormat="1" applyFont="1" applyFill="1" applyBorder="1" applyAlignment="1">
      <alignment horizontal="left" vertical="center"/>
    </xf>
    <xf numFmtId="167" fontId="5" fillId="0" borderId="53" xfId="5" applyNumberFormat="1" applyFont="1" applyFill="1" applyBorder="1" applyAlignment="1">
      <alignment vertical="center"/>
    </xf>
    <xf numFmtId="10" fontId="5" fillId="0" borderId="53" xfId="5" applyNumberFormat="1" applyFont="1" applyFill="1" applyBorder="1" applyAlignment="1">
      <alignment horizontal="center" vertical="center"/>
    </xf>
    <xf numFmtId="10" fontId="5" fillId="0" borderId="56" xfId="5" applyNumberFormat="1" applyFont="1" applyFill="1" applyBorder="1" applyAlignment="1">
      <alignment horizontal="center" vertical="center"/>
    </xf>
    <xf numFmtId="0" fontId="5" fillId="0" borderId="53" xfId="5" applyNumberFormat="1" applyFont="1" applyFill="1" applyBorder="1" applyAlignment="1">
      <alignment horizontal="center" vertical="center"/>
    </xf>
    <xf numFmtId="0" fontId="5" fillId="0" borderId="56" xfId="5" applyNumberFormat="1" applyFont="1" applyFill="1" applyBorder="1" applyAlignment="1">
      <alignment horizontal="center" vertical="center"/>
    </xf>
    <xf numFmtId="10" fontId="11" fillId="0" borderId="56" xfId="2" applyNumberFormat="1" applyFont="1" applyBorder="1" applyAlignment="1">
      <alignment vertical="center"/>
    </xf>
    <xf numFmtId="10" fontId="11" fillId="0" borderId="56" xfId="2" applyNumberFormat="1" applyFont="1" applyFill="1" applyBorder="1" applyAlignment="1">
      <alignment vertical="center"/>
    </xf>
    <xf numFmtId="167" fontId="2" fillId="3" borderId="0" xfId="5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66" xfId="5" applyNumberFormat="1" applyFont="1" applyFill="1" applyBorder="1" applyAlignment="1">
      <alignment horizontal="left" vertical="center"/>
    </xf>
    <xf numFmtId="0" fontId="0" fillId="0" borderId="50" xfId="5" applyNumberFormat="1" applyFont="1" applyBorder="1" applyAlignment="1">
      <alignment vertical="center"/>
    </xf>
    <xf numFmtId="164" fontId="0" fillId="0" borderId="50" xfId="5" applyNumberFormat="1" applyFont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5" fillId="0" borderId="63" xfId="5" applyNumberFormat="1" applyFont="1" applyFill="1" applyBorder="1" applyAlignment="1">
      <alignment horizontal="right" vertical="center"/>
    </xf>
    <xf numFmtId="0" fontId="5" fillId="0" borderId="65" xfId="5" applyNumberFormat="1" applyFont="1" applyFill="1" applyBorder="1" applyAlignment="1">
      <alignment vertical="center"/>
    </xf>
    <xf numFmtId="166" fontId="5" fillId="0" borderId="65" xfId="1" applyNumberFormat="1" applyFont="1" applyFill="1" applyBorder="1" applyAlignment="1">
      <alignment horizontal="center" vertical="center"/>
    </xf>
    <xf numFmtId="166" fontId="5" fillId="0" borderId="52" xfId="1" applyNumberFormat="1" applyFont="1" applyFill="1" applyBorder="1" applyAlignment="1">
      <alignment horizontal="center" vertical="center"/>
    </xf>
    <xf numFmtId="37" fontId="5" fillId="0" borderId="65" xfId="1" applyNumberFormat="1" applyFont="1" applyFill="1" applyBorder="1" applyAlignment="1">
      <alignment horizontal="center" vertical="center"/>
    </xf>
    <xf numFmtId="167" fontId="5" fillId="0" borderId="0" xfId="5" applyNumberFormat="1" applyFont="1" applyFill="1" applyBorder="1" applyAlignment="1">
      <alignment horizontal="right" vertical="center"/>
    </xf>
    <xf numFmtId="37" fontId="0" fillId="0" borderId="0" xfId="5" applyNumberFormat="1" applyFont="1" applyBorder="1" applyAlignment="1">
      <alignment horizontal="center" vertical="center"/>
    </xf>
    <xf numFmtId="166" fontId="0" fillId="0" borderId="0" xfId="5" applyNumberFormat="1" applyFont="1" applyBorder="1" applyAlignment="1">
      <alignment vertical="center"/>
    </xf>
    <xf numFmtId="37" fontId="5" fillId="0" borderId="5" xfId="5" applyNumberFormat="1" applyFont="1" applyFill="1" applyBorder="1" applyAlignment="1">
      <alignment horizontal="center" vertical="center"/>
    </xf>
    <xf numFmtId="164" fontId="5" fillId="0" borderId="62" xfId="6" applyNumberFormat="1" applyFont="1" applyFill="1" applyBorder="1" applyAlignment="1">
      <alignment vertical="center"/>
    </xf>
    <xf numFmtId="164" fontId="5" fillId="0" borderId="74" xfId="6" applyNumberFormat="1" applyFont="1" applyFill="1" applyBorder="1" applyAlignment="1">
      <alignment vertical="center"/>
    </xf>
    <xf numFmtId="2" fontId="5" fillId="0" borderId="74" xfId="6" applyNumberFormat="1" applyFont="1" applyFill="1" applyBorder="1" applyAlignment="1">
      <alignment vertical="center"/>
    </xf>
    <xf numFmtId="3" fontId="0" fillId="0" borderId="11" xfId="5" applyNumberFormat="1" applyFont="1" applyBorder="1" applyAlignment="1">
      <alignment vertical="center"/>
    </xf>
    <xf numFmtId="3" fontId="0" fillId="0" borderId="11" xfId="5" applyNumberFormat="1" applyFont="1" applyBorder="1" applyAlignment="1">
      <alignment horizontal="center" vertical="center"/>
    </xf>
    <xf numFmtId="167" fontId="5" fillId="0" borderId="10" xfId="5" applyNumberFormat="1" applyFont="1" applyFill="1" applyBorder="1" applyAlignment="1">
      <alignment horizontal="right" vertical="center"/>
    </xf>
    <xf numFmtId="164" fontId="0" fillId="0" borderId="9" xfId="5" applyNumberFormat="1" applyFont="1" applyFill="1" applyBorder="1" applyAlignment="1">
      <alignment vertical="center"/>
    </xf>
    <xf numFmtId="167" fontId="3" fillId="0" borderId="19" xfId="5" applyNumberFormat="1" applyFont="1" applyBorder="1" applyAlignment="1">
      <alignment vertical="center"/>
    </xf>
    <xf numFmtId="164" fontId="5" fillId="0" borderId="6" xfId="1" applyFont="1" applyFill="1" applyBorder="1" applyAlignment="1">
      <alignment horizontal="right" vertical="center"/>
    </xf>
    <xf numFmtId="167" fontId="0" fillId="0" borderId="20" xfId="5" applyNumberFormat="1" applyFont="1" applyBorder="1" applyAlignment="1">
      <alignment vertical="center"/>
    </xf>
    <xf numFmtId="167" fontId="0" fillId="0" borderId="77" xfId="5" applyNumberFormat="1" applyFont="1" applyBorder="1" applyAlignment="1">
      <alignment vertical="center"/>
    </xf>
    <xf numFmtId="10" fontId="5" fillId="0" borderId="9" xfId="1" applyNumberFormat="1" applyFont="1" applyFill="1" applyBorder="1" applyAlignment="1">
      <alignment horizontal="right" vertical="center"/>
    </xf>
    <xf numFmtId="10" fontId="0" fillId="0" borderId="9" xfId="5" applyNumberFormat="1" applyFont="1" applyBorder="1" applyAlignment="1">
      <alignment vertical="center"/>
    </xf>
    <xf numFmtId="166" fontId="5" fillId="0" borderId="9" xfId="1" applyNumberFormat="1" applyFont="1" applyFill="1" applyBorder="1" applyAlignment="1">
      <alignment horizontal="right" vertical="center"/>
    </xf>
    <xf numFmtId="173" fontId="5" fillId="0" borderId="9" xfId="1" applyNumberFormat="1" applyFont="1" applyFill="1" applyBorder="1" applyAlignment="1">
      <alignment horizontal="right" vertical="center"/>
    </xf>
    <xf numFmtId="172" fontId="5" fillId="0" borderId="51" xfId="1" applyNumberFormat="1" applyFont="1" applyFill="1" applyBorder="1" applyAlignment="1">
      <alignment horizontal="right" vertical="center"/>
    </xf>
    <xf numFmtId="167" fontId="0" fillId="0" borderId="21" xfId="5" applyNumberFormat="1" applyFont="1" applyBorder="1" applyAlignment="1">
      <alignment vertical="center"/>
    </xf>
    <xf numFmtId="173" fontId="5" fillId="0" borderId="12" xfId="1" applyNumberFormat="1" applyFont="1" applyFill="1" applyBorder="1" applyAlignment="1">
      <alignment horizontal="right" vertical="center"/>
    </xf>
    <xf numFmtId="173" fontId="5" fillId="0" borderId="0" xfId="1" applyNumberFormat="1" applyFont="1" applyFill="1" applyBorder="1" applyAlignment="1">
      <alignment horizontal="right" vertical="center"/>
    </xf>
    <xf numFmtId="167" fontId="3" fillId="28" borderId="33" xfId="5" applyNumberFormat="1" applyFont="1" applyFill="1" applyBorder="1" applyAlignment="1">
      <alignment horizontal="center" vertical="center"/>
    </xf>
    <xf numFmtId="2" fontId="3" fillId="0" borderId="0" xfId="5" applyNumberFormat="1" applyFont="1" applyAlignment="1">
      <alignment vertical="center"/>
    </xf>
    <xf numFmtId="0" fontId="11" fillId="0" borderId="4" xfId="5" applyNumberFormat="1" applyFont="1" applyFill="1" applyBorder="1" applyAlignment="1">
      <alignment vertical="center"/>
    </xf>
    <xf numFmtId="0" fontId="11" fillId="0" borderId="5" xfId="5" applyNumberFormat="1" applyFont="1" applyFill="1" applyBorder="1" applyAlignment="1">
      <alignment vertical="center"/>
    </xf>
    <xf numFmtId="173" fontId="0" fillId="0" borderId="5" xfId="5" applyNumberFormat="1" applyFont="1" applyBorder="1" applyAlignment="1">
      <alignment vertical="center"/>
    </xf>
    <xf numFmtId="173" fontId="0" fillId="0" borderId="6" xfId="5" applyNumberFormat="1" applyFont="1" applyBorder="1" applyAlignment="1">
      <alignment vertical="center"/>
    </xf>
    <xf numFmtId="0" fontId="5" fillId="0" borderId="77" xfId="5" applyNumberFormat="1" applyFont="1" applyFill="1" applyBorder="1" applyAlignment="1">
      <alignment vertical="center"/>
    </xf>
    <xf numFmtId="164" fontId="0" fillId="0" borderId="77" xfId="5" applyNumberFormat="1" applyFont="1" applyBorder="1" applyAlignment="1">
      <alignment vertical="center"/>
    </xf>
    <xf numFmtId="0" fontId="11" fillId="0" borderId="7" xfId="5" applyNumberFormat="1" applyFont="1" applyFill="1" applyBorder="1" applyAlignment="1">
      <alignment vertical="center"/>
    </xf>
    <xf numFmtId="0" fontId="11" fillId="0" borderId="77" xfId="5" applyNumberFormat="1" applyFont="1" applyFill="1" applyBorder="1" applyAlignment="1">
      <alignment vertical="center"/>
    </xf>
    <xf numFmtId="173" fontId="0" fillId="0" borderId="77" xfId="5" applyNumberFormat="1" applyFont="1" applyBorder="1" applyAlignment="1">
      <alignment vertical="center"/>
    </xf>
    <xf numFmtId="173" fontId="0" fillId="0" borderId="9" xfId="5" applyNumberFormat="1" applyFont="1" applyBorder="1" applyAlignment="1">
      <alignment vertical="center"/>
    </xf>
    <xf numFmtId="172" fontId="0" fillId="0" borderId="0" xfId="1" applyNumberFormat="1" applyFont="1" applyAlignment="1">
      <alignment vertical="center"/>
    </xf>
    <xf numFmtId="0" fontId="5" fillId="0" borderId="11" xfId="5" applyNumberFormat="1" applyFont="1" applyFill="1" applyBorder="1" applyAlignment="1">
      <alignment vertical="center"/>
    </xf>
    <xf numFmtId="167" fontId="3" fillId="0" borderId="0" xfId="5" applyNumberFormat="1" applyFont="1" applyFill="1" applyAlignment="1">
      <alignment vertical="center"/>
    </xf>
    <xf numFmtId="0" fontId="11" fillId="0" borderId="10" xfId="5" applyNumberFormat="1" applyFont="1" applyFill="1" applyBorder="1" applyAlignment="1">
      <alignment vertical="center"/>
    </xf>
    <xf numFmtId="0" fontId="11" fillId="0" borderId="11" xfId="5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0" borderId="7" xfId="0" applyBorder="1"/>
    <xf numFmtId="10" fontId="3" fillId="0" borderId="64" xfId="2" applyNumberFormat="1" applyFont="1" applyBorder="1"/>
    <xf numFmtId="0" fontId="0" fillId="0" borderId="7" xfId="0" applyBorder="1" applyAlignment="1">
      <alignment wrapText="1"/>
    </xf>
    <xf numFmtId="0" fontId="0" fillId="0" borderId="79" xfId="0" applyBorder="1"/>
    <xf numFmtId="0" fontId="0" fillId="0" borderId="57" xfId="0" applyBorder="1"/>
    <xf numFmtId="0" fontId="3" fillId="0" borderId="6" xfId="0" applyFont="1" applyBorder="1" applyAlignment="1">
      <alignment horizontal="center" wrapText="1"/>
    </xf>
    <xf numFmtId="164" fontId="0" fillId="0" borderId="81" xfId="5" applyNumberFormat="1" applyFont="1" applyBorder="1" applyAlignment="1">
      <alignment vertical="center"/>
    </xf>
    <xf numFmtId="164" fontId="0" fillId="0" borderId="80" xfId="5" applyNumberFormat="1" applyFont="1" applyBorder="1" applyAlignment="1">
      <alignment vertical="center"/>
    </xf>
    <xf numFmtId="0" fontId="0" fillId="0" borderId="81" xfId="0" applyBorder="1"/>
    <xf numFmtId="167" fontId="5" fillId="0" borderId="84" xfId="5" applyNumberFormat="1" applyFont="1" applyFill="1" applyBorder="1" applyAlignment="1">
      <alignment horizontal="left" vertical="center"/>
    </xf>
    <xf numFmtId="164" fontId="0" fillId="0" borderId="8" xfId="5" quotePrefix="1" applyNumberFormat="1" applyFont="1" applyBorder="1" applyAlignment="1">
      <alignment vertical="center"/>
    </xf>
    <xf numFmtId="10" fontId="5" fillId="0" borderId="85" xfId="2" applyNumberFormat="1" applyFont="1" applyFill="1" applyBorder="1" applyAlignment="1">
      <alignment horizontal="center" vertical="center"/>
    </xf>
    <xf numFmtId="9" fontId="3" fillId="0" borderId="0" xfId="2" applyFont="1" applyFill="1" applyAlignment="1">
      <alignment vertical="center"/>
    </xf>
    <xf numFmtId="9" fontId="9" fillId="0" borderId="0" xfId="2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10" fontId="3" fillId="0" borderId="64" xfId="2" applyNumberFormat="1" applyFont="1" applyFill="1" applyBorder="1"/>
    <xf numFmtId="10" fontId="3" fillId="0" borderId="75" xfId="0" applyNumberFormat="1" applyFont="1" applyFill="1" applyBorder="1"/>
    <xf numFmtId="0" fontId="0" fillId="0" borderId="90" xfId="0" applyBorder="1" applyAlignment="1"/>
    <xf numFmtId="0" fontId="0" fillId="0" borderId="91" xfId="0" applyBorder="1" applyAlignment="1"/>
    <xf numFmtId="10" fontId="36" fillId="3" borderId="31" xfId="2" applyNumberFormat="1" applyFont="1" applyFill="1" applyBorder="1" applyAlignment="1">
      <alignment horizontal="right" wrapText="1"/>
    </xf>
    <xf numFmtId="0" fontId="37" fillId="0" borderId="0" xfId="0" applyFont="1" applyAlignment="1">
      <alignment vertical="center"/>
    </xf>
    <xf numFmtId="0" fontId="8" fillId="0" borderId="0" xfId="3" applyAlignment="1" applyProtection="1"/>
    <xf numFmtId="0" fontId="11" fillId="0" borderId="84" xfId="6" applyFont="1" applyFill="1" applyBorder="1" applyAlignment="1">
      <alignment vertical="center"/>
    </xf>
    <xf numFmtId="0" fontId="11" fillId="0" borderId="93" xfId="6" applyFont="1" applyFill="1" applyBorder="1" applyAlignment="1">
      <alignment vertical="center"/>
    </xf>
    <xf numFmtId="0" fontId="11" fillId="0" borderId="19" xfId="6" applyFont="1" applyFill="1" applyBorder="1" applyAlignment="1">
      <alignment vertical="center"/>
    </xf>
    <xf numFmtId="0" fontId="11" fillId="0" borderId="91" xfId="6" applyFont="1" applyFill="1" applyBorder="1" applyAlignment="1">
      <alignment vertical="center"/>
    </xf>
    <xf numFmtId="0" fontId="11" fillId="0" borderId="94" xfId="6" applyFont="1" applyFill="1" applyBorder="1" applyAlignment="1">
      <alignment vertical="center"/>
    </xf>
    <xf numFmtId="0" fontId="11" fillId="0" borderId="22" xfId="6" applyFont="1" applyFill="1" applyBorder="1" applyAlignment="1">
      <alignment vertical="center"/>
    </xf>
    <xf numFmtId="10" fontId="11" fillId="0" borderId="83" xfId="6" applyNumberFormat="1" applyFont="1" applyFill="1" applyBorder="1" applyAlignment="1">
      <alignment vertical="center"/>
    </xf>
    <xf numFmtId="0" fontId="11" fillId="0" borderId="27" xfId="6" applyFont="1" applyFill="1" applyBorder="1" applyAlignment="1">
      <alignment vertical="center"/>
    </xf>
    <xf numFmtId="167" fontId="0" fillId="0" borderId="1" xfId="5" applyNumberFormat="1" applyFont="1" applyBorder="1" applyAlignment="1">
      <alignment vertical="center"/>
    </xf>
    <xf numFmtId="164" fontId="0" fillId="0" borderId="35" xfId="5" applyNumberFormat="1" applyFont="1" applyBorder="1" applyAlignment="1">
      <alignment vertical="center"/>
    </xf>
    <xf numFmtId="167" fontId="3" fillId="0" borderId="1" xfId="5" applyNumberFormat="1" applyFont="1" applyBorder="1" applyAlignment="1">
      <alignment vertical="center"/>
    </xf>
    <xf numFmtId="15" fontId="5" fillId="0" borderId="46" xfId="6" applyNumberFormat="1" applyFont="1" applyFill="1" applyBorder="1" applyAlignment="1">
      <alignment vertical="center"/>
    </xf>
    <xf numFmtId="15" fontId="5" fillId="0" borderId="95" xfId="6" applyNumberFormat="1" applyFont="1" applyFill="1" applyBorder="1" applyAlignment="1">
      <alignment vertical="center"/>
    </xf>
    <xf numFmtId="0" fontId="5" fillId="0" borderId="95" xfId="6" applyFont="1" applyFill="1" applyBorder="1" applyAlignment="1">
      <alignment vertical="center"/>
    </xf>
    <xf numFmtId="0" fontId="5" fillId="0" borderId="95" xfId="6" applyNumberFormat="1" applyFont="1" applyFill="1" applyBorder="1" applyAlignment="1">
      <alignment vertical="center"/>
    </xf>
    <xf numFmtId="2" fontId="5" fillId="0" borderId="95" xfId="6" applyNumberFormat="1" applyFont="1" applyFill="1" applyBorder="1" applyAlignment="1">
      <alignment vertical="center"/>
    </xf>
    <xf numFmtId="164" fontId="5" fillId="0" borderId="91" xfId="6" applyNumberFormat="1" applyFont="1" applyFill="1" applyBorder="1" applyAlignment="1">
      <alignment vertical="center"/>
    </xf>
    <xf numFmtId="2" fontId="5" fillId="0" borderId="96" xfId="6" applyNumberFormat="1" applyFont="1" applyFill="1" applyBorder="1" applyAlignment="1">
      <alignment vertical="center"/>
    </xf>
    <xf numFmtId="15" fontId="5" fillId="0" borderId="8" xfId="6" applyNumberFormat="1" applyFont="1" applyFill="1" applyBorder="1" applyAlignment="1">
      <alignment vertical="center"/>
    </xf>
    <xf numFmtId="0" fontId="5" fillId="0" borderId="8" xfId="6" applyFont="1" applyFill="1" applyBorder="1" applyAlignment="1">
      <alignment vertical="center"/>
    </xf>
    <xf numFmtId="0" fontId="5" fillId="0" borderId="8" xfId="6" applyNumberFormat="1" applyFont="1" applyFill="1" applyBorder="1" applyAlignment="1">
      <alignment vertical="center"/>
    </xf>
    <xf numFmtId="2" fontId="5" fillId="0" borderId="8" xfId="6" applyNumberFormat="1" applyFont="1" applyFill="1" applyBorder="1" applyAlignment="1">
      <alignment vertical="center"/>
    </xf>
    <xf numFmtId="164" fontId="5" fillId="0" borderId="8" xfId="6" applyNumberFormat="1" applyFont="1" applyFill="1" applyBorder="1" applyAlignment="1">
      <alignment vertical="center"/>
    </xf>
    <xf numFmtId="0" fontId="38" fillId="2" borderId="0" xfId="0" quotePrefix="1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28" borderId="1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39" fillId="28" borderId="4" xfId="0" applyFont="1" applyFill="1" applyBorder="1" applyAlignment="1">
      <alignment horizontal="left" vertical="center"/>
    </xf>
    <xf numFmtId="0" fontId="39" fillId="28" borderId="66" xfId="0" applyFont="1" applyFill="1" applyBorder="1" applyAlignment="1">
      <alignment horizontal="left" vertical="center"/>
    </xf>
    <xf numFmtId="0" fontId="39" fillId="28" borderId="7" xfId="0" applyFont="1" applyFill="1" applyBorder="1" applyAlignment="1">
      <alignment horizontal="left" vertical="center"/>
    </xf>
    <xf numFmtId="0" fontId="39" fillId="28" borderId="10" xfId="0" applyFont="1" applyFill="1" applyBorder="1" applyAlignment="1">
      <alignment horizontal="left" vertical="center"/>
    </xf>
    <xf numFmtId="165" fontId="39" fillId="0" borderId="0" xfId="0" applyNumberFormat="1" applyFont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horizontal="right" vertical="center"/>
    </xf>
    <xf numFmtId="0" fontId="39" fillId="0" borderId="1" xfId="0" applyFont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/>
    </xf>
    <xf numFmtId="164" fontId="39" fillId="0" borderId="5" xfId="0" applyNumberFormat="1" applyFont="1" applyBorder="1" applyAlignment="1">
      <alignment horizontal="center" vertical="center"/>
    </xf>
    <xf numFmtId="164" fontId="39" fillId="0" borderId="6" xfId="0" applyNumberFormat="1" applyFont="1" applyFill="1" applyBorder="1" applyAlignment="1">
      <alignment horizontal="center" vertical="center"/>
    </xf>
    <xf numFmtId="164" fontId="39" fillId="0" borderId="66" xfId="0" applyNumberFormat="1" applyFont="1" applyFill="1" applyBorder="1" applyAlignment="1">
      <alignment horizontal="center" vertical="center"/>
    </xf>
    <xf numFmtId="0" fontId="40" fillId="31" borderId="93" xfId="0" applyFont="1" applyFill="1" applyBorder="1" applyAlignment="1">
      <alignment horizontal="left" vertical="center"/>
    </xf>
    <xf numFmtId="164" fontId="39" fillId="31" borderId="66" xfId="0" applyNumberFormat="1" applyFont="1" applyFill="1" applyBorder="1" applyAlignment="1">
      <alignment horizontal="center" vertical="center"/>
    </xf>
    <xf numFmtId="164" fontId="10" fillId="31" borderId="17" xfId="0" applyNumberFormat="1" applyFont="1" applyFill="1" applyBorder="1" applyAlignment="1">
      <alignment vertical="center"/>
    </xf>
    <xf numFmtId="164" fontId="10" fillId="31" borderId="18" xfId="0" applyNumberFormat="1" applyFont="1" applyFill="1" applyBorder="1" applyAlignment="1">
      <alignment vertical="center"/>
    </xf>
    <xf numFmtId="164" fontId="39" fillId="0" borderId="32" xfId="0" applyNumberFormat="1" applyFont="1" applyFill="1" applyBorder="1" applyAlignment="1">
      <alignment horizontal="center" vertical="center"/>
    </xf>
    <xf numFmtId="0" fontId="39" fillId="0" borderId="35" xfId="0" applyFont="1" applyBorder="1" applyAlignment="1">
      <alignment vertical="center"/>
    </xf>
    <xf numFmtId="164" fontId="40" fillId="0" borderId="4" xfId="0" applyNumberFormat="1" applyFont="1" applyBorder="1" applyAlignment="1">
      <alignment vertical="center"/>
    </xf>
    <xf numFmtId="164" fontId="40" fillId="0" borderId="5" xfId="0" applyNumberFormat="1" applyFont="1" applyBorder="1" applyAlignment="1">
      <alignment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10" fontId="42" fillId="0" borderId="27" xfId="0" applyNumberFormat="1" applyFont="1" applyBorder="1" applyAlignment="1">
      <alignment horizontal="center" vertical="center" wrapText="1"/>
    </xf>
    <xf numFmtId="10" fontId="42" fillId="0" borderId="28" xfId="0" applyNumberFormat="1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10" fontId="42" fillId="0" borderId="0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/>
    </xf>
    <xf numFmtId="0" fontId="40" fillId="0" borderId="0" xfId="0" applyFont="1" applyFill="1" applyBorder="1" applyAlignment="1">
      <alignment horizontal="right" vertical="center"/>
    </xf>
    <xf numFmtId="0" fontId="4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1" fillId="4" borderId="5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vertical="center"/>
    </xf>
    <xf numFmtId="0" fontId="41" fillId="0" borderId="8" xfId="0" applyFont="1" applyFill="1" applyBorder="1" applyAlignment="1">
      <alignment horizontal="right" vertical="center"/>
    </xf>
    <xf numFmtId="0" fontId="41" fillId="0" borderId="8" xfId="0" applyFont="1" applyFill="1" applyBorder="1" applyAlignment="1">
      <alignment horizontal="left" vertical="center" wrapText="1"/>
    </xf>
    <xf numFmtId="0" fontId="41" fillId="0" borderId="9" xfId="0" applyFont="1" applyFill="1" applyBorder="1" applyAlignment="1">
      <alignment horizontal="left" vertical="center" wrapText="1"/>
    </xf>
    <xf numFmtId="166" fontId="41" fillId="0" borderId="8" xfId="1" applyNumberFormat="1" applyFont="1" applyFill="1" applyBorder="1" applyAlignment="1">
      <alignment horizontal="right" vertical="center"/>
    </xf>
    <xf numFmtId="164" fontId="41" fillId="0" borderId="8" xfId="1" applyNumberFormat="1" applyFont="1" applyFill="1" applyBorder="1" applyAlignment="1">
      <alignment horizontal="right" vertical="center"/>
    </xf>
    <xf numFmtId="167" fontId="41" fillId="0" borderId="8" xfId="1" applyNumberFormat="1" applyFont="1" applyFill="1" applyBorder="1" applyAlignment="1">
      <alignment horizontal="right" vertical="center"/>
    </xf>
    <xf numFmtId="10" fontId="41" fillId="0" borderId="8" xfId="2" applyNumberFormat="1" applyFont="1" applyFill="1" applyBorder="1" applyAlignment="1">
      <alignment horizontal="right" vertical="center"/>
    </xf>
    <xf numFmtId="0" fontId="41" fillId="0" borderId="84" xfId="0" applyFont="1" applyFill="1" applyBorder="1" applyAlignment="1">
      <alignment vertical="center"/>
    </xf>
    <xf numFmtId="0" fontId="41" fillId="0" borderId="97" xfId="0" applyFont="1" applyFill="1" applyBorder="1" applyAlignment="1">
      <alignment vertical="center" wrapText="1"/>
    </xf>
    <xf numFmtId="0" fontId="41" fillId="0" borderId="8" xfId="0" applyFont="1" applyFill="1" applyBorder="1" applyAlignment="1">
      <alignment vertical="center" wrapText="1"/>
    </xf>
    <xf numFmtId="0" fontId="43" fillId="0" borderId="80" xfId="3" applyFont="1" applyFill="1" applyBorder="1" applyAlignment="1" applyProtection="1">
      <alignment horizontal="left" vertical="center" wrapText="1"/>
    </xf>
    <xf numFmtId="10" fontId="41" fillId="0" borderId="77" xfId="2" applyNumberFormat="1" applyFont="1" applyFill="1" applyBorder="1" applyAlignment="1">
      <alignment horizontal="right" vertical="center"/>
    </xf>
    <xf numFmtId="0" fontId="41" fillId="0" borderId="77" xfId="0" applyFont="1" applyFill="1" applyBorder="1" applyAlignment="1">
      <alignment horizontal="left" vertical="center" wrapText="1"/>
    </xf>
    <xf numFmtId="164" fontId="41" fillId="0" borderId="77" xfId="1" applyNumberFormat="1" applyFont="1" applyFill="1" applyBorder="1" applyAlignment="1">
      <alignment horizontal="right" vertical="center"/>
    </xf>
    <xf numFmtId="0" fontId="41" fillId="0" borderId="84" xfId="0" applyFont="1" applyFill="1" applyBorder="1" applyAlignment="1">
      <alignment vertical="center" wrapText="1"/>
    </xf>
    <xf numFmtId="0" fontId="41" fillId="0" borderId="80" xfId="0" applyFont="1" applyFill="1" applyBorder="1" applyAlignment="1">
      <alignment horizontal="left" vertical="center" wrapText="1"/>
    </xf>
    <xf numFmtId="2" fontId="41" fillId="0" borderId="77" xfId="2" applyNumberFormat="1" applyFont="1" applyFill="1" applyBorder="1" applyAlignment="1">
      <alignment horizontal="right" vertical="center"/>
    </xf>
    <xf numFmtId="164" fontId="41" fillId="0" borderId="64" xfId="1" applyNumberFormat="1" applyFont="1" applyFill="1" applyBorder="1" applyAlignment="1">
      <alignment horizontal="right" vertical="center"/>
    </xf>
    <xf numFmtId="0" fontId="41" fillId="0" borderId="64" xfId="0" applyFont="1" applyFill="1" applyBorder="1" applyAlignment="1">
      <alignment horizontal="left" vertical="center" wrapText="1"/>
    </xf>
    <xf numFmtId="164" fontId="41" fillId="0" borderId="8" xfId="0" applyNumberFormat="1" applyFont="1" applyFill="1" applyBorder="1" applyAlignment="1">
      <alignment horizontal="right" vertical="center"/>
    </xf>
    <xf numFmtId="0" fontId="41" fillId="0" borderId="62" xfId="0" applyFont="1" applyFill="1" applyBorder="1" applyAlignment="1">
      <alignment horizontal="left" vertical="center" wrapText="1"/>
    </xf>
    <xf numFmtId="164" fontId="41" fillId="0" borderId="77" xfId="1" applyFont="1" applyFill="1" applyBorder="1" applyAlignment="1">
      <alignment horizontal="right" vertical="center"/>
    </xf>
    <xf numFmtId="0" fontId="41" fillId="0" borderId="92" xfId="0" applyFont="1" applyFill="1" applyBorder="1" applyAlignment="1">
      <alignment horizontal="left" vertical="center" wrapText="1"/>
    </xf>
    <xf numFmtId="10" fontId="41" fillId="0" borderId="92" xfId="1" applyNumberFormat="1" applyFont="1" applyFill="1" applyBorder="1" applyAlignment="1">
      <alignment horizontal="right" vertical="center"/>
    </xf>
    <xf numFmtId="166" fontId="41" fillId="0" borderId="77" xfId="1" applyNumberFormat="1" applyFont="1" applyFill="1" applyBorder="1" applyAlignment="1">
      <alignment horizontal="right" vertical="center"/>
    </xf>
    <xf numFmtId="0" fontId="41" fillId="0" borderId="51" xfId="0" applyFont="1" applyFill="1" applyBorder="1" applyAlignment="1">
      <alignment horizontal="left" vertical="center"/>
    </xf>
    <xf numFmtId="0" fontId="43" fillId="0" borderId="76" xfId="3" applyFont="1" applyFill="1" applyBorder="1" applyAlignment="1" applyProtection="1">
      <alignment horizontal="left" vertical="center" wrapText="1"/>
    </xf>
    <xf numFmtId="172" fontId="41" fillId="0" borderId="77" xfId="1" applyNumberFormat="1" applyFont="1" applyFill="1" applyBorder="1" applyAlignment="1">
      <alignment horizontal="right" vertical="center"/>
    </xf>
    <xf numFmtId="167" fontId="41" fillId="0" borderId="77" xfId="1" applyNumberFormat="1" applyFont="1" applyFill="1" applyBorder="1" applyAlignment="1">
      <alignment horizontal="right" vertical="center"/>
    </xf>
    <xf numFmtId="0" fontId="41" fillId="0" borderId="7" xfId="0" applyFont="1" applyFill="1" applyBorder="1" applyAlignment="1">
      <alignment horizontal="left" vertical="center"/>
    </xf>
    <xf numFmtId="164" fontId="41" fillId="0" borderId="53" xfId="0" applyNumberFormat="1" applyFont="1" applyFill="1" applyBorder="1" applyAlignment="1">
      <alignment horizontal="center" vertical="center"/>
    </xf>
    <xf numFmtId="0" fontId="41" fillId="0" borderId="56" xfId="0" applyFont="1" applyFill="1" applyBorder="1" applyAlignment="1">
      <alignment horizontal="left" vertical="center" wrapText="1"/>
    </xf>
    <xf numFmtId="0" fontId="41" fillId="0" borderId="92" xfId="0" applyFont="1" applyFill="1" applyBorder="1" applyAlignment="1">
      <alignment vertical="center" wrapText="1"/>
    </xf>
    <xf numFmtId="164" fontId="41" fillId="0" borderId="64" xfId="0" applyNumberFormat="1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vertical="center" wrapText="1"/>
    </xf>
    <xf numFmtId="0" fontId="43" fillId="0" borderId="62" xfId="3" applyFont="1" applyFill="1" applyBorder="1" applyAlignment="1" applyProtection="1">
      <alignment horizontal="left" vertical="center" wrapText="1"/>
    </xf>
    <xf numFmtId="0" fontId="41" fillId="0" borderId="7" xfId="4" applyFont="1" applyFill="1" applyBorder="1" applyAlignment="1">
      <alignment vertical="center"/>
    </xf>
    <xf numFmtId="164" fontId="41" fillId="0" borderId="53" xfId="1" applyFont="1" applyFill="1" applyBorder="1" applyAlignment="1">
      <alignment horizontal="right" vertical="center"/>
    </xf>
    <xf numFmtId="0" fontId="41" fillId="0" borderId="53" xfId="0" applyFont="1" applyFill="1" applyBorder="1" applyAlignment="1">
      <alignment horizontal="left" vertical="center" wrapText="1"/>
    </xf>
    <xf numFmtId="0" fontId="43" fillId="0" borderId="80" xfId="3" applyFont="1" applyFill="1" applyBorder="1" applyAlignment="1" applyProtection="1">
      <alignment horizontal="left" wrapText="1"/>
    </xf>
    <xf numFmtId="0" fontId="41" fillId="0" borderId="51" xfId="0" applyFont="1" applyFill="1" applyBorder="1" applyAlignment="1">
      <alignment horizontal="left" vertical="center" wrapText="1"/>
    </xf>
    <xf numFmtId="10" fontId="41" fillId="0" borderId="8" xfId="0" applyNumberFormat="1" applyFont="1" applyFill="1" applyBorder="1" applyAlignment="1">
      <alignment horizontal="right" vertical="center"/>
    </xf>
    <xf numFmtId="0" fontId="41" fillId="0" borderId="10" xfId="0" applyFont="1" applyFill="1" applyBorder="1" applyAlignment="1">
      <alignment vertical="center"/>
    </xf>
    <xf numFmtId="10" fontId="41" fillId="0" borderId="11" xfId="2" applyNumberFormat="1" applyFont="1" applyFill="1" applyBorder="1" applyAlignment="1">
      <alignment horizontal="right" vertical="center"/>
    </xf>
    <xf numFmtId="0" fontId="41" fillId="0" borderId="11" xfId="0" applyFont="1" applyFill="1" applyBorder="1" applyAlignment="1">
      <alignment horizontal="left" vertical="center" wrapText="1"/>
    </xf>
    <xf numFmtId="0" fontId="41" fillId="0" borderId="12" xfId="0" applyFont="1" applyFill="1" applyBorder="1" applyAlignment="1">
      <alignment horizontal="left" vertical="center" wrapText="1"/>
    </xf>
    <xf numFmtId="10" fontId="3" fillId="0" borderId="8" xfId="0" applyNumberFormat="1" applyFont="1" applyFill="1" applyBorder="1"/>
    <xf numFmtId="168" fontId="41" fillId="0" borderId="77" xfId="1" applyNumberFormat="1" applyFont="1" applyFill="1" applyBorder="1" applyAlignment="1">
      <alignment horizontal="right" vertical="center"/>
    </xf>
    <xf numFmtId="0" fontId="8" fillId="0" borderId="80" xfId="3" applyFill="1" applyBorder="1" applyAlignment="1" applyProtection="1">
      <alignment horizontal="left" vertical="center" wrapText="1"/>
    </xf>
    <xf numFmtId="0" fontId="8" fillId="0" borderId="30" xfId="3" applyBorder="1" applyAlignment="1" applyProtection="1"/>
    <xf numFmtId="14" fontId="0" fillId="29" borderId="8" xfId="0" applyNumberFormat="1" applyFill="1" applyBorder="1" applyAlignment="1">
      <alignment horizontal="center" vertical="center"/>
    </xf>
    <xf numFmtId="167" fontId="0" fillId="0" borderId="62" xfId="0" applyNumberFormat="1" applyBorder="1" applyAlignment="1">
      <alignment horizontal="center"/>
    </xf>
    <xf numFmtId="167" fontId="0" fillId="0" borderId="76" xfId="0" applyNumberFormat="1" applyBorder="1" applyAlignment="1">
      <alignment horizontal="center"/>
    </xf>
    <xf numFmtId="167" fontId="0" fillId="0" borderId="82" xfId="0" applyNumberFormat="1" applyBorder="1" applyAlignment="1">
      <alignment horizontal="center"/>
    </xf>
    <xf numFmtId="43" fontId="0" fillId="0" borderId="0" xfId="0" applyNumberFormat="1" applyFont="1" applyAlignment="1">
      <alignment vertical="center"/>
    </xf>
    <xf numFmtId="0" fontId="39" fillId="0" borderId="30" xfId="0" applyFont="1" applyBorder="1" applyAlignment="1">
      <alignment horizontal="left" vertical="center"/>
    </xf>
    <xf numFmtId="164" fontId="40" fillId="0" borderId="50" xfId="0" applyNumberFormat="1" applyFont="1" applyBorder="1" applyAlignment="1">
      <alignment vertical="center"/>
    </xf>
    <xf numFmtId="164" fontId="39" fillId="0" borderId="98" xfId="0" applyNumberFormat="1" applyFont="1" applyFill="1" applyBorder="1" applyAlignment="1">
      <alignment horizontal="center" vertical="center"/>
    </xf>
    <xf numFmtId="0" fontId="39" fillId="0" borderId="8" xfId="0" applyFont="1" applyBorder="1" applyAlignment="1">
      <alignment horizontal="left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vertical="center"/>
    </xf>
    <xf numFmtId="0" fontId="8" fillId="0" borderId="9" xfId="3" applyFill="1" applyBorder="1" applyAlignment="1" applyProtection="1">
      <alignment horizontal="left" vertical="center" wrapText="1"/>
    </xf>
    <xf numFmtId="0" fontId="8" fillId="0" borderId="80" xfId="3" applyFill="1" applyBorder="1" applyAlignment="1" applyProtection="1">
      <alignment horizontal="left" wrapText="1"/>
    </xf>
    <xf numFmtId="0" fontId="3" fillId="0" borderId="8" xfId="0" applyFont="1" applyBorder="1" applyAlignment="1">
      <alignment horizontal="center" vertical="center"/>
    </xf>
    <xf numFmtId="0" fontId="8" fillId="0" borderId="99" xfId="3" applyFill="1" applyBorder="1" applyAlignment="1" applyProtection="1">
      <alignment vertical="center" wrapText="1"/>
    </xf>
    <xf numFmtId="14" fontId="0" fillId="0" borderId="8" xfId="0" applyNumberFormat="1" applyFont="1" applyBorder="1" applyAlignment="1">
      <alignment horizontal="center" vertical="center"/>
    </xf>
    <xf numFmtId="0" fontId="8" fillId="0" borderId="0" xfId="3" applyFill="1" applyAlignment="1" applyProtection="1">
      <alignment vertical="center"/>
    </xf>
    <xf numFmtId="0" fontId="10" fillId="0" borderId="80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vertical="top"/>
    </xf>
    <xf numFmtId="10" fontId="3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43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43" fillId="0" borderId="8" xfId="3" applyFont="1" applyFill="1" applyBorder="1" applyAlignment="1" applyProtection="1">
      <alignment horizontal="left" vertical="center" wrapText="1"/>
    </xf>
    <xf numFmtId="0" fontId="43" fillId="29" borderId="8" xfId="3" applyFont="1" applyFill="1" applyBorder="1" applyAlignment="1" applyProtection="1">
      <alignment horizontal="left" vertical="center" wrapText="1"/>
    </xf>
    <xf numFmtId="0" fontId="39" fillId="0" borderId="93" xfId="0" applyFont="1" applyBorder="1" applyAlignment="1">
      <alignment horizontal="center" vertical="center"/>
    </xf>
    <xf numFmtId="0" fontId="39" fillId="0" borderId="8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39" fillId="0" borderId="2" xfId="0" applyFont="1" applyBorder="1"/>
    <xf numFmtId="0" fontId="39" fillId="0" borderId="3" xfId="0" applyFont="1" applyBorder="1"/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165" fontId="10" fillId="0" borderId="78" xfId="0" applyNumberFormat="1" applyFont="1" applyFill="1" applyBorder="1" applyAlignment="1">
      <alignment horizontal="center" vertical="center"/>
    </xf>
    <xf numFmtId="0" fontId="10" fillId="0" borderId="73" xfId="0" applyFont="1" applyFill="1" applyBorder="1"/>
    <xf numFmtId="0" fontId="10" fillId="0" borderId="74" xfId="0" applyFont="1" applyFill="1" applyBorder="1"/>
    <xf numFmtId="1" fontId="39" fillId="0" borderId="11" xfId="0" applyNumberFormat="1" applyFont="1" applyBorder="1" applyAlignment="1">
      <alignment horizontal="center" vertical="center"/>
    </xf>
    <xf numFmtId="1" fontId="39" fillId="0" borderId="12" xfId="0" applyNumberFormat="1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174" fontId="41" fillId="0" borderId="1" xfId="0" applyNumberFormat="1" applyFont="1" applyFill="1" applyBorder="1" applyAlignment="1">
      <alignment horizontal="center" vertical="center"/>
    </xf>
    <xf numFmtId="174" fontId="41" fillId="0" borderId="2" xfId="0" applyNumberFormat="1" applyFont="1" applyFill="1" applyBorder="1" applyAlignment="1">
      <alignment horizontal="center" vertical="center"/>
    </xf>
    <xf numFmtId="174" fontId="41" fillId="0" borderId="3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41" fillId="4" borderId="7" xfId="0" applyFont="1" applyFill="1" applyBorder="1" applyAlignment="1">
      <alignment horizontal="center" vertical="center"/>
    </xf>
    <xf numFmtId="0" fontId="41" fillId="4" borderId="8" xfId="0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/>
    </xf>
    <xf numFmtId="0" fontId="41" fillId="4" borderId="4" xfId="0" applyFont="1" applyFill="1" applyBorder="1" applyAlignment="1">
      <alignment horizontal="center" vertical="center"/>
    </xf>
    <xf numFmtId="0" fontId="41" fillId="4" borderId="5" xfId="0" applyFont="1" applyFill="1" applyBorder="1" applyAlignment="1">
      <alignment horizontal="center" vertical="center"/>
    </xf>
    <xf numFmtId="0" fontId="41" fillId="4" borderId="68" xfId="0" applyFont="1" applyFill="1" applyBorder="1" applyAlignment="1">
      <alignment horizontal="center" vertical="center"/>
    </xf>
    <xf numFmtId="0" fontId="41" fillId="4" borderId="67" xfId="0" applyFont="1" applyFill="1" applyBorder="1" applyAlignment="1">
      <alignment horizontal="center" vertical="center"/>
    </xf>
    <xf numFmtId="0" fontId="41" fillId="4" borderId="64" xfId="0" applyFont="1" applyFill="1" applyBorder="1" applyAlignment="1">
      <alignment horizontal="center" vertical="center"/>
    </xf>
    <xf numFmtId="15" fontId="5" fillId="0" borderId="1" xfId="6" applyNumberFormat="1" applyFont="1" applyFill="1" applyBorder="1" applyAlignment="1">
      <alignment horizontal="center" vertical="center"/>
    </xf>
    <xf numFmtId="15" fontId="5" fillId="0" borderId="3" xfId="6" applyNumberFormat="1" applyFont="1" applyFill="1" applyBorder="1" applyAlignment="1">
      <alignment horizontal="center" vertical="center"/>
    </xf>
    <xf numFmtId="0" fontId="3" fillId="0" borderId="2" xfId="5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7" fontId="2" fillId="3" borderId="0" xfId="5" applyNumberFormat="1" applyFont="1" applyFill="1" applyBorder="1" applyAlignment="1">
      <alignment horizontal="center" vertical="center" wrapText="1"/>
    </xf>
    <xf numFmtId="167" fontId="2" fillId="3" borderId="32" xfId="5" applyNumberFormat="1" applyFont="1" applyFill="1" applyBorder="1" applyAlignment="1">
      <alignment horizontal="center" vertical="center" wrapText="1"/>
    </xf>
    <xf numFmtId="167" fontId="3" fillId="0" borderId="0" xfId="188" applyNumberFormat="1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10" fontId="31" fillId="0" borderId="10" xfId="2" applyNumberFormat="1" applyFont="1" applyBorder="1" applyAlignment="1">
      <alignment horizontal="center" vertical="center"/>
    </xf>
    <xf numFmtId="10" fontId="31" fillId="0" borderId="11" xfId="2" applyNumberFormat="1" applyFont="1" applyBorder="1" applyAlignment="1">
      <alignment horizontal="center" vertical="center"/>
    </xf>
    <xf numFmtId="10" fontId="31" fillId="0" borderId="12" xfId="2" applyNumberFormat="1" applyFont="1" applyBorder="1" applyAlignment="1">
      <alignment horizontal="center" vertical="center"/>
    </xf>
    <xf numFmtId="0" fontId="35" fillId="3" borderId="30" xfId="0" applyFont="1" applyFill="1" applyBorder="1" applyAlignment="1">
      <alignment horizontal="center" wrapText="1"/>
    </xf>
    <xf numFmtId="0" fontId="35" fillId="3" borderId="0" xfId="0" quotePrefix="1" applyFont="1" applyFill="1" applyBorder="1" applyAlignment="1">
      <alignment horizontal="center" wrapText="1"/>
    </xf>
    <xf numFmtId="0" fontId="3" fillId="30" borderId="13" xfId="0" quotePrefix="1" applyFont="1" applyFill="1" applyBorder="1" applyAlignment="1">
      <alignment horizontal="center" wrapText="1"/>
    </xf>
    <xf numFmtId="0" fontId="3" fillId="30" borderId="14" xfId="0" quotePrefix="1" applyFont="1" applyFill="1" applyBorder="1" applyAlignment="1">
      <alignment horizontal="center" wrapText="1"/>
    </xf>
    <xf numFmtId="0" fontId="3" fillId="30" borderId="15" xfId="0" quotePrefix="1" applyFont="1" applyFill="1" applyBorder="1" applyAlignment="1">
      <alignment horizontal="center" wrapText="1"/>
    </xf>
    <xf numFmtId="0" fontId="11" fillId="0" borderId="0" xfId="0" applyFont="1" applyFill="1" applyAlignment="1">
      <alignment horizontal="left" vertical="center" wrapText="1"/>
    </xf>
  </cellXfs>
  <cellStyles count="1243">
    <cellStyle name="=C:\WINNT\SYSTEM32\COMMAND.COM" xfId="8"/>
    <cellStyle name="20% - Accent1 2 2" xfId="9"/>
    <cellStyle name="20% - Accent1 2 2 2" xfId="430"/>
    <cellStyle name="20% - Accent1 2 3" xfId="10"/>
    <cellStyle name="20% - Accent1 2 3 2" xfId="431"/>
    <cellStyle name="20% - Accent1 3 2" xfId="11"/>
    <cellStyle name="20% - Accent1 3 2 2" xfId="432"/>
    <cellStyle name="20% - Accent1 3 3" xfId="12"/>
    <cellStyle name="20% - Accent1 3 3 2" xfId="433"/>
    <cellStyle name="20% - Accent2 2 2" xfId="13"/>
    <cellStyle name="20% - Accent2 2 2 2" xfId="434"/>
    <cellStyle name="20% - Accent2 2 3" xfId="14"/>
    <cellStyle name="20% - Accent2 2 3 2" xfId="435"/>
    <cellStyle name="20% - Accent2 3 2" xfId="15"/>
    <cellStyle name="20% - Accent2 3 2 2" xfId="436"/>
    <cellStyle name="20% - Accent2 3 3" xfId="16"/>
    <cellStyle name="20% - Accent2 3 3 2" xfId="437"/>
    <cellStyle name="20% - Accent3 2 2" xfId="17"/>
    <cellStyle name="20% - Accent3 2 2 2" xfId="438"/>
    <cellStyle name="20% - Accent3 2 3" xfId="18"/>
    <cellStyle name="20% - Accent3 2 3 2" xfId="439"/>
    <cellStyle name="20% - Accent3 3 2" xfId="19"/>
    <cellStyle name="20% - Accent3 3 2 2" xfId="440"/>
    <cellStyle name="20% - Accent3 3 3" xfId="20"/>
    <cellStyle name="20% - Accent3 3 3 2" xfId="441"/>
    <cellStyle name="20% - Accent4 2 2" xfId="21"/>
    <cellStyle name="20% - Accent4 2 2 2" xfId="442"/>
    <cellStyle name="20% - Accent4 2 3" xfId="22"/>
    <cellStyle name="20% - Accent4 2 3 2" xfId="443"/>
    <cellStyle name="20% - Accent4 3 2" xfId="23"/>
    <cellStyle name="20% - Accent4 3 2 2" xfId="444"/>
    <cellStyle name="20% - Accent4 3 3" xfId="24"/>
    <cellStyle name="20% - Accent4 3 3 2" xfId="445"/>
    <cellStyle name="20% - Accent5 2 2" xfId="25"/>
    <cellStyle name="20% - Accent5 2 2 2" xfId="446"/>
    <cellStyle name="20% - Accent5 2 3" xfId="26"/>
    <cellStyle name="20% - Accent5 2 3 2" xfId="447"/>
    <cellStyle name="20% - Accent5 3 2" xfId="27"/>
    <cellStyle name="20% - Accent5 3 2 2" xfId="448"/>
    <cellStyle name="20% - Accent5 3 3" xfId="28"/>
    <cellStyle name="20% - Accent5 3 3 2" xfId="449"/>
    <cellStyle name="20% - Accent6 2 2" xfId="29"/>
    <cellStyle name="20% - Accent6 2 2 2" xfId="450"/>
    <cellStyle name="20% - Accent6 2 3" xfId="30"/>
    <cellStyle name="20% - Accent6 2 3 2" xfId="451"/>
    <cellStyle name="20% - Accent6 3 2" xfId="31"/>
    <cellStyle name="20% - Accent6 3 2 2" xfId="452"/>
    <cellStyle name="20% - Accent6 3 3" xfId="32"/>
    <cellStyle name="20% - Accent6 3 3 2" xfId="453"/>
    <cellStyle name="40% - Accent1 2 2" xfId="33"/>
    <cellStyle name="40% - Accent1 2 2 2" xfId="454"/>
    <cellStyle name="40% - Accent1 2 3" xfId="34"/>
    <cellStyle name="40% - Accent1 2 3 2" xfId="455"/>
    <cellStyle name="40% - Accent1 3 2" xfId="35"/>
    <cellStyle name="40% - Accent1 3 2 2" xfId="456"/>
    <cellStyle name="40% - Accent1 3 3" xfId="36"/>
    <cellStyle name="40% - Accent1 3 3 2" xfId="457"/>
    <cellStyle name="40% - Accent2 2 2" xfId="37"/>
    <cellStyle name="40% - Accent2 2 2 2" xfId="458"/>
    <cellStyle name="40% - Accent2 2 3" xfId="38"/>
    <cellStyle name="40% - Accent2 2 3 2" xfId="459"/>
    <cellStyle name="40% - Accent2 3 2" xfId="39"/>
    <cellStyle name="40% - Accent2 3 2 2" xfId="460"/>
    <cellStyle name="40% - Accent2 3 3" xfId="40"/>
    <cellStyle name="40% - Accent2 3 3 2" xfId="461"/>
    <cellStyle name="40% - Accent3 2 2" xfId="41"/>
    <cellStyle name="40% - Accent3 2 2 2" xfId="462"/>
    <cellStyle name="40% - Accent3 2 3" xfId="42"/>
    <cellStyle name="40% - Accent3 2 3 2" xfId="463"/>
    <cellStyle name="40% - Accent3 3 2" xfId="43"/>
    <cellStyle name="40% - Accent3 3 2 2" xfId="464"/>
    <cellStyle name="40% - Accent3 3 3" xfId="44"/>
    <cellStyle name="40% - Accent3 3 3 2" xfId="465"/>
    <cellStyle name="40% - Accent4 2 2" xfId="45"/>
    <cellStyle name="40% - Accent4 2 2 2" xfId="466"/>
    <cellStyle name="40% - Accent4 2 3" xfId="46"/>
    <cellStyle name="40% - Accent4 2 3 2" xfId="467"/>
    <cellStyle name="40% - Accent4 3 2" xfId="47"/>
    <cellStyle name="40% - Accent4 3 2 2" xfId="468"/>
    <cellStyle name="40% - Accent4 3 3" xfId="48"/>
    <cellStyle name="40% - Accent4 3 3 2" xfId="469"/>
    <cellStyle name="40% - Accent5 2 2" xfId="49"/>
    <cellStyle name="40% - Accent5 2 2 2" xfId="470"/>
    <cellStyle name="40% - Accent5 2 3" xfId="50"/>
    <cellStyle name="40% - Accent5 2 3 2" xfId="471"/>
    <cellStyle name="40% - Accent5 3 2" xfId="51"/>
    <cellStyle name="40% - Accent5 3 2 2" xfId="472"/>
    <cellStyle name="40% - Accent5 3 3" xfId="52"/>
    <cellStyle name="40% - Accent5 3 3 2" xfId="473"/>
    <cellStyle name="40% - Accent6 2 2" xfId="53"/>
    <cellStyle name="40% - Accent6 2 2 2" xfId="474"/>
    <cellStyle name="40% - Accent6 2 3" xfId="54"/>
    <cellStyle name="40% - Accent6 2 3 2" xfId="475"/>
    <cellStyle name="40% - Accent6 3 2" xfId="55"/>
    <cellStyle name="40% - Accent6 3 2 2" xfId="476"/>
    <cellStyle name="40% - Accent6 3 3" xfId="56"/>
    <cellStyle name="40% - Accent6 3 3 2" xfId="477"/>
    <cellStyle name="60% - Accent1 2 2" xfId="57"/>
    <cellStyle name="60% - Accent1 2 3" xfId="58"/>
    <cellStyle name="60% - Accent1 3 2" xfId="59"/>
    <cellStyle name="60% - Accent1 3 3" xfId="60"/>
    <cellStyle name="60% - Accent2 2 2" xfId="61"/>
    <cellStyle name="60% - Accent2 2 3" xfId="62"/>
    <cellStyle name="60% - Accent2 3 2" xfId="63"/>
    <cellStyle name="60% - Accent2 3 3" xfId="64"/>
    <cellStyle name="60% - Accent3 2 2" xfId="65"/>
    <cellStyle name="60% - Accent3 2 3" xfId="66"/>
    <cellStyle name="60% - Accent3 3 2" xfId="67"/>
    <cellStyle name="60% - Accent3 3 3" xfId="68"/>
    <cellStyle name="60% - Accent4 2 2" xfId="69"/>
    <cellStyle name="60% - Accent4 2 3" xfId="70"/>
    <cellStyle name="60% - Accent4 3 2" xfId="71"/>
    <cellStyle name="60% - Accent4 3 3" xfId="72"/>
    <cellStyle name="60% - Accent5 2 2" xfId="73"/>
    <cellStyle name="60% - Accent5 2 3" xfId="74"/>
    <cellStyle name="60% - Accent5 3 2" xfId="75"/>
    <cellStyle name="60% - Accent5 3 3" xfId="76"/>
    <cellStyle name="60% - Accent6 2 2" xfId="77"/>
    <cellStyle name="60% - Accent6 2 3" xfId="78"/>
    <cellStyle name="60% - Accent6 3 2" xfId="79"/>
    <cellStyle name="60% - Accent6 3 3" xfId="80"/>
    <cellStyle name="Accent1 2 2" xfId="81"/>
    <cellStyle name="Accent1 2 3" xfId="82"/>
    <cellStyle name="Accent1 3 2" xfId="83"/>
    <cellStyle name="Accent1 3 3" xfId="84"/>
    <cellStyle name="Accent2 2 2" xfId="85"/>
    <cellStyle name="Accent2 2 3" xfId="86"/>
    <cellStyle name="Accent2 3 2" xfId="87"/>
    <cellStyle name="Accent2 3 3" xfId="88"/>
    <cellStyle name="Accent3 2 2" xfId="89"/>
    <cellStyle name="Accent3 2 3" xfId="90"/>
    <cellStyle name="Accent3 3 2" xfId="91"/>
    <cellStyle name="Accent3 3 3" xfId="92"/>
    <cellStyle name="Accent4 2 2" xfId="93"/>
    <cellStyle name="Accent4 2 3" xfId="94"/>
    <cellStyle name="Accent4 3 2" xfId="95"/>
    <cellStyle name="Accent4 3 3" xfId="96"/>
    <cellStyle name="Accent5 2 2" xfId="97"/>
    <cellStyle name="Accent5 2 3" xfId="98"/>
    <cellStyle name="Accent5 3 2" xfId="99"/>
    <cellStyle name="Accent5 3 3" xfId="100"/>
    <cellStyle name="Accent6 2 2" xfId="101"/>
    <cellStyle name="Accent6 2 3" xfId="102"/>
    <cellStyle name="Accent6 3 2" xfId="103"/>
    <cellStyle name="Accent6 3 3" xfId="104"/>
    <cellStyle name="Bad 2 2" xfId="105"/>
    <cellStyle name="Bad 2 3" xfId="106"/>
    <cellStyle name="Bad 3 2" xfId="107"/>
    <cellStyle name="Bad 3 3" xfId="108"/>
    <cellStyle name="Calculation 2 2" xfId="109"/>
    <cellStyle name="Calculation 2 2 10" xfId="478"/>
    <cellStyle name="Calculation 2 2 11" xfId="479"/>
    <cellStyle name="Calculation 2 2 12" xfId="480"/>
    <cellStyle name="Calculation 2 2 13" xfId="481"/>
    <cellStyle name="Calculation 2 2 14" xfId="482"/>
    <cellStyle name="Calculation 2 2 15" xfId="483"/>
    <cellStyle name="Calculation 2 2 16" xfId="484"/>
    <cellStyle name="Calculation 2 2 17" xfId="485"/>
    <cellStyle name="Calculation 2 2 18" xfId="486"/>
    <cellStyle name="Calculation 2 2 19" xfId="487"/>
    <cellStyle name="Calculation 2 2 2" xfId="189"/>
    <cellStyle name="Calculation 2 2 2 10" xfId="488"/>
    <cellStyle name="Calculation 2 2 2 11" xfId="489"/>
    <cellStyle name="Calculation 2 2 2 12" xfId="490"/>
    <cellStyle name="Calculation 2 2 2 13" xfId="491"/>
    <cellStyle name="Calculation 2 2 2 14" xfId="492"/>
    <cellStyle name="Calculation 2 2 2 15" xfId="493"/>
    <cellStyle name="Calculation 2 2 2 16" xfId="494"/>
    <cellStyle name="Calculation 2 2 2 17" xfId="495"/>
    <cellStyle name="Calculation 2 2 2 18" xfId="496"/>
    <cellStyle name="Calculation 2 2 2 19" xfId="497"/>
    <cellStyle name="Calculation 2 2 2 2" xfId="244"/>
    <cellStyle name="Calculation 2 2 2 2 2" xfId="1063"/>
    <cellStyle name="Calculation 2 2 2 20" xfId="1023"/>
    <cellStyle name="Calculation 2 2 2 3" xfId="269"/>
    <cellStyle name="Calculation 2 2 2 3 2" xfId="1083"/>
    <cellStyle name="Calculation 2 2 2 4" xfId="270"/>
    <cellStyle name="Calculation 2 2 2 4 2" xfId="1084"/>
    <cellStyle name="Calculation 2 2 2 5" xfId="271"/>
    <cellStyle name="Calculation 2 2 2 5 2" xfId="1085"/>
    <cellStyle name="Calculation 2 2 2 6" xfId="272"/>
    <cellStyle name="Calculation 2 2 2 6 2" xfId="1086"/>
    <cellStyle name="Calculation 2 2 2 7" xfId="498"/>
    <cellStyle name="Calculation 2 2 2 8" xfId="499"/>
    <cellStyle name="Calculation 2 2 2 9" xfId="500"/>
    <cellStyle name="Calculation 2 2 20" xfId="501"/>
    <cellStyle name="Calculation 2 2 21" xfId="1003"/>
    <cellStyle name="Calculation 2 2 3" xfId="221"/>
    <cellStyle name="Calculation 2 2 3 2" xfId="1043"/>
    <cellStyle name="Calculation 2 2 4" xfId="273"/>
    <cellStyle name="Calculation 2 2 4 2" xfId="1087"/>
    <cellStyle name="Calculation 2 2 5" xfId="274"/>
    <cellStyle name="Calculation 2 2 5 2" xfId="1088"/>
    <cellStyle name="Calculation 2 2 6" xfId="275"/>
    <cellStyle name="Calculation 2 2 6 2" xfId="1089"/>
    <cellStyle name="Calculation 2 2 7" xfId="276"/>
    <cellStyle name="Calculation 2 2 7 2" xfId="1090"/>
    <cellStyle name="Calculation 2 2 8" xfId="502"/>
    <cellStyle name="Calculation 2 2 9" xfId="503"/>
    <cellStyle name="Calculation 2 3" xfId="110"/>
    <cellStyle name="Calculation 2 3 10" xfId="504"/>
    <cellStyle name="Calculation 2 3 11" xfId="505"/>
    <cellStyle name="Calculation 2 3 12" xfId="506"/>
    <cellStyle name="Calculation 2 3 13" xfId="507"/>
    <cellStyle name="Calculation 2 3 14" xfId="508"/>
    <cellStyle name="Calculation 2 3 15" xfId="509"/>
    <cellStyle name="Calculation 2 3 16" xfId="510"/>
    <cellStyle name="Calculation 2 3 17" xfId="511"/>
    <cellStyle name="Calculation 2 3 18" xfId="512"/>
    <cellStyle name="Calculation 2 3 19" xfId="513"/>
    <cellStyle name="Calculation 2 3 2" xfId="190"/>
    <cellStyle name="Calculation 2 3 2 10" xfId="514"/>
    <cellStyle name="Calculation 2 3 2 11" xfId="515"/>
    <cellStyle name="Calculation 2 3 2 12" xfId="516"/>
    <cellStyle name="Calculation 2 3 2 13" xfId="517"/>
    <cellStyle name="Calculation 2 3 2 14" xfId="518"/>
    <cellStyle name="Calculation 2 3 2 15" xfId="519"/>
    <cellStyle name="Calculation 2 3 2 16" xfId="520"/>
    <cellStyle name="Calculation 2 3 2 17" xfId="521"/>
    <cellStyle name="Calculation 2 3 2 18" xfId="522"/>
    <cellStyle name="Calculation 2 3 2 19" xfId="523"/>
    <cellStyle name="Calculation 2 3 2 2" xfId="245"/>
    <cellStyle name="Calculation 2 3 2 2 2" xfId="1064"/>
    <cellStyle name="Calculation 2 3 2 20" xfId="1024"/>
    <cellStyle name="Calculation 2 3 2 3" xfId="277"/>
    <cellStyle name="Calculation 2 3 2 3 2" xfId="1091"/>
    <cellStyle name="Calculation 2 3 2 4" xfId="278"/>
    <cellStyle name="Calculation 2 3 2 4 2" xfId="1092"/>
    <cellStyle name="Calculation 2 3 2 5" xfId="279"/>
    <cellStyle name="Calculation 2 3 2 5 2" xfId="1093"/>
    <cellStyle name="Calculation 2 3 2 6" xfId="280"/>
    <cellStyle name="Calculation 2 3 2 6 2" xfId="1094"/>
    <cellStyle name="Calculation 2 3 2 7" xfId="524"/>
    <cellStyle name="Calculation 2 3 2 8" xfId="525"/>
    <cellStyle name="Calculation 2 3 2 9" xfId="526"/>
    <cellStyle name="Calculation 2 3 20" xfId="527"/>
    <cellStyle name="Calculation 2 3 21" xfId="1004"/>
    <cellStyle name="Calculation 2 3 3" xfId="222"/>
    <cellStyle name="Calculation 2 3 3 2" xfId="1044"/>
    <cellStyle name="Calculation 2 3 4" xfId="281"/>
    <cellStyle name="Calculation 2 3 4 2" xfId="1095"/>
    <cellStyle name="Calculation 2 3 5" xfId="282"/>
    <cellStyle name="Calculation 2 3 5 2" xfId="1096"/>
    <cellStyle name="Calculation 2 3 6" xfId="283"/>
    <cellStyle name="Calculation 2 3 6 2" xfId="1097"/>
    <cellStyle name="Calculation 2 3 7" xfId="284"/>
    <cellStyle name="Calculation 2 3 7 2" xfId="1098"/>
    <cellStyle name="Calculation 2 3 8" xfId="528"/>
    <cellStyle name="Calculation 2 3 9" xfId="529"/>
    <cellStyle name="Calculation 3 2" xfId="111"/>
    <cellStyle name="Calculation 3 2 10" xfId="530"/>
    <cellStyle name="Calculation 3 2 11" xfId="531"/>
    <cellStyle name="Calculation 3 2 12" xfId="532"/>
    <cellStyle name="Calculation 3 2 13" xfId="533"/>
    <cellStyle name="Calculation 3 2 14" xfId="534"/>
    <cellStyle name="Calculation 3 2 15" xfId="535"/>
    <cellStyle name="Calculation 3 2 16" xfId="536"/>
    <cellStyle name="Calculation 3 2 17" xfId="537"/>
    <cellStyle name="Calculation 3 2 18" xfId="538"/>
    <cellStyle name="Calculation 3 2 19" xfId="539"/>
    <cellStyle name="Calculation 3 2 2" xfId="191"/>
    <cellStyle name="Calculation 3 2 2 10" xfId="540"/>
    <cellStyle name="Calculation 3 2 2 11" xfId="541"/>
    <cellStyle name="Calculation 3 2 2 12" xfId="542"/>
    <cellStyle name="Calculation 3 2 2 13" xfId="543"/>
    <cellStyle name="Calculation 3 2 2 14" xfId="544"/>
    <cellStyle name="Calculation 3 2 2 15" xfId="545"/>
    <cellStyle name="Calculation 3 2 2 16" xfId="546"/>
    <cellStyle name="Calculation 3 2 2 17" xfId="547"/>
    <cellStyle name="Calculation 3 2 2 18" xfId="548"/>
    <cellStyle name="Calculation 3 2 2 19" xfId="549"/>
    <cellStyle name="Calculation 3 2 2 2" xfId="246"/>
    <cellStyle name="Calculation 3 2 2 2 2" xfId="1065"/>
    <cellStyle name="Calculation 3 2 2 20" xfId="1025"/>
    <cellStyle name="Calculation 3 2 2 3" xfId="285"/>
    <cellStyle name="Calculation 3 2 2 3 2" xfId="1099"/>
    <cellStyle name="Calculation 3 2 2 4" xfId="286"/>
    <cellStyle name="Calculation 3 2 2 4 2" xfId="1100"/>
    <cellStyle name="Calculation 3 2 2 5" xfId="287"/>
    <cellStyle name="Calculation 3 2 2 5 2" xfId="1101"/>
    <cellStyle name="Calculation 3 2 2 6" xfId="288"/>
    <cellStyle name="Calculation 3 2 2 6 2" xfId="1102"/>
    <cellStyle name="Calculation 3 2 2 7" xfId="550"/>
    <cellStyle name="Calculation 3 2 2 8" xfId="551"/>
    <cellStyle name="Calculation 3 2 2 9" xfId="552"/>
    <cellStyle name="Calculation 3 2 20" xfId="553"/>
    <cellStyle name="Calculation 3 2 21" xfId="1005"/>
    <cellStyle name="Calculation 3 2 3" xfId="223"/>
    <cellStyle name="Calculation 3 2 3 2" xfId="1045"/>
    <cellStyle name="Calculation 3 2 4" xfId="289"/>
    <cellStyle name="Calculation 3 2 4 2" xfId="1103"/>
    <cellStyle name="Calculation 3 2 5" xfId="290"/>
    <cellStyle name="Calculation 3 2 5 2" xfId="1104"/>
    <cellStyle name="Calculation 3 2 6" xfId="291"/>
    <cellStyle name="Calculation 3 2 6 2" xfId="1105"/>
    <cellStyle name="Calculation 3 2 7" xfId="292"/>
    <cellStyle name="Calculation 3 2 7 2" xfId="1106"/>
    <cellStyle name="Calculation 3 2 8" xfId="554"/>
    <cellStyle name="Calculation 3 2 9" xfId="555"/>
    <cellStyle name="Calculation 3 3" xfId="112"/>
    <cellStyle name="Calculation 3 3 10" xfId="556"/>
    <cellStyle name="Calculation 3 3 11" xfId="557"/>
    <cellStyle name="Calculation 3 3 12" xfId="558"/>
    <cellStyle name="Calculation 3 3 13" xfId="559"/>
    <cellStyle name="Calculation 3 3 14" xfId="560"/>
    <cellStyle name="Calculation 3 3 15" xfId="561"/>
    <cellStyle name="Calculation 3 3 16" xfId="562"/>
    <cellStyle name="Calculation 3 3 17" xfId="563"/>
    <cellStyle name="Calculation 3 3 18" xfId="564"/>
    <cellStyle name="Calculation 3 3 19" xfId="565"/>
    <cellStyle name="Calculation 3 3 2" xfId="192"/>
    <cellStyle name="Calculation 3 3 2 10" xfId="566"/>
    <cellStyle name="Calculation 3 3 2 11" xfId="567"/>
    <cellStyle name="Calculation 3 3 2 12" xfId="568"/>
    <cellStyle name="Calculation 3 3 2 13" xfId="569"/>
    <cellStyle name="Calculation 3 3 2 14" xfId="570"/>
    <cellStyle name="Calculation 3 3 2 15" xfId="571"/>
    <cellStyle name="Calculation 3 3 2 16" xfId="572"/>
    <cellStyle name="Calculation 3 3 2 17" xfId="573"/>
    <cellStyle name="Calculation 3 3 2 18" xfId="574"/>
    <cellStyle name="Calculation 3 3 2 19" xfId="575"/>
    <cellStyle name="Calculation 3 3 2 2" xfId="247"/>
    <cellStyle name="Calculation 3 3 2 2 2" xfId="1066"/>
    <cellStyle name="Calculation 3 3 2 20" xfId="1026"/>
    <cellStyle name="Calculation 3 3 2 3" xfId="293"/>
    <cellStyle name="Calculation 3 3 2 3 2" xfId="1107"/>
    <cellStyle name="Calculation 3 3 2 4" xfId="294"/>
    <cellStyle name="Calculation 3 3 2 4 2" xfId="1108"/>
    <cellStyle name="Calculation 3 3 2 5" xfId="295"/>
    <cellStyle name="Calculation 3 3 2 5 2" xfId="1109"/>
    <cellStyle name="Calculation 3 3 2 6" xfId="296"/>
    <cellStyle name="Calculation 3 3 2 6 2" xfId="1110"/>
    <cellStyle name="Calculation 3 3 2 7" xfId="576"/>
    <cellStyle name="Calculation 3 3 2 8" xfId="577"/>
    <cellStyle name="Calculation 3 3 2 9" xfId="578"/>
    <cellStyle name="Calculation 3 3 20" xfId="579"/>
    <cellStyle name="Calculation 3 3 21" xfId="1006"/>
    <cellStyle name="Calculation 3 3 3" xfId="224"/>
    <cellStyle name="Calculation 3 3 3 2" xfId="1046"/>
    <cellStyle name="Calculation 3 3 4" xfId="297"/>
    <cellStyle name="Calculation 3 3 4 2" xfId="1111"/>
    <cellStyle name="Calculation 3 3 5" xfId="298"/>
    <cellStyle name="Calculation 3 3 5 2" xfId="1112"/>
    <cellStyle name="Calculation 3 3 6" xfId="299"/>
    <cellStyle name="Calculation 3 3 6 2" xfId="1113"/>
    <cellStyle name="Calculation 3 3 7" xfId="300"/>
    <cellStyle name="Calculation 3 3 7 2" xfId="1114"/>
    <cellStyle name="Calculation 3 3 8" xfId="580"/>
    <cellStyle name="Calculation 3 3 9" xfId="581"/>
    <cellStyle name="Check Cell 2 2" xfId="113"/>
    <cellStyle name="Check Cell 2 3" xfId="114"/>
    <cellStyle name="Check Cell 3 2" xfId="115"/>
    <cellStyle name="Check Cell 3 3" xfId="116"/>
    <cellStyle name="Comma" xfId="1" builtinId="3"/>
    <cellStyle name="Comma 2" xfId="117"/>
    <cellStyle name="Comma 2 2" xfId="118"/>
    <cellStyle name="Comma 2 3" xfId="119"/>
    <cellStyle name="Comma 3" xfId="210"/>
    <cellStyle name="Comma 3 2" xfId="242"/>
    <cellStyle name="Comma 3 3" xfId="266"/>
    <cellStyle name="Comma 4" xfId="212"/>
    <cellStyle name="Comma 5" xfId="213"/>
    <cellStyle name="Comma 5 2" xfId="582"/>
    <cellStyle name="Comma 6" xfId="214"/>
    <cellStyle name="Comma 6 2" xfId="583"/>
    <cellStyle name="Euro" xfId="584"/>
    <cellStyle name="Explanatory Text 2 2" xfId="120"/>
    <cellStyle name="Explanatory Text 2 3" xfId="121"/>
    <cellStyle name="Explanatory Text 3 2" xfId="122"/>
    <cellStyle name="Explanatory Text 3 3" xfId="123"/>
    <cellStyle name="Good 2 2" xfId="124"/>
    <cellStyle name="Good 2 3" xfId="125"/>
    <cellStyle name="Good 3 2" xfId="126"/>
    <cellStyle name="Good 3 3" xfId="127"/>
    <cellStyle name="Heading 1 2 2" xfId="128"/>
    <cellStyle name="Heading 1 2 3" xfId="129"/>
    <cellStyle name="Heading 1 3 2" xfId="130"/>
    <cellStyle name="Heading 1 3 3" xfId="131"/>
    <cellStyle name="Heading 2 2 2" xfId="132"/>
    <cellStyle name="Heading 2 2 3" xfId="133"/>
    <cellStyle name="Heading 2 3 2" xfId="134"/>
    <cellStyle name="Heading 2 3 3" xfId="135"/>
    <cellStyle name="Heading 3 2 2" xfId="136"/>
    <cellStyle name="Heading 3 2 3" xfId="137"/>
    <cellStyle name="Heading 3 3 2" xfId="138"/>
    <cellStyle name="Heading 3 3 3" xfId="139"/>
    <cellStyle name="Heading 4 2 2" xfId="140"/>
    <cellStyle name="Heading 4 2 3" xfId="141"/>
    <cellStyle name="Heading 4 3 2" xfId="142"/>
    <cellStyle name="Heading 4 3 3" xfId="143"/>
    <cellStyle name="Hyperlink" xfId="3" builtinId="8"/>
    <cellStyle name="Hyperlink 2" xfId="144"/>
    <cellStyle name="Hyperlink 3" xfId="145"/>
    <cellStyle name="Hyperlink 4" xfId="146"/>
    <cellStyle name="Hyperlink 5" xfId="147"/>
    <cellStyle name="Hyperlink 6" xfId="211"/>
    <cellStyle name="Hyperlink 6 2" xfId="243"/>
    <cellStyle name="Hyperlink 6 2 2" xfId="265"/>
    <cellStyle name="Hyperlink 6 3" xfId="429"/>
    <cellStyle name="Hyperlink 7" xfId="219"/>
    <cellStyle name="Input 2 2" xfId="148"/>
    <cellStyle name="Input 2 2 10" xfId="585"/>
    <cellStyle name="Input 2 2 11" xfId="586"/>
    <cellStyle name="Input 2 2 12" xfId="587"/>
    <cellStyle name="Input 2 2 13" xfId="588"/>
    <cellStyle name="Input 2 2 14" xfId="589"/>
    <cellStyle name="Input 2 2 15" xfId="590"/>
    <cellStyle name="Input 2 2 16" xfId="591"/>
    <cellStyle name="Input 2 2 17" xfId="592"/>
    <cellStyle name="Input 2 2 18" xfId="593"/>
    <cellStyle name="Input 2 2 19" xfId="594"/>
    <cellStyle name="Input 2 2 2" xfId="193"/>
    <cellStyle name="Input 2 2 2 10" xfId="595"/>
    <cellStyle name="Input 2 2 2 11" xfId="596"/>
    <cellStyle name="Input 2 2 2 12" xfId="597"/>
    <cellStyle name="Input 2 2 2 13" xfId="598"/>
    <cellStyle name="Input 2 2 2 14" xfId="599"/>
    <cellStyle name="Input 2 2 2 15" xfId="600"/>
    <cellStyle name="Input 2 2 2 16" xfId="601"/>
    <cellStyle name="Input 2 2 2 17" xfId="602"/>
    <cellStyle name="Input 2 2 2 18" xfId="603"/>
    <cellStyle name="Input 2 2 2 19" xfId="604"/>
    <cellStyle name="Input 2 2 2 2" xfId="248"/>
    <cellStyle name="Input 2 2 2 2 2" xfId="1067"/>
    <cellStyle name="Input 2 2 2 20" xfId="1027"/>
    <cellStyle name="Input 2 2 2 3" xfId="301"/>
    <cellStyle name="Input 2 2 2 3 2" xfId="1115"/>
    <cellStyle name="Input 2 2 2 4" xfId="302"/>
    <cellStyle name="Input 2 2 2 4 2" xfId="1116"/>
    <cellStyle name="Input 2 2 2 5" xfId="303"/>
    <cellStyle name="Input 2 2 2 5 2" xfId="1117"/>
    <cellStyle name="Input 2 2 2 6" xfId="304"/>
    <cellStyle name="Input 2 2 2 6 2" xfId="1118"/>
    <cellStyle name="Input 2 2 2 7" xfId="605"/>
    <cellStyle name="Input 2 2 2 8" xfId="606"/>
    <cellStyle name="Input 2 2 2 9" xfId="607"/>
    <cellStyle name="Input 2 2 20" xfId="608"/>
    <cellStyle name="Input 2 2 21" xfId="1007"/>
    <cellStyle name="Input 2 2 3" xfId="225"/>
    <cellStyle name="Input 2 2 3 2" xfId="1047"/>
    <cellStyle name="Input 2 2 4" xfId="305"/>
    <cellStyle name="Input 2 2 4 2" xfId="1119"/>
    <cellStyle name="Input 2 2 5" xfId="306"/>
    <cellStyle name="Input 2 2 5 2" xfId="1120"/>
    <cellStyle name="Input 2 2 6" xfId="307"/>
    <cellStyle name="Input 2 2 6 2" xfId="1121"/>
    <cellStyle name="Input 2 2 7" xfId="308"/>
    <cellStyle name="Input 2 2 7 2" xfId="1122"/>
    <cellStyle name="Input 2 2 8" xfId="609"/>
    <cellStyle name="Input 2 2 9" xfId="610"/>
    <cellStyle name="Input 2 3" xfId="149"/>
    <cellStyle name="Input 2 3 10" xfId="611"/>
    <cellStyle name="Input 2 3 11" xfId="612"/>
    <cellStyle name="Input 2 3 12" xfId="613"/>
    <cellStyle name="Input 2 3 13" xfId="614"/>
    <cellStyle name="Input 2 3 14" xfId="615"/>
    <cellStyle name="Input 2 3 15" xfId="616"/>
    <cellStyle name="Input 2 3 16" xfId="617"/>
    <cellStyle name="Input 2 3 17" xfId="618"/>
    <cellStyle name="Input 2 3 18" xfId="619"/>
    <cellStyle name="Input 2 3 19" xfId="620"/>
    <cellStyle name="Input 2 3 2" xfId="194"/>
    <cellStyle name="Input 2 3 2 10" xfId="621"/>
    <cellStyle name="Input 2 3 2 11" xfId="622"/>
    <cellStyle name="Input 2 3 2 12" xfId="623"/>
    <cellStyle name="Input 2 3 2 13" xfId="624"/>
    <cellStyle name="Input 2 3 2 14" xfId="625"/>
    <cellStyle name="Input 2 3 2 15" xfId="626"/>
    <cellStyle name="Input 2 3 2 16" xfId="627"/>
    <cellStyle name="Input 2 3 2 17" xfId="628"/>
    <cellStyle name="Input 2 3 2 18" xfId="629"/>
    <cellStyle name="Input 2 3 2 19" xfId="630"/>
    <cellStyle name="Input 2 3 2 2" xfId="249"/>
    <cellStyle name="Input 2 3 2 2 2" xfId="1068"/>
    <cellStyle name="Input 2 3 2 20" xfId="1028"/>
    <cellStyle name="Input 2 3 2 3" xfId="309"/>
    <cellStyle name="Input 2 3 2 3 2" xfId="1123"/>
    <cellStyle name="Input 2 3 2 4" xfId="310"/>
    <cellStyle name="Input 2 3 2 4 2" xfId="1124"/>
    <cellStyle name="Input 2 3 2 5" xfId="311"/>
    <cellStyle name="Input 2 3 2 5 2" xfId="1125"/>
    <cellStyle name="Input 2 3 2 6" xfId="312"/>
    <cellStyle name="Input 2 3 2 6 2" xfId="1126"/>
    <cellStyle name="Input 2 3 2 7" xfId="631"/>
    <cellStyle name="Input 2 3 2 8" xfId="632"/>
    <cellStyle name="Input 2 3 2 9" xfId="633"/>
    <cellStyle name="Input 2 3 20" xfId="634"/>
    <cellStyle name="Input 2 3 21" xfId="1008"/>
    <cellStyle name="Input 2 3 3" xfId="226"/>
    <cellStyle name="Input 2 3 3 2" xfId="1048"/>
    <cellStyle name="Input 2 3 4" xfId="313"/>
    <cellStyle name="Input 2 3 4 2" xfId="1127"/>
    <cellStyle name="Input 2 3 5" xfId="314"/>
    <cellStyle name="Input 2 3 5 2" xfId="1128"/>
    <cellStyle name="Input 2 3 6" xfId="315"/>
    <cellStyle name="Input 2 3 6 2" xfId="1129"/>
    <cellStyle name="Input 2 3 7" xfId="316"/>
    <cellStyle name="Input 2 3 7 2" xfId="1130"/>
    <cellStyle name="Input 2 3 8" xfId="635"/>
    <cellStyle name="Input 2 3 9" xfId="636"/>
    <cellStyle name="Input 3 2" xfId="150"/>
    <cellStyle name="Input 3 2 10" xfId="637"/>
    <cellStyle name="Input 3 2 11" xfId="638"/>
    <cellStyle name="Input 3 2 12" xfId="639"/>
    <cellStyle name="Input 3 2 13" xfId="640"/>
    <cellStyle name="Input 3 2 14" xfId="641"/>
    <cellStyle name="Input 3 2 15" xfId="642"/>
    <cellStyle name="Input 3 2 16" xfId="643"/>
    <cellStyle name="Input 3 2 17" xfId="644"/>
    <cellStyle name="Input 3 2 18" xfId="645"/>
    <cellStyle name="Input 3 2 19" xfId="646"/>
    <cellStyle name="Input 3 2 2" xfId="195"/>
    <cellStyle name="Input 3 2 2 10" xfId="647"/>
    <cellStyle name="Input 3 2 2 11" xfId="648"/>
    <cellStyle name="Input 3 2 2 12" xfId="649"/>
    <cellStyle name="Input 3 2 2 13" xfId="650"/>
    <cellStyle name="Input 3 2 2 14" xfId="651"/>
    <cellStyle name="Input 3 2 2 15" xfId="652"/>
    <cellStyle name="Input 3 2 2 16" xfId="653"/>
    <cellStyle name="Input 3 2 2 17" xfId="654"/>
    <cellStyle name="Input 3 2 2 18" xfId="655"/>
    <cellStyle name="Input 3 2 2 19" xfId="656"/>
    <cellStyle name="Input 3 2 2 2" xfId="250"/>
    <cellStyle name="Input 3 2 2 2 2" xfId="1069"/>
    <cellStyle name="Input 3 2 2 20" xfId="1029"/>
    <cellStyle name="Input 3 2 2 3" xfId="317"/>
    <cellStyle name="Input 3 2 2 3 2" xfId="1131"/>
    <cellStyle name="Input 3 2 2 4" xfId="318"/>
    <cellStyle name="Input 3 2 2 4 2" xfId="1132"/>
    <cellStyle name="Input 3 2 2 5" xfId="319"/>
    <cellStyle name="Input 3 2 2 5 2" xfId="1133"/>
    <cellStyle name="Input 3 2 2 6" xfId="320"/>
    <cellStyle name="Input 3 2 2 6 2" xfId="1134"/>
    <cellStyle name="Input 3 2 2 7" xfId="657"/>
    <cellStyle name="Input 3 2 2 8" xfId="658"/>
    <cellStyle name="Input 3 2 2 9" xfId="659"/>
    <cellStyle name="Input 3 2 20" xfId="660"/>
    <cellStyle name="Input 3 2 21" xfId="1009"/>
    <cellStyle name="Input 3 2 3" xfId="227"/>
    <cellStyle name="Input 3 2 3 2" xfId="1049"/>
    <cellStyle name="Input 3 2 4" xfId="321"/>
    <cellStyle name="Input 3 2 4 2" xfId="1135"/>
    <cellStyle name="Input 3 2 5" xfId="322"/>
    <cellStyle name="Input 3 2 5 2" xfId="1136"/>
    <cellStyle name="Input 3 2 6" xfId="323"/>
    <cellStyle name="Input 3 2 6 2" xfId="1137"/>
    <cellStyle name="Input 3 2 7" xfId="324"/>
    <cellStyle name="Input 3 2 7 2" xfId="1138"/>
    <cellStyle name="Input 3 2 8" xfId="661"/>
    <cellStyle name="Input 3 2 9" xfId="662"/>
    <cellStyle name="Input 3 3" xfId="151"/>
    <cellStyle name="Input 3 3 10" xfId="663"/>
    <cellStyle name="Input 3 3 11" xfId="664"/>
    <cellStyle name="Input 3 3 12" xfId="665"/>
    <cellStyle name="Input 3 3 13" xfId="666"/>
    <cellStyle name="Input 3 3 14" xfId="667"/>
    <cellStyle name="Input 3 3 15" xfId="668"/>
    <cellStyle name="Input 3 3 16" xfId="669"/>
    <cellStyle name="Input 3 3 17" xfId="670"/>
    <cellStyle name="Input 3 3 18" xfId="671"/>
    <cellStyle name="Input 3 3 19" xfId="672"/>
    <cellStyle name="Input 3 3 2" xfId="196"/>
    <cellStyle name="Input 3 3 2 10" xfId="673"/>
    <cellStyle name="Input 3 3 2 11" xfId="674"/>
    <cellStyle name="Input 3 3 2 12" xfId="675"/>
    <cellStyle name="Input 3 3 2 13" xfId="676"/>
    <cellStyle name="Input 3 3 2 14" xfId="677"/>
    <cellStyle name="Input 3 3 2 15" xfId="678"/>
    <cellStyle name="Input 3 3 2 16" xfId="679"/>
    <cellStyle name="Input 3 3 2 17" xfId="680"/>
    <cellStyle name="Input 3 3 2 18" xfId="681"/>
    <cellStyle name="Input 3 3 2 19" xfId="682"/>
    <cellStyle name="Input 3 3 2 2" xfId="251"/>
    <cellStyle name="Input 3 3 2 2 2" xfId="1070"/>
    <cellStyle name="Input 3 3 2 20" xfId="1030"/>
    <cellStyle name="Input 3 3 2 3" xfId="325"/>
    <cellStyle name="Input 3 3 2 3 2" xfId="1139"/>
    <cellStyle name="Input 3 3 2 4" xfId="326"/>
    <cellStyle name="Input 3 3 2 4 2" xfId="1140"/>
    <cellStyle name="Input 3 3 2 5" xfId="327"/>
    <cellStyle name="Input 3 3 2 5 2" xfId="1141"/>
    <cellStyle name="Input 3 3 2 6" xfId="328"/>
    <cellStyle name="Input 3 3 2 6 2" xfId="1142"/>
    <cellStyle name="Input 3 3 2 7" xfId="683"/>
    <cellStyle name="Input 3 3 2 8" xfId="684"/>
    <cellStyle name="Input 3 3 2 9" xfId="685"/>
    <cellStyle name="Input 3 3 20" xfId="686"/>
    <cellStyle name="Input 3 3 21" xfId="1010"/>
    <cellStyle name="Input 3 3 3" xfId="228"/>
    <cellStyle name="Input 3 3 3 2" xfId="1050"/>
    <cellStyle name="Input 3 3 4" xfId="329"/>
    <cellStyle name="Input 3 3 4 2" xfId="1143"/>
    <cellStyle name="Input 3 3 5" xfId="330"/>
    <cellStyle name="Input 3 3 5 2" xfId="1144"/>
    <cellStyle name="Input 3 3 6" xfId="331"/>
    <cellStyle name="Input 3 3 6 2" xfId="1145"/>
    <cellStyle name="Input 3 3 7" xfId="332"/>
    <cellStyle name="Input 3 3 7 2" xfId="1146"/>
    <cellStyle name="Input 3 3 8" xfId="687"/>
    <cellStyle name="Input 3 3 9" xfId="688"/>
    <cellStyle name="Linked Cell 2 2" xfId="152"/>
    <cellStyle name="Linked Cell 2 3" xfId="153"/>
    <cellStyle name="Linked Cell 3 2" xfId="154"/>
    <cellStyle name="Linked Cell 3 3" xfId="155"/>
    <cellStyle name="Neutral 2 2" xfId="156"/>
    <cellStyle name="Neutral 2 3" xfId="157"/>
    <cellStyle name="Neutral 3 2" xfId="158"/>
    <cellStyle name="Neutral 3 3" xfId="159"/>
    <cellStyle name="Normal" xfId="0" builtinId="0"/>
    <cellStyle name="Normal 2" xfId="160"/>
    <cellStyle name="Normal 2 2" xfId="161"/>
    <cellStyle name="Normal 2 3" xfId="162"/>
    <cellStyle name="Normal 3" xfId="5"/>
    <cellStyle name="Normal 3 2" xfId="7"/>
    <cellStyle name="Normal 3 3" xfId="163"/>
    <cellStyle name="Normal 3 4" xfId="188"/>
    <cellStyle name="Normal 3 5" xfId="220"/>
    <cellStyle name="Normal 3_Beta calculation" xfId="215"/>
    <cellStyle name="Normal 4" xfId="164"/>
    <cellStyle name="Normal 5" xfId="6"/>
    <cellStyle name="Normal 6" xfId="241"/>
    <cellStyle name="Normal 6 2" xfId="268"/>
    <cellStyle name="Normal 6 3" xfId="267"/>
    <cellStyle name="Normal_Ushakal 07.01.2008" xfId="4"/>
    <cellStyle name="Note 2 2" xfId="165"/>
    <cellStyle name="Note 2 2 10" xfId="689"/>
    <cellStyle name="Note 2 2 11" xfId="690"/>
    <cellStyle name="Note 2 2 12" xfId="691"/>
    <cellStyle name="Note 2 2 13" xfId="692"/>
    <cellStyle name="Note 2 2 14" xfId="693"/>
    <cellStyle name="Note 2 2 15" xfId="694"/>
    <cellStyle name="Note 2 2 16" xfId="695"/>
    <cellStyle name="Note 2 2 17" xfId="696"/>
    <cellStyle name="Note 2 2 18" xfId="697"/>
    <cellStyle name="Note 2 2 19" xfId="698"/>
    <cellStyle name="Note 2 2 2" xfId="197"/>
    <cellStyle name="Note 2 2 2 10" xfId="699"/>
    <cellStyle name="Note 2 2 2 11" xfId="700"/>
    <cellStyle name="Note 2 2 2 12" xfId="701"/>
    <cellStyle name="Note 2 2 2 13" xfId="702"/>
    <cellStyle name="Note 2 2 2 14" xfId="703"/>
    <cellStyle name="Note 2 2 2 15" xfId="704"/>
    <cellStyle name="Note 2 2 2 16" xfId="705"/>
    <cellStyle name="Note 2 2 2 17" xfId="706"/>
    <cellStyle name="Note 2 2 2 18" xfId="707"/>
    <cellStyle name="Note 2 2 2 19" xfId="708"/>
    <cellStyle name="Note 2 2 2 2" xfId="252"/>
    <cellStyle name="Note 2 2 2 2 2" xfId="1071"/>
    <cellStyle name="Note 2 2 2 20" xfId="1031"/>
    <cellStyle name="Note 2 2 2 3" xfId="333"/>
    <cellStyle name="Note 2 2 2 3 2" xfId="1147"/>
    <cellStyle name="Note 2 2 2 4" xfId="334"/>
    <cellStyle name="Note 2 2 2 4 2" xfId="1148"/>
    <cellStyle name="Note 2 2 2 5" xfId="335"/>
    <cellStyle name="Note 2 2 2 5 2" xfId="1149"/>
    <cellStyle name="Note 2 2 2 6" xfId="336"/>
    <cellStyle name="Note 2 2 2 6 2" xfId="1150"/>
    <cellStyle name="Note 2 2 2 7" xfId="709"/>
    <cellStyle name="Note 2 2 2 8" xfId="710"/>
    <cellStyle name="Note 2 2 2 9" xfId="711"/>
    <cellStyle name="Note 2 2 20" xfId="712"/>
    <cellStyle name="Note 2 2 21" xfId="1011"/>
    <cellStyle name="Note 2 2 3" xfId="229"/>
    <cellStyle name="Note 2 2 3 2" xfId="1051"/>
    <cellStyle name="Note 2 2 4" xfId="337"/>
    <cellStyle name="Note 2 2 4 2" xfId="1151"/>
    <cellStyle name="Note 2 2 5" xfId="338"/>
    <cellStyle name="Note 2 2 5 2" xfId="1152"/>
    <cellStyle name="Note 2 2 6" xfId="339"/>
    <cellStyle name="Note 2 2 6 2" xfId="1153"/>
    <cellStyle name="Note 2 2 7" xfId="340"/>
    <cellStyle name="Note 2 2 7 2" xfId="1154"/>
    <cellStyle name="Note 2 2 8" xfId="713"/>
    <cellStyle name="Note 2 2 9" xfId="714"/>
    <cellStyle name="Note 2 3" xfId="166"/>
    <cellStyle name="Note 2 3 10" xfId="715"/>
    <cellStyle name="Note 2 3 11" xfId="716"/>
    <cellStyle name="Note 2 3 12" xfId="717"/>
    <cellStyle name="Note 2 3 13" xfId="718"/>
    <cellStyle name="Note 2 3 14" xfId="719"/>
    <cellStyle name="Note 2 3 15" xfId="720"/>
    <cellStyle name="Note 2 3 16" xfId="721"/>
    <cellStyle name="Note 2 3 17" xfId="722"/>
    <cellStyle name="Note 2 3 18" xfId="723"/>
    <cellStyle name="Note 2 3 19" xfId="724"/>
    <cellStyle name="Note 2 3 2" xfId="198"/>
    <cellStyle name="Note 2 3 2 10" xfId="725"/>
    <cellStyle name="Note 2 3 2 11" xfId="726"/>
    <cellStyle name="Note 2 3 2 12" xfId="727"/>
    <cellStyle name="Note 2 3 2 13" xfId="728"/>
    <cellStyle name="Note 2 3 2 14" xfId="729"/>
    <cellStyle name="Note 2 3 2 15" xfId="730"/>
    <cellStyle name="Note 2 3 2 16" xfId="731"/>
    <cellStyle name="Note 2 3 2 17" xfId="732"/>
    <cellStyle name="Note 2 3 2 18" xfId="733"/>
    <cellStyle name="Note 2 3 2 19" xfId="734"/>
    <cellStyle name="Note 2 3 2 2" xfId="253"/>
    <cellStyle name="Note 2 3 2 2 2" xfId="1072"/>
    <cellStyle name="Note 2 3 2 20" xfId="1032"/>
    <cellStyle name="Note 2 3 2 3" xfId="341"/>
    <cellStyle name="Note 2 3 2 3 2" xfId="1155"/>
    <cellStyle name="Note 2 3 2 4" xfId="342"/>
    <cellStyle name="Note 2 3 2 4 2" xfId="1156"/>
    <cellStyle name="Note 2 3 2 5" xfId="343"/>
    <cellStyle name="Note 2 3 2 5 2" xfId="1157"/>
    <cellStyle name="Note 2 3 2 6" xfId="344"/>
    <cellStyle name="Note 2 3 2 6 2" xfId="1158"/>
    <cellStyle name="Note 2 3 2 7" xfId="735"/>
    <cellStyle name="Note 2 3 2 8" xfId="736"/>
    <cellStyle name="Note 2 3 2 9" xfId="737"/>
    <cellStyle name="Note 2 3 20" xfId="738"/>
    <cellStyle name="Note 2 3 21" xfId="1012"/>
    <cellStyle name="Note 2 3 3" xfId="230"/>
    <cellStyle name="Note 2 3 3 2" xfId="1052"/>
    <cellStyle name="Note 2 3 4" xfId="345"/>
    <cellStyle name="Note 2 3 4 2" xfId="1159"/>
    <cellStyle name="Note 2 3 5" xfId="346"/>
    <cellStyle name="Note 2 3 5 2" xfId="1160"/>
    <cellStyle name="Note 2 3 6" xfId="347"/>
    <cellStyle name="Note 2 3 6 2" xfId="1161"/>
    <cellStyle name="Note 2 3 7" xfId="348"/>
    <cellStyle name="Note 2 3 7 2" xfId="1162"/>
    <cellStyle name="Note 2 3 8" xfId="739"/>
    <cellStyle name="Note 2 3 9" xfId="740"/>
    <cellStyle name="Note 3 2" xfId="167"/>
    <cellStyle name="Note 3 2 10" xfId="741"/>
    <cellStyle name="Note 3 2 11" xfId="742"/>
    <cellStyle name="Note 3 2 12" xfId="743"/>
    <cellStyle name="Note 3 2 13" xfId="744"/>
    <cellStyle name="Note 3 2 14" xfId="745"/>
    <cellStyle name="Note 3 2 15" xfId="746"/>
    <cellStyle name="Note 3 2 16" xfId="747"/>
    <cellStyle name="Note 3 2 17" xfId="748"/>
    <cellStyle name="Note 3 2 18" xfId="749"/>
    <cellStyle name="Note 3 2 19" xfId="750"/>
    <cellStyle name="Note 3 2 2" xfId="199"/>
    <cellStyle name="Note 3 2 2 10" xfId="751"/>
    <cellStyle name="Note 3 2 2 11" xfId="752"/>
    <cellStyle name="Note 3 2 2 12" xfId="753"/>
    <cellStyle name="Note 3 2 2 13" xfId="754"/>
    <cellStyle name="Note 3 2 2 14" xfId="755"/>
    <cellStyle name="Note 3 2 2 15" xfId="756"/>
    <cellStyle name="Note 3 2 2 16" xfId="757"/>
    <cellStyle name="Note 3 2 2 17" xfId="758"/>
    <cellStyle name="Note 3 2 2 18" xfId="759"/>
    <cellStyle name="Note 3 2 2 19" xfId="760"/>
    <cellStyle name="Note 3 2 2 2" xfId="254"/>
    <cellStyle name="Note 3 2 2 2 2" xfId="1073"/>
    <cellStyle name="Note 3 2 2 20" xfId="1033"/>
    <cellStyle name="Note 3 2 2 3" xfId="349"/>
    <cellStyle name="Note 3 2 2 3 2" xfId="1163"/>
    <cellStyle name="Note 3 2 2 4" xfId="350"/>
    <cellStyle name="Note 3 2 2 4 2" xfId="1164"/>
    <cellStyle name="Note 3 2 2 5" xfId="351"/>
    <cellStyle name="Note 3 2 2 5 2" xfId="1165"/>
    <cellStyle name="Note 3 2 2 6" xfId="352"/>
    <cellStyle name="Note 3 2 2 6 2" xfId="1166"/>
    <cellStyle name="Note 3 2 2 7" xfId="761"/>
    <cellStyle name="Note 3 2 2 8" xfId="762"/>
    <cellStyle name="Note 3 2 2 9" xfId="763"/>
    <cellStyle name="Note 3 2 20" xfId="764"/>
    <cellStyle name="Note 3 2 21" xfId="1013"/>
    <cellStyle name="Note 3 2 3" xfId="231"/>
    <cellStyle name="Note 3 2 3 2" xfId="1053"/>
    <cellStyle name="Note 3 2 4" xfId="353"/>
    <cellStyle name="Note 3 2 4 2" xfId="1167"/>
    <cellStyle name="Note 3 2 5" xfId="354"/>
    <cellStyle name="Note 3 2 5 2" xfId="1168"/>
    <cellStyle name="Note 3 2 6" xfId="355"/>
    <cellStyle name="Note 3 2 6 2" xfId="1169"/>
    <cellStyle name="Note 3 2 7" xfId="356"/>
    <cellStyle name="Note 3 2 7 2" xfId="1170"/>
    <cellStyle name="Note 3 2 8" xfId="765"/>
    <cellStyle name="Note 3 2 9" xfId="766"/>
    <cellStyle name="Note 3 3" xfId="168"/>
    <cellStyle name="Note 3 3 10" xfId="767"/>
    <cellStyle name="Note 3 3 11" xfId="768"/>
    <cellStyle name="Note 3 3 12" xfId="769"/>
    <cellStyle name="Note 3 3 13" xfId="770"/>
    <cellStyle name="Note 3 3 14" xfId="771"/>
    <cellStyle name="Note 3 3 15" xfId="772"/>
    <cellStyle name="Note 3 3 16" xfId="773"/>
    <cellStyle name="Note 3 3 17" xfId="774"/>
    <cellStyle name="Note 3 3 18" xfId="775"/>
    <cellStyle name="Note 3 3 19" xfId="776"/>
    <cellStyle name="Note 3 3 2" xfId="200"/>
    <cellStyle name="Note 3 3 2 10" xfId="777"/>
    <cellStyle name="Note 3 3 2 11" xfId="778"/>
    <cellStyle name="Note 3 3 2 12" xfId="779"/>
    <cellStyle name="Note 3 3 2 13" xfId="780"/>
    <cellStyle name="Note 3 3 2 14" xfId="781"/>
    <cellStyle name="Note 3 3 2 15" xfId="782"/>
    <cellStyle name="Note 3 3 2 16" xfId="783"/>
    <cellStyle name="Note 3 3 2 17" xfId="784"/>
    <cellStyle name="Note 3 3 2 18" xfId="785"/>
    <cellStyle name="Note 3 3 2 19" xfId="786"/>
    <cellStyle name="Note 3 3 2 2" xfId="255"/>
    <cellStyle name="Note 3 3 2 2 2" xfId="1074"/>
    <cellStyle name="Note 3 3 2 20" xfId="1034"/>
    <cellStyle name="Note 3 3 2 3" xfId="357"/>
    <cellStyle name="Note 3 3 2 3 2" xfId="1171"/>
    <cellStyle name="Note 3 3 2 4" xfId="358"/>
    <cellStyle name="Note 3 3 2 4 2" xfId="1172"/>
    <cellStyle name="Note 3 3 2 5" xfId="359"/>
    <cellStyle name="Note 3 3 2 5 2" xfId="1173"/>
    <cellStyle name="Note 3 3 2 6" xfId="360"/>
    <cellStyle name="Note 3 3 2 6 2" xfId="1174"/>
    <cellStyle name="Note 3 3 2 7" xfId="787"/>
    <cellStyle name="Note 3 3 2 8" xfId="788"/>
    <cellStyle name="Note 3 3 2 9" xfId="789"/>
    <cellStyle name="Note 3 3 20" xfId="790"/>
    <cellStyle name="Note 3 3 21" xfId="1014"/>
    <cellStyle name="Note 3 3 3" xfId="232"/>
    <cellStyle name="Note 3 3 3 2" xfId="1054"/>
    <cellStyle name="Note 3 3 4" xfId="361"/>
    <cellStyle name="Note 3 3 4 2" xfId="1175"/>
    <cellStyle name="Note 3 3 5" xfId="362"/>
    <cellStyle name="Note 3 3 5 2" xfId="1176"/>
    <cellStyle name="Note 3 3 6" xfId="363"/>
    <cellStyle name="Note 3 3 6 2" xfId="1177"/>
    <cellStyle name="Note 3 3 7" xfId="364"/>
    <cellStyle name="Note 3 3 7 2" xfId="1178"/>
    <cellStyle name="Note 3 3 8" xfId="791"/>
    <cellStyle name="Note 3 3 9" xfId="792"/>
    <cellStyle name="Output 2 2" xfId="169"/>
    <cellStyle name="Output 2 2 10" xfId="793"/>
    <cellStyle name="Output 2 2 11" xfId="794"/>
    <cellStyle name="Output 2 2 12" xfId="795"/>
    <cellStyle name="Output 2 2 13" xfId="796"/>
    <cellStyle name="Output 2 2 14" xfId="797"/>
    <cellStyle name="Output 2 2 15" xfId="798"/>
    <cellStyle name="Output 2 2 16" xfId="799"/>
    <cellStyle name="Output 2 2 17" xfId="800"/>
    <cellStyle name="Output 2 2 18" xfId="801"/>
    <cellStyle name="Output 2 2 19" xfId="802"/>
    <cellStyle name="Output 2 2 2" xfId="201"/>
    <cellStyle name="Output 2 2 2 10" xfId="803"/>
    <cellStyle name="Output 2 2 2 11" xfId="804"/>
    <cellStyle name="Output 2 2 2 12" xfId="805"/>
    <cellStyle name="Output 2 2 2 13" xfId="806"/>
    <cellStyle name="Output 2 2 2 14" xfId="807"/>
    <cellStyle name="Output 2 2 2 15" xfId="808"/>
    <cellStyle name="Output 2 2 2 16" xfId="809"/>
    <cellStyle name="Output 2 2 2 17" xfId="810"/>
    <cellStyle name="Output 2 2 2 18" xfId="811"/>
    <cellStyle name="Output 2 2 2 19" xfId="812"/>
    <cellStyle name="Output 2 2 2 2" xfId="256"/>
    <cellStyle name="Output 2 2 2 2 2" xfId="1075"/>
    <cellStyle name="Output 2 2 2 20" xfId="1035"/>
    <cellStyle name="Output 2 2 2 3" xfId="365"/>
    <cellStyle name="Output 2 2 2 3 2" xfId="1179"/>
    <cellStyle name="Output 2 2 2 4" xfId="366"/>
    <cellStyle name="Output 2 2 2 4 2" xfId="1180"/>
    <cellStyle name="Output 2 2 2 5" xfId="367"/>
    <cellStyle name="Output 2 2 2 5 2" xfId="1181"/>
    <cellStyle name="Output 2 2 2 6" xfId="368"/>
    <cellStyle name="Output 2 2 2 6 2" xfId="1182"/>
    <cellStyle name="Output 2 2 2 7" xfId="813"/>
    <cellStyle name="Output 2 2 2 8" xfId="814"/>
    <cellStyle name="Output 2 2 2 9" xfId="815"/>
    <cellStyle name="Output 2 2 20" xfId="816"/>
    <cellStyle name="Output 2 2 21" xfId="1015"/>
    <cellStyle name="Output 2 2 3" xfId="233"/>
    <cellStyle name="Output 2 2 3 2" xfId="1055"/>
    <cellStyle name="Output 2 2 4" xfId="369"/>
    <cellStyle name="Output 2 2 4 2" xfId="1183"/>
    <cellStyle name="Output 2 2 5" xfId="370"/>
    <cellStyle name="Output 2 2 5 2" xfId="1184"/>
    <cellStyle name="Output 2 2 6" xfId="371"/>
    <cellStyle name="Output 2 2 6 2" xfId="1185"/>
    <cellStyle name="Output 2 2 7" xfId="372"/>
    <cellStyle name="Output 2 2 7 2" xfId="1186"/>
    <cellStyle name="Output 2 2 8" xfId="817"/>
    <cellStyle name="Output 2 2 9" xfId="818"/>
    <cellStyle name="Output 2 3" xfId="170"/>
    <cellStyle name="Output 2 3 10" xfId="819"/>
    <cellStyle name="Output 2 3 11" xfId="820"/>
    <cellStyle name="Output 2 3 12" xfId="821"/>
    <cellStyle name="Output 2 3 13" xfId="822"/>
    <cellStyle name="Output 2 3 14" xfId="823"/>
    <cellStyle name="Output 2 3 15" xfId="824"/>
    <cellStyle name="Output 2 3 16" xfId="825"/>
    <cellStyle name="Output 2 3 17" xfId="826"/>
    <cellStyle name="Output 2 3 18" xfId="827"/>
    <cellStyle name="Output 2 3 19" xfId="828"/>
    <cellStyle name="Output 2 3 2" xfId="202"/>
    <cellStyle name="Output 2 3 2 10" xfId="829"/>
    <cellStyle name="Output 2 3 2 11" xfId="830"/>
    <cellStyle name="Output 2 3 2 12" xfId="831"/>
    <cellStyle name="Output 2 3 2 13" xfId="832"/>
    <cellStyle name="Output 2 3 2 14" xfId="833"/>
    <cellStyle name="Output 2 3 2 15" xfId="834"/>
    <cellStyle name="Output 2 3 2 16" xfId="835"/>
    <cellStyle name="Output 2 3 2 17" xfId="836"/>
    <cellStyle name="Output 2 3 2 18" xfId="837"/>
    <cellStyle name="Output 2 3 2 19" xfId="838"/>
    <cellStyle name="Output 2 3 2 2" xfId="257"/>
    <cellStyle name="Output 2 3 2 2 2" xfId="1076"/>
    <cellStyle name="Output 2 3 2 20" xfId="1036"/>
    <cellStyle name="Output 2 3 2 3" xfId="373"/>
    <cellStyle name="Output 2 3 2 3 2" xfId="1187"/>
    <cellStyle name="Output 2 3 2 4" xfId="374"/>
    <cellStyle name="Output 2 3 2 4 2" xfId="1188"/>
    <cellStyle name="Output 2 3 2 5" xfId="375"/>
    <cellStyle name="Output 2 3 2 5 2" xfId="1189"/>
    <cellStyle name="Output 2 3 2 6" xfId="376"/>
    <cellStyle name="Output 2 3 2 6 2" xfId="1190"/>
    <cellStyle name="Output 2 3 2 7" xfId="839"/>
    <cellStyle name="Output 2 3 2 8" xfId="840"/>
    <cellStyle name="Output 2 3 2 9" xfId="841"/>
    <cellStyle name="Output 2 3 20" xfId="842"/>
    <cellStyle name="Output 2 3 21" xfId="1016"/>
    <cellStyle name="Output 2 3 3" xfId="234"/>
    <cellStyle name="Output 2 3 3 2" xfId="1056"/>
    <cellStyle name="Output 2 3 4" xfId="377"/>
    <cellStyle name="Output 2 3 4 2" xfId="1191"/>
    <cellStyle name="Output 2 3 5" xfId="378"/>
    <cellStyle name="Output 2 3 5 2" xfId="1192"/>
    <cellStyle name="Output 2 3 6" xfId="379"/>
    <cellStyle name="Output 2 3 6 2" xfId="1193"/>
    <cellStyle name="Output 2 3 7" xfId="380"/>
    <cellStyle name="Output 2 3 7 2" xfId="1194"/>
    <cellStyle name="Output 2 3 8" xfId="843"/>
    <cellStyle name="Output 2 3 9" xfId="844"/>
    <cellStyle name="Output 3 2" xfId="171"/>
    <cellStyle name="Output 3 2 10" xfId="845"/>
    <cellStyle name="Output 3 2 11" xfId="846"/>
    <cellStyle name="Output 3 2 12" xfId="847"/>
    <cellStyle name="Output 3 2 13" xfId="848"/>
    <cellStyle name="Output 3 2 14" xfId="849"/>
    <cellStyle name="Output 3 2 15" xfId="850"/>
    <cellStyle name="Output 3 2 16" xfId="851"/>
    <cellStyle name="Output 3 2 17" xfId="852"/>
    <cellStyle name="Output 3 2 18" xfId="853"/>
    <cellStyle name="Output 3 2 19" xfId="854"/>
    <cellStyle name="Output 3 2 2" xfId="203"/>
    <cellStyle name="Output 3 2 2 10" xfId="855"/>
    <cellStyle name="Output 3 2 2 11" xfId="856"/>
    <cellStyle name="Output 3 2 2 12" xfId="857"/>
    <cellStyle name="Output 3 2 2 13" xfId="858"/>
    <cellStyle name="Output 3 2 2 14" xfId="859"/>
    <cellStyle name="Output 3 2 2 15" xfId="860"/>
    <cellStyle name="Output 3 2 2 16" xfId="861"/>
    <cellStyle name="Output 3 2 2 17" xfId="862"/>
    <cellStyle name="Output 3 2 2 18" xfId="863"/>
    <cellStyle name="Output 3 2 2 19" xfId="864"/>
    <cellStyle name="Output 3 2 2 2" xfId="258"/>
    <cellStyle name="Output 3 2 2 2 2" xfId="1077"/>
    <cellStyle name="Output 3 2 2 20" xfId="1037"/>
    <cellStyle name="Output 3 2 2 3" xfId="381"/>
    <cellStyle name="Output 3 2 2 3 2" xfId="1195"/>
    <cellStyle name="Output 3 2 2 4" xfId="382"/>
    <cellStyle name="Output 3 2 2 4 2" xfId="1196"/>
    <cellStyle name="Output 3 2 2 5" xfId="383"/>
    <cellStyle name="Output 3 2 2 5 2" xfId="1197"/>
    <cellStyle name="Output 3 2 2 6" xfId="384"/>
    <cellStyle name="Output 3 2 2 6 2" xfId="1198"/>
    <cellStyle name="Output 3 2 2 7" xfId="865"/>
    <cellStyle name="Output 3 2 2 8" xfId="866"/>
    <cellStyle name="Output 3 2 2 9" xfId="867"/>
    <cellStyle name="Output 3 2 20" xfId="868"/>
    <cellStyle name="Output 3 2 21" xfId="1017"/>
    <cellStyle name="Output 3 2 3" xfId="235"/>
    <cellStyle name="Output 3 2 3 2" xfId="1057"/>
    <cellStyle name="Output 3 2 4" xfId="385"/>
    <cellStyle name="Output 3 2 4 2" xfId="1199"/>
    <cellStyle name="Output 3 2 5" xfId="386"/>
    <cellStyle name="Output 3 2 5 2" xfId="1200"/>
    <cellStyle name="Output 3 2 6" xfId="387"/>
    <cellStyle name="Output 3 2 6 2" xfId="1201"/>
    <cellStyle name="Output 3 2 7" xfId="388"/>
    <cellStyle name="Output 3 2 7 2" xfId="1202"/>
    <cellStyle name="Output 3 2 8" xfId="869"/>
    <cellStyle name="Output 3 2 9" xfId="870"/>
    <cellStyle name="Output 3 3" xfId="172"/>
    <cellStyle name="Output 3 3 10" xfId="871"/>
    <cellStyle name="Output 3 3 11" xfId="872"/>
    <cellStyle name="Output 3 3 12" xfId="873"/>
    <cellStyle name="Output 3 3 13" xfId="874"/>
    <cellStyle name="Output 3 3 14" xfId="875"/>
    <cellStyle name="Output 3 3 15" xfId="876"/>
    <cellStyle name="Output 3 3 16" xfId="877"/>
    <cellStyle name="Output 3 3 17" xfId="878"/>
    <cellStyle name="Output 3 3 18" xfId="879"/>
    <cellStyle name="Output 3 3 19" xfId="880"/>
    <cellStyle name="Output 3 3 2" xfId="204"/>
    <cellStyle name="Output 3 3 2 10" xfId="881"/>
    <cellStyle name="Output 3 3 2 11" xfId="882"/>
    <cellStyle name="Output 3 3 2 12" xfId="883"/>
    <cellStyle name="Output 3 3 2 13" xfId="884"/>
    <cellStyle name="Output 3 3 2 14" xfId="885"/>
    <cellStyle name="Output 3 3 2 15" xfId="886"/>
    <cellStyle name="Output 3 3 2 16" xfId="887"/>
    <cellStyle name="Output 3 3 2 17" xfId="888"/>
    <cellStyle name="Output 3 3 2 18" xfId="889"/>
    <cellStyle name="Output 3 3 2 19" xfId="890"/>
    <cellStyle name="Output 3 3 2 2" xfId="259"/>
    <cellStyle name="Output 3 3 2 2 2" xfId="1078"/>
    <cellStyle name="Output 3 3 2 20" xfId="1038"/>
    <cellStyle name="Output 3 3 2 3" xfId="389"/>
    <cellStyle name="Output 3 3 2 3 2" xfId="1203"/>
    <cellStyle name="Output 3 3 2 4" xfId="390"/>
    <cellStyle name="Output 3 3 2 4 2" xfId="1204"/>
    <cellStyle name="Output 3 3 2 5" xfId="391"/>
    <cellStyle name="Output 3 3 2 5 2" xfId="1205"/>
    <cellStyle name="Output 3 3 2 6" xfId="392"/>
    <cellStyle name="Output 3 3 2 6 2" xfId="1206"/>
    <cellStyle name="Output 3 3 2 7" xfId="891"/>
    <cellStyle name="Output 3 3 2 8" xfId="892"/>
    <cellStyle name="Output 3 3 2 9" xfId="893"/>
    <cellStyle name="Output 3 3 20" xfId="894"/>
    <cellStyle name="Output 3 3 21" xfId="1018"/>
    <cellStyle name="Output 3 3 3" xfId="236"/>
    <cellStyle name="Output 3 3 3 2" xfId="1058"/>
    <cellStyle name="Output 3 3 4" xfId="393"/>
    <cellStyle name="Output 3 3 4 2" xfId="1207"/>
    <cellStyle name="Output 3 3 5" xfId="394"/>
    <cellStyle name="Output 3 3 5 2" xfId="1208"/>
    <cellStyle name="Output 3 3 6" xfId="395"/>
    <cellStyle name="Output 3 3 6 2" xfId="1209"/>
    <cellStyle name="Output 3 3 7" xfId="396"/>
    <cellStyle name="Output 3 3 7 2" xfId="1210"/>
    <cellStyle name="Output 3 3 8" xfId="895"/>
    <cellStyle name="Output 3 3 9" xfId="896"/>
    <cellStyle name="Percent" xfId="2" builtinId="5"/>
    <cellStyle name="Percent 2" xfId="173"/>
    <cellStyle name="Percent 2 2" xfId="209"/>
    <cellStyle name="Percent 2 2 2" xfId="897"/>
    <cellStyle name="Percent 3" xfId="216"/>
    <cellStyle name="Percent 3 2" xfId="174"/>
    <cellStyle name="Percent 3 3" xfId="175"/>
    <cellStyle name="Percent 3 4" xfId="264"/>
    <cellStyle name="Percent 4" xfId="217"/>
    <cellStyle name="Percent 5" xfId="218"/>
    <cellStyle name="Percent 5 2" xfId="898"/>
    <cellStyle name="Title 2 2" xfId="176"/>
    <cellStyle name="Title 2 3" xfId="177"/>
    <cellStyle name="Title 3 2" xfId="178"/>
    <cellStyle name="Title 3 3" xfId="179"/>
    <cellStyle name="Total 2 2" xfId="180"/>
    <cellStyle name="Total 2 2 10" xfId="899"/>
    <cellStyle name="Total 2 2 11" xfId="900"/>
    <cellStyle name="Total 2 2 12" xfId="901"/>
    <cellStyle name="Total 2 2 13" xfId="902"/>
    <cellStyle name="Total 2 2 14" xfId="903"/>
    <cellStyle name="Total 2 2 15" xfId="904"/>
    <cellStyle name="Total 2 2 16" xfId="905"/>
    <cellStyle name="Total 2 2 17" xfId="906"/>
    <cellStyle name="Total 2 2 18" xfId="907"/>
    <cellStyle name="Total 2 2 19" xfId="908"/>
    <cellStyle name="Total 2 2 2" xfId="205"/>
    <cellStyle name="Total 2 2 2 10" xfId="909"/>
    <cellStyle name="Total 2 2 2 11" xfId="910"/>
    <cellStyle name="Total 2 2 2 12" xfId="911"/>
    <cellStyle name="Total 2 2 2 13" xfId="912"/>
    <cellStyle name="Total 2 2 2 14" xfId="913"/>
    <cellStyle name="Total 2 2 2 15" xfId="914"/>
    <cellStyle name="Total 2 2 2 16" xfId="915"/>
    <cellStyle name="Total 2 2 2 17" xfId="916"/>
    <cellStyle name="Total 2 2 2 18" xfId="917"/>
    <cellStyle name="Total 2 2 2 19" xfId="918"/>
    <cellStyle name="Total 2 2 2 2" xfId="260"/>
    <cellStyle name="Total 2 2 2 2 2" xfId="1079"/>
    <cellStyle name="Total 2 2 2 20" xfId="1039"/>
    <cellStyle name="Total 2 2 2 3" xfId="397"/>
    <cellStyle name="Total 2 2 2 3 2" xfId="1211"/>
    <cellStyle name="Total 2 2 2 4" xfId="398"/>
    <cellStyle name="Total 2 2 2 4 2" xfId="1212"/>
    <cellStyle name="Total 2 2 2 5" xfId="399"/>
    <cellStyle name="Total 2 2 2 5 2" xfId="1213"/>
    <cellStyle name="Total 2 2 2 6" xfId="400"/>
    <cellStyle name="Total 2 2 2 6 2" xfId="1214"/>
    <cellStyle name="Total 2 2 2 7" xfId="919"/>
    <cellStyle name="Total 2 2 2 8" xfId="920"/>
    <cellStyle name="Total 2 2 2 9" xfId="921"/>
    <cellStyle name="Total 2 2 20" xfId="922"/>
    <cellStyle name="Total 2 2 21" xfId="1019"/>
    <cellStyle name="Total 2 2 3" xfId="237"/>
    <cellStyle name="Total 2 2 3 2" xfId="1059"/>
    <cellStyle name="Total 2 2 4" xfId="401"/>
    <cellStyle name="Total 2 2 4 2" xfId="1215"/>
    <cellStyle name="Total 2 2 5" xfId="402"/>
    <cellStyle name="Total 2 2 5 2" xfId="1216"/>
    <cellStyle name="Total 2 2 6" xfId="403"/>
    <cellStyle name="Total 2 2 6 2" xfId="1217"/>
    <cellStyle name="Total 2 2 7" xfId="404"/>
    <cellStyle name="Total 2 2 7 2" xfId="1218"/>
    <cellStyle name="Total 2 2 8" xfId="923"/>
    <cellStyle name="Total 2 2 9" xfId="924"/>
    <cellStyle name="Total 2 3" xfId="181"/>
    <cellStyle name="Total 2 3 10" xfId="925"/>
    <cellStyle name="Total 2 3 11" xfId="926"/>
    <cellStyle name="Total 2 3 12" xfId="927"/>
    <cellStyle name="Total 2 3 13" xfId="928"/>
    <cellStyle name="Total 2 3 14" xfId="929"/>
    <cellStyle name="Total 2 3 15" xfId="930"/>
    <cellStyle name="Total 2 3 16" xfId="931"/>
    <cellStyle name="Total 2 3 17" xfId="932"/>
    <cellStyle name="Total 2 3 18" xfId="933"/>
    <cellStyle name="Total 2 3 19" xfId="934"/>
    <cellStyle name="Total 2 3 2" xfId="206"/>
    <cellStyle name="Total 2 3 2 10" xfId="935"/>
    <cellStyle name="Total 2 3 2 11" xfId="936"/>
    <cellStyle name="Total 2 3 2 12" xfId="937"/>
    <cellStyle name="Total 2 3 2 13" xfId="938"/>
    <cellStyle name="Total 2 3 2 14" xfId="939"/>
    <cellStyle name="Total 2 3 2 15" xfId="940"/>
    <cellStyle name="Total 2 3 2 16" xfId="941"/>
    <cellStyle name="Total 2 3 2 17" xfId="942"/>
    <cellStyle name="Total 2 3 2 18" xfId="943"/>
    <cellStyle name="Total 2 3 2 19" xfId="944"/>
    <cellStyle name="Total 2 3 2 2" xfId="261"/>
    <cellStyle name="Total 2 3 2 2 2" xfId="1080"/>
    <cellStyle name="Total 2 3 2 20" xfId="1040"/>
    <cellStyle name="Total 2 3 2 3" xfId="405"/>
    <cellStyle name="Total 2 3 2 3 2" xfId="1219"/>
    <cellStyle name="Total 2 3 2 4" xfId="406"/>
    <cellStyle name="Total 2 3 2 4 2" xfId="1220"/>
    <cellStyle name="Total 2 3 2 5" xfId="407"/>
    <cellStyle name="Total 2 3 2 5 2" xfId="1221"/>
    <cellStyle name="Total 2 3 2 6" xfId="408"/>
    <cellStyle name="Total 2 3 2 6 2" xfId="1222"/>
    <cellStyle name="Total 2 3 2 7" xfId="945"/>
    <cellStyle name="Total 2 3 2 8" xfId="946"/>
    <cellStyle name="Total 2 3 2 9" xfId="947"/>
    <cellStyle name="Total 2 3 20" xfId="948"/>
    <cellStyle name="Total 2 3 21" xfId="1020"/>
    <cellStyle name="Total 2 3 3" xfId="238"/>
    <cellStyle name="Total 2 3 3 2" xfId="1060"/>
    <cellStyle name="Total 2 3 4" xfId="409"/>
    <cellStyle name="Total 2 3 4 2" xfId="1223"/>
    <cellStyle name="Total 2 3 5" xfId="410"/>
    <cellStyle name="Total 2 3 5 2" xfId="1224"/>
    <cellStyle name="Total 2 3 6" xfId="411"/>
    <cellStyle name="Total 2 3 6 2" xfId="1225"/>
    <cellStyle name="Total 2 3 7" xfId="412"/>
    <cellStyle name="Total 2 3 7 2" xfId="1226"/>
    <cellStyle name="Total 2 3 8" xfId="949"/>
    <cellStyle name="Total 2 3 9" xfId="950"/>
    <cellStyle name="Total 3 2" xfId="182"/>
    <cellStyle name="Total 3 2 10" xfId="951"/>
    <cellStyle name="Total 3 2 11" xfId="952"/>
    <cellStyle name="Total 3 2 12" xfId="953"/>
    <cellStyle name="Total 3 2 13" xfId="954"/>
    <cellStyle name="Total 3 2 14" xfId="955"/>
    <cellStyle name="Total 3 2 15" xfId="956"/>
    <cellStyle name="Total 3 2 16" xfId="957"/>
    <cellStyle name="Total 3 2 17" xfId="958"/>
    <cellStyle name="Total 3 2 18" xfId="959"/>
    <cellStyle name="Total 3 2 19" xfId="960"/>
    <cellStyle name="Total 3 2 2" xfId="207"/>
    <cellStyle name="Total 3 2 2 10" xfId="961"/>
    <cellStyle name="Total 3 2 2 11" xfId="962"/>
    <cellStyle name="Total 3 2 2 12" xfId="963"/>
    <cellStyle name="Total 3 2 2 13" xfId="964"/>
    <cellStyle name="Total 3 2 2 14" xfId="965"/>
    <cellStyle name="Total 3 2 2 15" xfId="966"/>
    <cellStyle name="Total 3 2 2 16" xfId="967"/>
    <cellStyle name="Total 3 2 2 17" xfId="968"/>
    <cellStyle name="Total 3 2 2 18" xfId="969"/>
    <cellStyle name="Total 3 2 2 19" xfId="970"/>
    <cellStyle name="Total 3 2 2 2" xfId="262"/>
    <cellStyle name="Total 3 2 2 2 2" xfId="1081"/>
    <cellStyle name="Total 3 2 2 20" xfId="1041"/>
    <cellStyle name="Total 3 2 2 3" xfId="413"/>
    <cellStyle name="Total 3 2 2 3 2" xfId="1227"/>
    <cellStyle name="Total 3 2 2 4" xfId="414"/>
    <cellStyle name="Total 3 2 2 4 2" xfId="1228"/>
    <cellStyle name="Total 3 2 2 5" xfId="415"/>
    <cellStyle name="Total 3 2 2 5 2" xfId="1229"/>
    <cellStyle name="Total 3 2 2 6" xfId="416"/>
    <cellStyle name="Total 3 2 2 6 2" xfId="1230"/>
    <cellStyle name="Total 3 2 2 7" xfId="971"/>
    <cellStyle name="Total 3 2 2 8" xfId="972"/>
    <cellStyle name="Total 3 2 2 9" xfId="973"/>
    <cellStyle name="Total 3 2 20" xfId="974"/>
    <cellStyle name="Total 3 2 21" xfId="1021"/>
    <cellStyle name="Total 3 2 3" xfId="239"/>
    <cellStyle name="Total 3 2 3 2" xfId="1061"/>
    <cellStyle name="Total 3 2 4" xfId="417"/>
    <cellStyle name="Total 3 2 4 2" xfId="1231"/>
    <cellStyle name="Total 3 2 5" xfId="418"/>
    <cellStyle name="Total 3 2 5 2" xfId="1232"/>
    <cellStyle name="Total 3 2 6" xfId="419"/>
    <cellStyle name="Total 3 2 6 2" xfId="1233"/>
    <cellStyle name="Total 3 2 7" xfId="420"/>
    <cellStyle name="Total 3 2 7 2" xfId="1234"/>
    <cellStyle name="Total 3 2 8" xfId="975"/>
    <cellStyle name="Total 3 2 9" xfId="976"/>
    <cellStyle name="Total 3 3" xfId="183"/>
    <cellStyle name="Total 3 3 10" xfId="977"/>
    <cellStyle name="Total 3 3 11" xfId="978"/>
    <cellStyle name="Total 3 3 12" xfId="979"/>
    <cellStyle name="Total 3 3 13" xfId="980"/>
    <cellStyle name="Total 3 3 14" xfId="981"/>
    <cellStyle name="Total 3 3 15" xfId="982"/>
    <cellStyle name="Total 3 3 16" xfId="983"/>
    <cellStyle name="Total 3 3 17" xfId="984"/>
    <cellStyle name="Total 3 3 18" xfId="985"/>
    <cellStyle name="Total 3 3 19" xfId="986"/>
    <cellStyle name="Total 3 3 2" xfId="208"/>
    <cellStyle name="Total 3 3 2 10" xfId="987"/>
    <cellStyle name="Total 3 3 2 11" xfId="988"/>
    <cellStyle name="Total 3 3 2 12" xfId="989"/>
    <cellStyle name="Total 3 3 2 13" xfId="990"/>
    <cellStyle name="Total 3 3 2 14" xfId="991"/>
    <cellStyle name="Total 3 3 2 15" xfId="992"/>
    <cellStyle name="Total 3 3 2 16" xfId="993"/>
    <cellStyle name="Total 3 3 2 17" xfId="994"/>
    <cellStyle name="Total 3 3 2 18" xfId="995"/>
    <cellStyle name="Total 3 3 2 19" xfId="996"/>
    <cellStyle name="Total 3 3 2 2" xfId="263"/>
    <cellStyle name="Total 3 3 2 2 2" xfId="1082"/>
    <cellStyle name="Total 3 3 2 20" xfId="1042"/>
    <cellStyle name="Total 3 3 2 3" xfId="421"/>
    <cellStyle name="Total 3 3 2 3 2" xfId="1235"/>
    <cellStyle name="Total 3 3 2 4" xfId="422"/>
    <cellStyle name="Total 3 3 2 4 2" xfId="1236"/>
    <cellStyle name="Total 3 3 2 5" xfId="423"/>
    <cellStyle name="Total 3 3 2 5 2" xfId="1237"/>
    <cellStyle name="Total 3 3 2 6" xfId="424"/>
    <cellStyle name="Total 3 3 2 6 2" xfId="1238"/>
    <cellStyle name="Total 3 3 2 7" xfId="997"/>
    <cellStyle name="Total 3 3 2 8" xfId="998"/>
    <cellStyle name="Total 3 3 2 9" xfId="999"/>
    <cellStyle name="Total 3 3 20" xfId="1000"/>
    <cellStyle name="Total 3 3 21" xfId="1022"/>
    <cellStyle name="Total 3 3 3" xfId="240"/>
    <cellStyle name="Total 3 3 3 2" xfId="1062"/>
    <cellStyle name="Total 3 3 4" xfId="425"/>
    <cellStyle name="Total 3 3 4 2" xfId="1239"/>
    <cellStyle name="Total 3 3 5" xfId="426"/>
    <cellStyle name="Total 3 3 5 2" xfId="1240"/>
    <cellStyle name="Total 3 3 6" xfId="427"/>
    <cellStyle name="Total 3 3 6 2" xfId="1241"/>
    <cellStyle name="Total 3 3 7" xfId="428"/>
    <cellStyle name="Total 3 3 7 2" xfId="1242"/>
    <cellStyle name="Total 3 3 8" xfId="1001"/>
    <cellStyle name="Total 3 3 9" xfId="1002"/>
    <cellStyle name="Warning Text 2 2" xfId="184"/>
    <cellStyle name="Warning Text 2 3" xfId="185"/>
    <cellStyle name="Warning Text 3 2" xfId="186"/>
    <cellStyle name="Warning Text 3 3" xfId="187"/>
  </cellStyles>
  <dxfs count="0"/>
  <tableStyles count="0" defaultTableStyle="TableStyleMedium9" defaultPivotStyle="PivotStyleLight16"/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axafin.com/Income_Tax/Tax_Rates/Depreciation_Rates.html" TargetMode="External"/><Relationship Id="rId2" Type="http://schemas.openxmlformats.org/officeDocument/2006/relationships/hyperlink" Target="http://taxguru.in/income-tax/income-tax-rate-chart-assessment-year-201516-financial-year-201415.html" TargetMode="External"/><Relationship Id="rId1" Type="http://schemas.openxmlformats.org/officeDocument/2006/relationships/hyperlink" Target="http://www.ireda.gov.in/forms/contentpage.aspx?lid=743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bankruna.com/basedata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cdm.unfccc.int/Reference/Guidclarif/reg/reg_guid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9"/>
  <sheetViews>
    <sheetView showGridLines="0" tabSelected="1" topLeftCell="A7" zoomScale="87" zoomScaleNormal="87" workbookViewId="0">
      <selection activeCell="K24" sqref="K24"/>
    </sheetView>
  </sheetViews>
  <sheetFormatPr defaultRowHeight="15" x14ac:dyDescent="0.25"/>
  <cols>
    <col min="1" max="1" width="3.28515625" style="1" customWidth="1"/>
    <col min="2" max="2" width="39.85546875" style="1" customWidth="1"/>
    <col min="3" max="5" width="12.85546875" style="1" customWidth="1"/>
    <col min="6" max="6" width="5.140625" style="1" customWidth="1"/>
    <col min="7" max="7" width="5" style="4" customWidth="1"/>
    <col min="8" max="8" width="15.5703125" style="1" customWidth="1"/>
    <col min="9" max="9" width="9.28515625" style="1" bestFit="1" customWidth="1"/>
    <col min="10" max="10" width="9.140625" style="1"/>
    <col min="11" max="11" width="21.5703125" style="1" customWidth="1"/>
    <col min="12" max="12" width="15.7109375" style="1" customWidth="1"/>
    <col min="13" max="250" width="9.140625" style="1"/>
    <col min="251" max="251" width="6" style="1" customWidth="1"/>
    <col min="252" max="255" width="9.140625" style="1"/>
    <col min="256" max="256" width="13.42578125" style="1" customWidth="1"/>
    <col min="257" max="257" width="9.140625" style="1"/>
    <col min="258" max="258" width="11.28515625" style="1" customWidth="1"/>
    <col min="259" max="259" width="13.42578125" style="1" customWidth="1"/>
    <col min="260" max="260" width="9.140625" style="1" customWidth="1"/>
    <col min="261" max="261" width="11.28515625" style="1" customWidth="1"/>
    <col min="262" max="264" width="9.140625" style="1" customWidth="1"/>
    <col min="265" max="506" width="9.140625" style="1"/>
    <col min="507" max="507" width="6" style="1" customWidth="1"/>
    <col min="508" max="511" width="9.140625" style="1"/>
    <col min="512" max="512" width="13.42578125" style="1" customWidth="1"/>
    <col min="513" max="513" width="9.140625" style="1"/>
    <col min="514" max="514" width="11.28515625" style="1" customWidth="1"/>
    <col min="515" max="515" width="13.42578125" style="1" customWidth="1"/>
    <col min="516" max="516" width="9.140625" style="1" customWidth="1"/>
    <col min="517" max="517" width="11.28515625" style="1" customWidth="1"/>
    <col min="518" max="520" width="9.140625" style="1" customWidth="1"/>
    <col min="521" max="762" width="9.140625" style="1"/>
    <col min="763" max="763" width="6" style="1" customWidth="1"/>
    <col min="764" max="767" width="9.140625" style="1"/>
    <col min="768" max="768" width="13.42578125" style="1" customWidth="1"/>
    <col min="769" max="769" width="9.140625" style="1"/>
    <col min="770" max="770" width="11.28515625" style="1" customWidth="1"/>
    <col min="771" max="771" width="13.42578125" style="1" customWidth="1"/>
    <col min="772" max="772" width="9.140625" style="1" customWidth="1"/>
    <col min="773" max="773" width="11.28515625" style="1" customWidth="1"/>
    <col min="774" max="776" width="9.140625" style="1" customWidth="1"/>
    <col min="777" max="1018" width="9.140625" style="1"/>
    <col min="1019" max="1019" width="6" style="1" customWidth="1"/>
    <col min="1020" max="1023" width="9.140625" style="1"/>
    <col min="1024" max="1024" width="13.42578125" style="1" customWidth="1"/>
    <col min="1025" max="1025" width="9.140625" style="1"/>
    <col min="1026" max="1026" width="11.28515625" style="1" customWidth="1"/>
    <col min="1027" max="1027" width="13.42578125" style="1" customWidth="1"/>
    <col min="1028" max="1028" width="9.140625" style="1" customWidth="1"/>
    <col min="1029" max="1029" width="11.28515625" style="1" customWidth="1"/>
    <col min="1030" max="1032" width="9.140625" style="1" customWidth="1"/>
    <col min="1033" max="1274" width="9.140625" style="1"/>
    <col min="1275" max="1275" width="6" style="1" customWidth="1"/>
    <col min="1276" max="1279" width="9.140625" style="1"/>
    <col min="1280" max="1280" width="13.42578125" style="1" customWidth="1"/>
    <col min="1281" max="1281" width="9.140625" style="1"/>
    <col min="1282" max="1282" width="11.28515625" style="1" customWidth="1"/>
    <col min="1283" max="1283" width="13.42578125" style="1" customWidth="1"/>
    <col min="1284" max="1284" width="9.140625" style="1" customWidth="1"/>
    <col min="1285" max="1285" width="11.28515625" style="1" customWidth="1"/>
    <col min="1286" max="1288" width="9.140625" style="1" customWidth="1"/>
    <col min="1289" max="1530" width="9.140625" style="1"/>
    <col min="1531" max="1531" width="6" style="1" customWidth="1"/>
    <col min="1532" max="1535" width="9.140625" style="1"/>
    <col min="1536" max="1536" width="13.42578125" style="1" customWidth="1"/>
    <col min="1537" max="1537" width="9.140625" style="1"/>
    <col min="1538" max="1538" width="11.28515625" style="1" customWidth="1"/>
    <col min="1539" max="1539" width="13.42578125" style="1" customWidth="1"/>
    <col min="1540" max="1540" width="9.140625" style="1" customWidth="1"/>
    <col min="1541" max="1541" width="11.28515625" style="1" customWidth="1"/>
    <col min="1542" max="1544" width="9.140625" style="1" customWidth="1"/>
    <col min="1545" max="1786" width="9.140625" style="1"/>
    <col min="1787" max="1787" width="6" style="1" customWidth="1"/>
    <col min="1788" max="1791" width="9.140625" style="1"/>
    <col min="1792" max="1792" width="13.42578125" style="1" customWidth="1"/>
    <col min="1793" max="1793" width="9.140625" style="1"/>
    <col min="1794" max="1794" width="11.28515625" style="1" customWidth="1"/>
    <col min="1795" max="1795" width="13.42578125" style="1" customWidth="1"/>
    <col min="1796" max="1796" width="9.140625" style="1" customWidth="1"/>
    <col min="1797" max="1797" width="11.28515625" style="1" customWidth="1"/>
    <col min="1798" max="1800" width="9.140625" style="1" customWidth="1"/>
    <col min="1801" max="2042" width="9.140625" style="1"/>
    <col min="2043" max="2043" width="6" style="1" customWidth="1"/>
    <col min="2044" max="2047" width="9.140625" style="1"/>
    <col min="2048" max="2048" width="13.42578125" style="1" customWidth="1"/>
    <col min="2049" max="2049" width="9.140625" style="1"/>
    <col min="2050" max="2050" width="11.28515625" style="1" customWidth="1"/>
    <col min="2051" max="2051" width="13.42578125" style="1" customWidth="1"/>
    <col min="2052" max="2052" width="9.140625" style="1" customWidth="1"/>
    <col min="2053" max="2053" width="11.28515625" style="1" customWidth="1"/>
    <col min="2054" max="2056" width="9.140625" style="1" customWidth="1"/>
    <col min="2057" max="2298" width="9.140625" style="1"/>
    <col min="2299" max="2299" width="6" style="1" customWidth="1"/>
    <col min="2300" max="2303" width="9.140625" style="1"/>
    <col min="2304" max="2304" width="13.42578125" style="1" customWidth="1"/>
    <col min="2305" max="2305" width="9.140625" style="1"/>
    <col min="2306" max="2306" width="11.28515625" style="1" customWidth="1"/>
    <col min="2307" max="2307" width="13.42578125" style="1" customWidth="1"/>
    <col min="2308" max="2308" width="9.140625" style="1" customWidth="1"/>
    <col min="2309" max="2309" width="11.28515625" style="1" customWidth="1"/>
    <col min="2310" max="2312" width="9.140625" style="1" customWidth="1"/>
    <col min="2313" max="2554" width="9.140625" style="1"/>
    <col min="2555" max="2555" width="6" style="1" customWidth="1"/>
    <col min="2556" max="2559" width="9.140625" style="1"/>
    <col min="2560" max="2560" width="13.42578125" style="1" customWidth="1"/>
    <col min="2561" max="2561" width="9.140625" style="1"/>
    <col min="2562" max="2562" width="11.28515625" style="1" customWidth="1"/>
    <col min="2563" max="2563" width="13.42578125" style="1" customWidth="1"/>
    <col min="2564" max="2564" width="9.140625" style="1" customWidth="1"/>
    <col min="2565" max="2565" width="11.28515625" style="1" customWidth="1"/>
    <col min="2566" max="2568" width="9.140625" style="1" customWidth="1"/>
    <col min="2569" max="2810" width="9.140625" style="1"/>
    <col min="2811" max="2811" width="6" style="1" customWidth="1"/>
    <col min="2812" max="2815" width="9.140625" style="1"/>
    <col min="2816" max="2816" width="13.42578125" style="1" customWidth="1"/>
    <col min="2817" max="2817" width="9.140625" style="1"/>
    <col min="2818" max="2818" width="11.28515625" style="1" customWidth="1"/>
    <col min="2819" max="2819" width="13.42578125" style="1" customWidth="1"/>
    <col min="2820" max="2820" width="9.140625" style="1" customWidth="1"/>
    <col min="2821" max="2821" width="11.28515625" style="1" customWidth="1"/>
    <col min="2822" max="2824" width="9.140625" style="1" customWidth="1"/>
    <col min="2825" max="3066" width="9.140625" style="1"/>
    <col min="3067" max="3067" width="6" style="1" customWidth="1"/>
    <col min="3068" max="3071" width="9.140625" style="1"/>
    <col min="3072" max="3072" width="13.42578125" style="1" customWidth="1"/>
    <col min="3073" max="3073" width="9.140625" style="1"/>
    <col min="3074" max="3074" width="11.28515625" style="1" customWidth="1"/>
    <col min="3075" max="3075" width="13.42578125" style="1" customWidth="1"/>
    <col min="3076" max="3076" width="9.140625" style="1" customWidth="1"/>
    <col min="3077" max="3077" width="11.28515625" style="1" customWidth="1"/>
    <col min="3078" max="3080" width="9.140625" style="1" customWidth="1"/>
    <col min="3081" max="3322" width="9.140625" style="1"/>
    <col min="3323" max="3323" width="6" style="1" customWidth="1"/>
    <col min="3324" max="3327" width="9.140625" style="1"/>
    <col min="3328" max="3328" width="13.42578125" style="1" customWidth="1"/>
    <col min="3329" max="3329" width="9.140625" style="1"/>
    <col min="3330" max="3330" width="11.28515625" style="1" customWidth="1"/>
    <col min="3331" max="3331" width="13.42578125" style="1" customWidth="1"/>
    <col min="3332" max="3332" width="9.140625" style="1" customWidth="1"/>
    <col min="3333" max="3333" width="11.28515625" style="1" customWidth="1"/>
    <col min="3334" max="3336" width="9.140625" style="1" customWidth="1"/>
    <col min="3337" max="3578" width="9.140625" style="1"/>
    <col min="3579" max="3579" width="6" style="1" customWidth="1"/>
    <col min="3580" max="3583" width="9.140625" style="1"/>
    <col min="3584" max="3584" width="13.42578125" style="1" customWidth="1"/>
    <col min="3585" max="3585" width="9.140625" style="1"/>
    <col min="3586" max="3586" width="11.28515625" style="1" customWidth="1"/>
    <col min="3587" max="3587" width="13.42578125" style="1" customWidth="1"/>
    <col min="3588" max="3588" width="9.140625" style="1" customWidth="1"/>
    <col min="3589" max="3589" width="11.28515625" style="1" customWidth="1"/>
    <col min="3590" max="3592" width="9.140625" style="1" customWidth="1"/>
    <col min="3593" max="3834" width="9.140625" style="1"/>
    <col min="3835" max="3835" width="6" style="1" customWidth="1"/>
    <col min="3836" max="3839" width="9.140625" style="1"/>
    <col min="3840" max="3840" width="13.42578125" style="1" customWidth="1"/>
    <col min="3841" max="3841" width="9.140625" style="1"/>
    <col min="3842" max="3842" width="11.28515625" style="1" customWidth="1"/>
    <col min="3843" max="3843" width="13.42578125" style="1" customWidth="1"/>
    <col min="3844" max="3844" width="9.140625" style="1" customWidth="1"/>
    <col min="3845" max="3845" width="11.28515625" style="1" customWidth="1"/>
    <col min="3846" max="3848" width="9.140625" style="1" customWidth="1"/>
    <col min="3849" max="4090" width="9.140625" style="1"/>
    <col min="4091" max="4091" width="6" style="1" customWidth="1"/>
    <col min="4092" max="4095" width="9.140625" style="1"/>
    <col min="4096" max="4096" width="13.42578125" style="1" customWidth="1"/>
    <col min="4097" max="4097" width="9.140625" style="1"/>
    <col min="4098" max="4098" width="11.28515625" style="1" customWidth="1"/>
    <col min="4099" max="4099" width="13.42578125" style="1" customWidth="1"/>
    <col min="4100" max="4100" width="9.140625" style="1" customWidth="1"/>
    <col min="4101" max="4101" width="11.28515625" style="1" customWidth="1"/>
    <col min="4102" max="4104" width="9.140625" style="1" customWidth="1"/>
    <col min="4105" max="4346" width="9.140625" style="1"/>
    <col min="4347" max="4347" width="6" style="1" customWidth="1"/>
    <col min="4348" max="4351" width="9.140625" style="1"/>
    <col min="4352" max="4352" width="13.42578125" style="1" customWidth="1"/>
    <col min="4353" max="4353" width="9.140625" style="1"/>
    <col min="4354" max="4354" width="11.28515625" style="1" customWidth="1"/>
    <col min="4355" max="4355" width="13.42578125" style="1" customWidth="1"/>
    <col min="4356" max="4356" width="9.140625" style="1" customWidth="1"/>
    <col min="4357" max="4357" width="11.28515625" style="1" customWidth="1"/>
    <col min="4358" max="4360" width="9.140625" style="1" customWidth="1"/>
    <col min="4361" max="4602" width="9.140625" style="1"/>
    <col min="4603" max="4603" width="6" style="1" customWidth="1"/>
    <col min="4604" max="4607" width="9.140625" style="1"/>
    <col min="4608" max="4608" width="13.42578125" style="1" customWidth="1"/>
    <col min="4609" max="4609" width="9.140625" style="1"/>
    <col min="4610" max="4610" width="11.28515625" style="1" customWidth="1"/>
    <col min="4611" max="4611" width="13.42578125" style="1" customWidth="1"/>
    <col min="4612" max="4612" width="9.140625" style="1" customWidth="1"/>
    <col min="4613" max="4613" width="11.28515625" style="1" customWidth="1"/>
    <col min="4614" max="4616" width="9.140625" style="1" customWidth="1"/>
    <col min="4617" max="4858" width="9.140625" style="1"/>
    <col min="4859" max="4859" width="6" style="1" customWidth="1"/>
    <col min="4860" max="4863" width="9.140625" style="1"/>
    <col min="4864" max="4864" width="13.42578125" style="1" customWidth="1"/>
    <col min="4865" max="4865" width="9.140625" style="1"/>
    <col min="4866" max="4866" width="11.28515625" style="1" customWidth="1"/>
    <col min="4867" max="4867" width="13.42578125" style="1" customWidth="1"/>
    <col min="4868" max="4868" width="9.140625" style="1" customWidth="1"/>
    <col min="4869" max="4869" width="11.28515625" style="1" customWidth="1"/>
    <col min="4870" max="4872" width="9.140625" style="1" customWidth="1"/>
    <col min="4873" max="5114" width="9.140625" style="1"/>
    <col min="5115" max="5115" width="6" style="1" customWidth="1"/>
    <col min="5116" max="5119" width="9.140625" style="1"/>
    <col min="5120" max="5120" width="13.42578125" style="1" customWidth="1"/>
    <col min="5121" max="5121" width="9.140625" style="1"/>
    <col min="5122" max="5122" width="11.28515625" style="1" customWidth="1"/>
    <col min="5123" max="5123" width="13.42578125" style="1" customWidth="1"/>
    <col min="5124" max="5124" width="9.140625" style="1" customWidth="1"/>
    <col min="5125" max="5125" width="11.28515625" style="1" customWidth="1"/>
    <col min="5126" max="5128" width="9.140625" style="1" customWidth="1"/>
    <col min="5129" max="5370" width="9.140625" style="1"/>
    <col min="5371" max="5371" width="6" style="1" customWidth="1"/>
    <col min="5372" max="5375" width="9.140625" style="1"/>
    <col min="5376" max="5376" width="13.42578125" style="1" customWidth="1"/>
    <col min="5377" max="5377" width="9.140625" style="1"/>
    <col min="5378" max="5378" width="11.28515625" style="1" customWidth="1"/>
    <col min="5379" max="5379" width="13.42578125" style="1" customWidth="1"/>
    <col min="5380" max="5380" width="9.140625" style="1" customWidth="1"/>
    <col min="5381" max="5381" width="11.28515625" style="1" customWidth="1"/>
    <col min="5382" max="5384" width="9.140625" style="1" customWidth="1"/>
    <col min="5385" max="5626" width="9.140625" style="1"/>
    <col min="5627" max="5627" width="6" style="1" customWidth="1"/>
    <col min="5628" max="5631" width="9.140625" style="1"/>
    <col min="5632" max="5632" width="13.42578125" style="1" customWidth="1"/>
    <col min="5633" max="5633" width="9.140625" style="1"/>
    <col min="5634" max="5634" width="11.28515625" style="1" customWidth="1"/>
    <col min="5635" max="5635" width="13.42578125" style="1" customWidth="1"/>
    <col min="5636" max="5636" width="9.140625" style="1" customWidth="1"/>
    <col min="5637" max="5637" width="11.28515625" style="1" customWidth="1"/>
    <col min="5638" max="5640" width="9.140625" style="1" customWidth="1"/>
    <col min="5641" max="5882" width="9.140625" style="1"/>
    <col min="5883" max="5883" width="6" style="1" customWidth="1"/>
    <col min="5884" max="5887" width="9.140625" style="1"/>
    <col min="5888" max="5888" width="13.42578125" style="1" customWidth="1"/>
    <col min="5889" max="5889" width="9.140625" style="1"/>
    <col min="5890" max="5890" width="11.28515625" style="1" customWidth="1"/>
    <col min="5891" max="5891" width="13.42578125" style="1" customWidth="1"/>
    <col min="5892" max="5892" width="9.140625" style="1" customWidth="1"/>
    <col min="5893" max="5893" width="11.28515625" style="1" customWidth="1"/>
    <col min="5894" max="5896" width="9.140625" style="1" customWidth="1"/>
    <col min="5897" max="6138" width="9.140625" style="1"/>
    <col min="6139" max="6139" width="6" style="1" customWidth="1"/>
    <col min="6140" max="6143" width="9.140625" style="1"/>
    <col min="6144" max="6144" width="13.42578125" style="1" customWidth="1"/>
    <col min="6145" max="6145" width="9.140625" style="1"/>
    <col min="6146" max="6146" width="11.28515625" style="1" customWidth="1"/>
    <col min="6147" max="6147" width="13.42578125" style="1" customWidth="1"/>
    <col min="6148" max="6148" width="9.140625" style="1" customWidth="1"/>
    <col min="6149" max="6149" width="11.28515625" style="1" customWidth="1"/>
    <col min="6150" max="6152" width="9.140625" style="1" customWidth="1"/>
    <col min="6153" max="6394" width="9.140625" style="1"/>
    <col min="6395" max="6395" width="6" style="1" customWidth="1"/>
    <col min="6396" max="6399" width="9.140625" style="1"/>
    <col min="6400" max="6400" width="13.42578125" style="1" customWidth="1"/>
    <col min="6401" max="6401" width="9.140625" style="1"/>
    <col min="6402" max="6402" width="11.28515625" style="1" customWidth="1"/>
    <col min="6403" max="6403" width="13.42578125" style="1" customWidth="1"/>
    <col min="6404" max="6404" width="9.140625" style="1" customWidth="1"/>
    <col min="6405" max="6405" width="11.28515625" style="1" customWidth="1"/>
    <col min="6406" max="6408" width="9.140625" style="1" customWidth="1"/>
    <col min="6409" max="6650" width="9.140625" style="1"/>
    <col min="6651" max="6651" width="6" style="1" customWidth="1"/>
    <col min="6652" max="6655" width="9.140625" style="1"/>
    <col min="6656" max="6656" width="13.42578125" style="1" customWidth="1"/>
    <col min="6657" max="6657" width="9.140625" style="1"/>
    <col min="6658" max="6658" width="11.28515625" style="1" customWidth="1"/>
    <col min="6659" max="6659" width="13.42578125" style="1" customWidth="1"/>
    <col min="6660" max="6660" width="9.140625" style="1" customWidth="1"/>
    <col min="6661" max="6661" width="11.28515625" style="1" customWidth="1"/>
    <col min="6662" max="6664" width="9.140625" style="1" customWidth="1"/>
    <col min="6665" max="6906" width="9.140625" style="1"/>
    <col min="6907" max="6907" width="6" style="1" customWidth="1"/>
    <col min="6908" max="6911" width="9.140625" style="1"/>
    <col min="6912" max="6912" width="13.42578125" style="1" customWidth="1"/>
    <col min="6913" max="6913" width="9.140625" style="1"/>
    <col min="6914" max="6914" width="11.28515625" style="1" customWidth="1"/>
    <col min="6915" max="6915" width="13.42578125" style="1" customWidth="1"/>
    <col min="6916" max="6916" width="9.140625" style="1" customWidth="1"/>
    <col min="6917" max="6917" width="11.28515625" style="1" customWidth="1"/>
    <col min="6918" max="6920" width="9.140625" style="1" customWidth="1"/>
    <col min="6921" max="7162" width="9.140625" style="1"/>
    <col min="7163" max="7163" width="6" style="1" customWidth="1"/>
    <col min="7164" max="7167" width="9.140625" style="1"/>
    <col min="7168" max="7168" width="13.42578125" style="1" customWidth="1"/>
    <col min="7169" max="7169" width="9.140625" style="1"/>
    <col min="7170" max="7170" width="11.28515625" style="1" customWidth="1"/>
    <col min="7171" max="7171" width="13.42578125" style="1" customWidth="1"/>
    <col min="7172" max="7172" width="9.140625" style="1" customWidth="1"/>
    <col min="7173" max="7173" width="11.28515625" style="1" customWidth="1"/>
    <col min="7174" max="7176" width="9.140625" style="1" customWidth="1"/>
    <col min="7177" max="7418" width="9.140625" style="1"/>
    <col min="7419" max="7419" width="6" style="1" customWidth="1"/>
    <col min="7420" max="7423" width="9.140625" style="1"/>
    <col min="7424" max="7424" width="13.42578125" style="1" customWidth="1"/>
    <col min="7425" max="7425" width="9.140625" style="1"/>
    <col min="7426" max="7426" width="11.28515625" style="1" customWidth="1"/>
    <col min="7427" max="7427" width="13.42578125" style="1" customWidth="1"/>
    <col min="7428" max="7428" width="9.140625" style="1" customWidth="1"/>
    <col min="7429" max="7429" width="11.28515625" style="1" customWidth="1"/>
    <col min="7430" max="7432" width="9.140625" style="1" customWidth="1"/>
    <col min="7433" max="7674" width="9.140625" style="1"/>
    <col min="7675" max="7675" width="6" style="1" customWidth="1"/>
    <col min="7676" max="7679" width="9.140625" style="1"/>
    <col min="7680" max="7680" width="13.42578125" style="1" customWidth="1"/>
    <col min="7681" max="7681" width="9.140625" style="1"/>
    <col min="7682" max="7682" width="11.28515625" style="1" customWidth="1"/>
    <col min="7683" max="7683" width="13.42578125" style="1" customWidth="1"/>
    <col min="7684" max="7684" width="9.140625" style="1" customWidth="1"/>
    <col min="7685" max="7685" width="11.28515625" style="1" customWidth="1"/>
    <col min="7686" max="7688" width="9.140625" style="1" customWidth="1"/>
    <col min="7689" max="7930" width="9.140625" style="1"/>
    <col min="7931" max="7931" width="6" style="1" customWidth="1"/>
    <col min="7932" max="7935" width="9.140625" style="1"/>
    <col min="7936" max="7936" width="13.42578125" style="1" customWidth="1"/>
    <col min="7937" max="7937" width="9.140625" style="1"/>
    <col min="7938" max="7938" width="11.28515625" style="1" customWidth="1"/>
    <col min="7939" max="7939" width="13.42578125" style="1" customWidth="1"/>
    <col min="7940" max="7940" width="9.140625" style="1" customWidth="1"/>
    <col min="7941" max="7941" width="11.28515625" style="1" customWidth="1"/>
    <col min="7942" max="7944" width="9.140625" style="1" customWidth="1"/>
    <col min="7945" max="8186" width="9.140625" style="1"/>
    <col min="8187" max="8187" width="6" style="1" customWidth="1"/>
    <col min="8188" max="8191" width="9.140625" style="1"/>
    <col min="8192" max="8192" width="13.42578125" style="1" customWidth="1"/>
    <col min="8193" max="8193" width="9.140625" style="1"/>
    <col min="8194" max="8194" width="11.28515625" style="1" customWidth="1"/>
    <col min="8195" max="8195" width="13.42578125" style="1" customWidth="1"/>
    <col min="8196" max="8196" width="9.140625" style="1" customWidth="1"/>
    <col min="8197" max="8197" width="11.28515625" style="1" customWidth="1"/>
    <col min="8198" max="8200" width="9.140625" style="1" customWidth="1"/>
    <col min="8201" max="8442" width="9.140625" style="1"/>
    <col min="8443" max="8443" width="6" style="1" customWidth="1"/>
    <col min="8444" max="8447" width="9.140625" style="1"/>
    <col min="8448" max="8448" width="13.42578125" style="1" customWidth="1"/>
    <col min="8449" max="8449" width="9.140625" style="1"/>
    <col min="8450" max="8450" width="11.28515625" style="1" customWidth="1"/>
    <col min="8451" max="8451" width="13.42578125" style="1" customWidth="1"/>
    <col min="8452" max="8452" width="9.140625" style="1" customWidth="1"/>
    <col min="8453" max="8453" width="11.28515625" style="1" customWidth="1"/>
    <col min="8454" max="8456" width="9.140625" style="1" customWidth="1"/>
    <col min="8457" max="8698" width="9.140625" style="1"/>
    <col min="8699" max="8699" width="6" style="1" customWidth="1"/>
    <col min="8700" max="8703" width="9.140625" style="1"/>
    <col min="8704" max="8704" width="13.42578125" style="1" customWidth="1"/>
    <col min="8705" max="8705" width="9.140625" style="1"/>
    <col min="8706" max="8706" width="11.28515625" style="1" customWidth="1"/>
    <col min="8707" max="8707" width="13.42578125" style="1" customWidth="1"/>
    <col min="8708" max="8708" width="9.140625" style="1" customWidth="1"/>
    <col min="8709" max="8709" width="11.28515625" style="1" customWidth="1"/>
    <col min="8710" max="8712" width="9.140625" style="1" customWidth="1"/>
    <col min="8713" max="8954" width="9.140625" style="1"/>
    <col min="8955" max="8955" width="6" style="1" customWidth="1"/>
    <col min="8956" max="8959" width="9.140625" style="1"/>
    <col min="8960" max="8960" width="13.42578125" style="1" customWidth="1"/>
    <col min="8961" max="8961" width="9.140625" style="1"/>
    <col min="8962" max="8962" width="11.28515625" style="1" customWidth="1"/>
    <col min="8963" max="8963" width="13.42578125" style="1" customWidth="1"/>
    <col min="8964" max="8964" width="9.140625" style="1" customWidth="1"/>
    <col min="8965" max="8965" width="11.28515625" style="1" customWidth="1"/>
    <col min="8966" max="8968" width="9.140625" style="1" customWidth="1"/>
    <col min="8969" max="9210" width="9.140625" style="1"/>
    <col min="9211" max="9211" width="6" style="1" customWidth="1"/>
    <col min="9212" max="9215" width="9.140625" style="1"/>
    <col min="9216" max="9216" width="13.42578125" style="1" customWidth="1"/>
    <col min="9217" max="9217" width="9.140625" style="1"/>
    <col min="9218" max="9218" width="11.28515625" style="1" customWidth="1"/>
    <col min="9219" max="9219" width="13.42578125" style="1" customWidth="1"/>
    <col min="9220" max="9220" width="9.140625" style="1" customWidth="1"/>
    <col min="9221" max="9221" width="11.28515625" style="1" customWidth="1"/>
    <col min="9222" max="9224" width="9.140625" style="1" customWidth="1"/>
    <col min="9225" max="9466" width="9.140625" style="1"/>
    <col min="9467" max="9467" width="6" style="1" customWidth="1"/>
    <col min="9468" max="9471" width="9.140625" style="1"/>
    <col min="9472" max="9472" width="13.42578125" style="1" customWidth="1"/>
    <col min="9473" max="9473" width="9.140625" style="1"/>
    <col min="9474" max="9474" width="11.28515625" style="1" customWidth="1"/>
    <col min="9475" max="9475" width="13.42578125" style="1" customWidth="1"/>
    <col min="9476" max="9476" width="9.140625" style="1" customWidth="1"/>
    <col min="9477" max="9477" width="11.28515625" style="1" customWidth="1"/>
    <col min="9478" max="9480" width="9.140625" style="1" customWidth="1"/>
    <col min="9481" max="9722" width="9.140625" style="1"/>
    <col min="9723" max="9723" width="6" style="1" customWidth="1"/>
    <col min="9724" max="9727" width="9.140625" style="1"/>
    <col min="9728" max="9728" width="13.42578125" style="1" customWidth="1"/>
    <col min="9729" max="9729" width="9.140625" style="1"/>
    <col min="9730" max="9730" width="11.28515625" style="1" customWidth="1"/>
    <col min="9731" max="9731" width="13.42578125" style="1" customWidth="1"/>
    <col min="9732" max="9732" width="9.140625" style="1" customWidth="1"/>
    <col min="9733" max="9733" width="11.28515625" style="1" customWidth="1"/>
    <col min="9734" max="9736" width="9.140625" style="1" customWidth="1"/>
    <col min="9737" max="9978" width="9.140625" style="1"/>
    <col min="9979" max="9979" width="6" style="1" customWidth="1"/>
    <col min="9980" max="9983" width="9.140625" style="1"/>
    <col min="9984" max="9984" width="13.42578125" style="1" customWidth="1"/>
    <col min="9985" max="9985" width="9.140625" style="1"/>
    <col min="9986" max="9986" width="11.28515625" style="1" customWidth="1"/>
    <col min="9987" max="9987" width="13.42578125" style="1" customWidth="1"/>
    <col min="9988" max="9988" width="9.140625" style="1" customWidth="1"/>
    <col min="9989" max="9989" width="11.28515625" style="1" customWidth="1"/>
    <col min="9990" max="9992" width="9.140625" style="1" customWidth="1"/>
    <col min="9993" max="10234" width="9.140625" style="1"/>
    <col min="10235" max="10235" width="6" style="1" customWidth="1"/>
    <col min="10236" max="10239" width="9.140625" style="1"/>
    <col min="10240" max="10240" width="13.42578125" style="1" customWidth="1"/>
    <col min="10241" max="10241" width="9.140625" style="1"/>
    <col min="10242" max="10242" width="11.28515625" style="1" customWidth="1"/>
    <col min="10243" max="10243" width="13.42578125" style="1" customWidth="1"/>
    <col min="10244" max="10244" width="9.140625" style="1" customWidth="1"/>
    <col min="10245" max="10245" width="11.28515625" style="1" customWidth="1"/>
    <col min="10246" max="10248" width="9.140625" style="1" customWidth="1"/>
    <col min="10249" max="10490" width="9.140625" style="1"/>
    <col min="10491" max="10491" width="6" style="1" customWidth="1"/>
    <col min="10492" max="10495" width="9.140625" style="1"/>
    <col min="10496" max="10496" width="13.42578125" style="1" customWidth="1"/>
    <col min="10497" max="10497" width="9.140625" style="1"/>
    <col min="10498" max="10498" width="11.28515625" style="1" customWidth="1"/>
    <col min="10499" max="10499" width="13.42578125" style="1" customWidth="1"/>
    <col min="10500" max="10500" width="9.140625" style="1" customWidth="1"/>
    <col min="10501" max="10501" width="11.28515625" style="1" customWidth="1"/>
    <col min="10502" max="10504" width="9.140625" style="1" customWidth="1"/>
    <col min="10505" max="10746" width="9.140625" style="1"/>
    <col min="10747" max="10747" width="6" style="1" customWidth="1"/>
    <col min="10748" max="10751" width="9.140625" style="1"/>
    <col min="10752" max="10752" width="13.42578125" style="1" customWidth="1"/>
    <col min="10753" max="10753" width="9.140625" style="1"/>
    <col min="10754" max="10754" width="11.28515625" style="1" customWidth="1"/>
    <col min="10755" max="10755" width="13.42578125" style="1" customWidth="1"/>
    <col min="10756" max="10756" width="9.140625" style="1" customWidth="1"/>
    <col min="10757" max="10757" width="11.28515625" style="1" customWidth="1"/>
    <col min="10758" max="10760" width="9.140625" style="1" customWidth="1"/>
    <col min="10761" max="11002" width="9.140625" style="1"/>
    <col min="11003" max="11003" width="6" style="1" customWidth="1"/>
    <col min="11004" max="11007" width="9.140625" style="1"/>
    <col min="11008" max="11008" width="13.42578125" style="1" customWidth="1"/>
    <col min="11009" max="11009" width="9.140625" style="1"/>
    <col min="11010" max="11010" width="11.28515625" style="1" customWidth="1"/>
    <col min="11011" max="11011" width="13.42578125" style="1" customWidth="1"/>
    <col min="11012" max="11012" width="9.140625" style="1" customWidth="1"/>
    <col min="11013" max="11013" width="11.28515625" style="1" customWidth="1"/>
    <col min="11014" max="11016" width="9.140625" style="1" customWidth="1"/>
    <col min="11017" max="11258" width="9.140625" style="1"/>
    <col min="11259" max="11259" width="6" style="1" customWidth="1"/>
    <col min="11260" max="11263" width="9.140625" style="1"/>
    <col min="11264" max="11264" width="13.42578125" style="1" customWidth="1"/>
    <col min="11265" max="11265" width="9.140625" style="1"/>
    <col min="11266" max="11266" width="11.28515625" style="1" customWidth="1"/>
    <col min="11267" max="11267" width="13.42578125" style="1" customWidth="1"/>
    <col min="11268" max="11268" width="9.140625" style="1" customWidth="1"/>
    <col min="11269" max="11269" width="11.28515625" style="1" customWidth="1"/>
    <col min="11270" max="11272" width="9.140625" style="1" customWidth="1"/>
    <col min="11273" max="11514" width="9.140625" style="1"/>
    <col min="11515" max="11515" width="6" style="1" customWidth="1"/>
    <col min="11516" max="11519" width="9.140625" style="1"/>
    <col min="11520" max="11520" width="13.42578125" style="1" customWidth="1"/>
    <col min="11521" max="11521" width="9.140625" style="1"/>
    <col min="11522" max="11522" width="11.28515625" style="1" customWidth="1"/>
    <col min="11523" max="11523" width="13.42578125" style="1" customWidth="1"/>
    <col min="11524" max="11524" width="9.140625" style="1" customWidth="1"/>
    <col min="11525" max="11525" width="11.28515625" style="1" customWidth="1"/>
    <col min="11526" max="11528" width="9.140625" style="1" customWidth="1"/>
    <col min="11529" max="11770" width="9.140625" style="1"/>
    <col min="11771" max="11771" width="6" style="1" customWidth="1"/>
    <col min="11772" max="11775" width="9.140625" style="1"/>
    <col min="11776" max="11776" width="13.42578125" style="1" customWidth="1"/>
    <col min="11777" max="11777" width="9.140625" style="1"/>
    <col min="11778" max="11778" width="11.28515625" style="1" customWidth="1"/>
    <col min="11779" max="11779" width="13.42578125" style="1" customWidth="1"/>
    <col min="11780" max="11780" width="9.140625" style="1" customWidth="1"/>
    <col min="11781" max="11781" width="11.28515625" style="1" customWidth="1"/>
    <col min="11782" max="11784" width="9.140625" style="1" customWidth="1"/>
    <col min="11785" max="12026" width="9.140625" style="1"/>
    <col min="12027" max="12027" width="6" style="1" customWidth="1"/>
    <col min="12028" max="12031" width="9.140625" style="1"/>
    <col min="12032" max="12032" width="13.42578125" style="1" customWidth="1"/>
    <col min="12033" max="12033" width="9.140625" style="1"/>
    <col min="12034" max="12034" width="11.28515625" style="1" customWidth="1"/>
    <col min="12035" max="12035" width="13.42578125" style="1" customWidth="1"/>
    <col min="12036" max="12036" width="9.140625" style="1" customWidth="1"/>
    <col min="12037" max="12037" width="11.28515625" style="1" customWidth="1"/>
    <col min="12038" max="12040" width="9.140625" style="1" customWidth="1"/>
    <col min="12041" max="12282" width="9.140625" style="1"/>
    <col min="12283" max="12283" width="6" style="1" customWidth="1"/>
    <col min="12284" max="12287" width="9.140625" style="1"/>
    <col min="12288" max="12288" width="13.42578125" style="1" customWidth="1"/>
    <col min="12289" max="12289" width="9.140625" style="1"/>
    <col min="12290" max="12290" width="11.28515625" style="1" customWidth="1"/>
    <col min="12291" max="12291" width="13.42578125" style="1" customWidth="1"/>
    <col min="12292" max="12292" width="9.140625" style="1" customWidth="1"/>
    <col min="12293" max="12293" width="11.28515625" style="1" customWidth="1"/>
    <col min="12294" max="12296" width="9.140625" style="1" customWidth="1"/>
    <col min="12297" max="12538" width="9.140625" style="1"/>
    <col min="12539" max="12539" width="6" style="1" customWidth="1"/>
    <col min="12540" max="12543" width="9.140625" style="1"/>
    <col min="12544" max="12544" width="13.42578125" style="1" customWidth="1"/>
    <col min="12545" max="12545" width="9.140625" style="1"/>
    <col min="12546" max="12546" width="11.28515625" style="1" customWidth="1"/>
    <col min="12547" max="12547" width="13.42578125" style="1" customWidth="1"/>
    <col min="12548" max="12548" width="9.140625" style="1" customWidth="1"/>
    <col min="12549" max="12549" width="11.28515625" style="1" customWidth="1"/>
    <col min="12550" max="12552" width="9.140625" style="1" customWidth="1"/>
    <col min="12553" max="12794" width="9.140625" style="1"/>
    <col min="12795" max="12795" width="6" style="1" customWidth="1"/>
    <col min="12796" max="12799" width="9.140625" style="1"/>
    <col min="12800" max="12800" width="13.42578125" style="1" customWidth="1"/>
    <col min="12801" max="12801" width="9.140625" style="1"/>
    <col min="12802" max="12802" width="11.28515625" style="1" customWidth="1"/>
    <col min="12803" max="12803" width="13.42578125" style="1" customWidth="1"/>
    <col min="12804" max="12804" width="9.140625" style="1" customWidth="1"/>
    <col min="12805" max="12805" width="11.28515625" style="1" customWidth="1"/>
    <col min="12806" max="12808" width="9.140625" style="1" customWidth="1"/>
    <col min="12809" max="13050" width="9.140625" style="1"/>
    <col min="13051" max="13051" width="6" style="1" customWidth="1"/>
    <col min="13052" max="13055" width="9.140625" style="1"/>
    <col min="13056" max="13056" width="13.42578125" style="1" customWidth="1"/>
    <col min="13057" max="13057" width="9.140625" style="1"/>
    <col min="13058" max="13058" width="11.28515625" style="1" customWidth="1"/>
    <col min="13059" max="13059" width="13.42578125" style="1" customWidth="1"/>
    <col min="13060" max="13060" width="9.140625" style="1" customWidth="1"/>
    <col min="13061" max="13061" width="11.28515625" style="1" customWidth="1"/>
    <col min="13062" max="13064" width="9.140625" style="1" customWidth="1"/>
    <col min="13065" max="13306" width="9.140625" style="1"/>
    <col min="13307" max="13307" width="6" style="1" customWidth="1"/>
    <col min="13308" max="13311" width="9.140625" style="1"/>
    <col min="13312" max="13312" width="13.42578125" style="1" customWidth="1"/>
    <col min="13313" max="13313" width="9.140625" style="1"/>
    <col min="13314" max="13314" width="11.28515625" style="1" customWidth="1"/>
    <col min="13315" max="13315" width="13.42578125" style="1" customWidth="1"/>
    <col min="13316" max="13316" width="9.140625" style="1" customWidth="1"/>
    <col min="13317" max="13317" width="11.28515625" style="1" customWidth="1"/>
    <col min="13318" max="13320" width="9.140625" style="1" customWidth="1"/>
    <col min="13321" max="13562" width="9.140625" style="1"/>
    <col min="13563" max="13563" width="6" style="1" customWidth="1"/>
    <col min="13564" max="13567" width="9.140625" style="1"/>
    <col min="13568" max="13568" width="13.42578125" style="1" customWidth="1"/>
    <col min="13569" max="13569" width="9.140625" style="1"/>
    <col min="13570" max="13570" width="11.28515625" style="1" customWidth="1"/>
    <col min="13571" max="13571" width="13.42578125" style="1" customWidth="1"/>
    <col min="13572" max="13572" width="9.140625" style="1" customWidth="1"/>
    <col min="13573" max="13573" width="11.28515625" style="1" customWidth="1"/>
    <col min="13574" max="13576" width="9.140625" style="1" customWidth="1"/>
    <col min="13577" max="13818" width="9.140625" style="1"/>
    <col min="13819" max="13819" width="6" style="1" customWidth="1"/>
    <col min="13820" max="13823" width="9.140625" style="1"/>
    <col min="13824" max="13824" width="13.42578125" style="1" customWidth="1"/>
    <col min="13825" max="13825" width="9.140625" style="1"/>
    <col min="13826" max="13826" width="11.28515625" style="1" customWidth="1"/>
    <col min="13827" max="13827" width="13.42578125" style="1" customWidth="1"/>
    <col min="13828" max="13828" width="9.140625" style="1" customWidth="1"/>
    <col min="13829" max="13829" width="11.28515625" style="1" customWidth="1"/>
    <col min="13830" max="13832" width="9.140625" style="1" customWidth="1"/>
    <col min="13833" max="14074" width="9.140625" style="1"/>
    <col min="14075" max="14075" width="6" style="1" customWidth="1"/>
    <col min="14076" max="14079" width="9.140625" style="1"/>
    <col min="14080" max="14080" width="13.42578125" style="1" customWidth="1"/>
    <col min="14081" max="14081" width="9.140625" style="1"/>
    <col min="14082" max="14082" width="11.28515625" style="1" customWidth="1"/>
    <col min="14083" max="14083" width="13.42578125" style="1" customWidth="1"/>
    <col min="14084" max="14084" width="9.140625" style="1" customWidth="1"/>
    <col min="14085" max="14085" width="11.28515625" style="1" customWidth="1"/>
    <col min="14086" max="14088" width="9.140625" style="1" customWidth="1"/>
    <col min="14089" max="14330" width="9.140625" style="1"/>
    <col min="14331" max="14331" width="6" style="1" customWidth="1"/>
    <col min="14332" max="14335" width="9.140625" style="1"/>
    <col min="14336" max="14336" width="13.42578125" style="1" customWidth="1"/>
    <col min="14337" max="14337" width="9.140625" style="1"/>
    <col min="14338" max="14338" width="11.28515625" style="1" customWidth="1"/>
    <col min="14339" max="14339" width="13.42578125" style="1" customWidth="1"/>
    <col min="14340" max="14340" width="9.140625" style="1" customWidth="1"/>
    <col min="14341" max="14341" width="11.28515625" style="1" customWidth="1"/>
    <col min="14342" max="14344" width="9.140625" style="1" customWidth="1"/>
    <col min="14345" max="14586" width="9.140625" style="1"/>
    <col min="14587" max="14587" width="6" style="1" customWidth="1"/>
    <col min="14588" max="14591" width="9.140625" style="1"/>
    <col min="14592" max="14592" width="13.42578125" style="1" customWidth="1"/>
    <col min="14593" max="14593" width="9.140625" style="1"/>
    <col min="14594" max="14594" width="11.28515625" style="1" customWidth="1"/>
    <col min="14595" max="14595" width="13.42578125" style="1" customWidth="1"/>
    <col min="14596" max="14596" width="9.140625" style="1" customWidth="1"/>
    <col min="14597" max="14597" width="11.28515625" style="1" customWidth="1"/>
    <col min="14598" max="14600" width="9.140625" style="1" customWidth="1"/>
    <col min="14601" max="14842" width="9.140625" style="1"/>
    <col min="14843" max="14843" width="6" style="1" customWidth="1"/>
    <col min="14844" max="14847" width="9.140625" style="1"/>
    <col min="14848" max="14848" width="13.42578125" style="1" customWidth="1"/>
    <col min="14849" max="14849" width="9.140625" style="1"/>
    <col min="14850" max="14850" width="11.28515625" style="1" customWidth="1"/>
    <col min="14851" max="14851" width="13.42578125" style="1" customWidth="1"/>
    <col min="14852" max="14852" width="9.140625" style="1" customWidth="1"/>
    <col min="14853" max="14853" width="11.28515625" style="1" customWidth="1"/>
    <col min="14854" max="14856" width="9.140625" style="1" customWidth="1"/>
    <col min="14857" max="15098" width="9.140625" style="1"/>
    <col min="15099" max="15099" width="6" style="1" customWidth="1"/>
    <col min="15100" max="15103" width="9.140625" style="1"/>
    <col min="15104" max="15104" width="13.42578125" style="1" customWidth="1"/>
    <col min="15105" max="15105" width="9.140625" style="1"/>
    <col min="15106" max="15106" width="11.28515625" style="1" customWidth="1"/>
    <col min="15107" max="15107" width="13.42578125" style="1" customWidth="1"/>
    <col min="15108" max="15108" width="9.140625" style="1" customWidth="1"/>
    <col min="15109" max="15109" width="11.28515625" style="1" customWidth="1"/>
    <col min="15110" max="15112" width="9.140625" style="1" customWidth="1"/>
    <col min="15113" max="15354" width="9.140625" style="1"/>
    <col min="15355" max="15355" width="6" style="1" customWidth="1"/>
    <col min="15356" max="15359" width="9.140625" style="1"/>
    <col min="15360" max="15360" width="13.42578125" style="1" customWidth="1"/>
    <col min="15361" max="15361" width="9.140625" style="1"/>
    <col min="15362" max="15362" width="11.28515625" style="1" customWidth="1"/>
    <col min="15363" max="15363" width="13.42578125" style="1" customWidth="1"/>
    <col min="15364" max="15364" width="9.140625" style="1" customWidth="1"/>
    <col min="15365" max="15365" width="11.28515625" style="1" customWidth="1"/>
    <col min="15366" max="15368" width="9.140625" style="1" customWidth="1"/>
    <col min="15369" max="15610" width="9.140625" style="1"/>
    <col min="15611" max="15611" width="6" style="1" customWidth="1"/>
    <col min="15612" max="15615" width="9.140625" style="1"/>
    <col min="15616" max="15616" width="13.42578125" style="1" customWidth="1"/>
    <col min="15617" max="15617" width="9.140625" style="1"/>
    <col min="15618" max="15618" width="11.28515625" style="1" customWidth="1"/>
    <col min="15619" max="15619" width="13.42578125" style="1" customWidth="1"/>
    <col min="15620" max="15620" width="9.140625" style="1" customWidth="1"/>
    <col min="15621" max="15621" width="11.28515625" style="1" customWidth="1"/>
    <col min="15622" max="15624" width="9.140625" style="1" customWidth="1"/>
    <col min="15625" max="15866" width="9.140625" style="1"/>
    <col min="15867" max="15867" width="6" style="1" customWidth="1"/>
    <col min="15868" max="15871" width="9.140625" style="1"/>
    <col min="15872" max="15872" width="13.42578125" style="1" customWidth="1"/>
    <col min="15873" max="15873" width="9.140625" style="1"/>
    <col min="15874" max="15874" width="11.28515625" style="1" customWidth="1"/>
    <col min="15875" max="15875" width="13.42578125" style="1" customWidth="1"/>
    <col min="15876" max="15876" width="9.140625" style="1" customWidth="1"/>
    <col min="15877" max="15877" width="11.28515625" style="1" customWidth="1"/>
    <col min="15878" max="15880" width="9.140625" style="1" customWidth="1"/>
    <col min="15881" max="16122" width="9.140625" style="1"/>
    <col min="16123" max="16123" width="6" style="1" customWidth="1"/>
    <col min="16124" max="16127" width="9.140625" style="1"/>
    <col min="16128" max="16128" width="13.42578125" style="1" customWidth="1"/>
    <col min="16129" max="16129" width="9.140625" style="1"/>
    <col min="16130" max="16130" width="11.28515625" style="1" customWidth="1"/>
    <col min="16131" max="16131" width="13.42578125" style="1" customWidth="1"/>
    <col min="16132" max="16132" width="9.140625" style="1" customWidth="1"/>
    <col min="16133" max="16133" width="11.28515625" style="1" customWidth="1"/>
    <col min="16134" max="16136" width="9.140625" style="1" customWidth="1"/>
    <col min="16137" max="16384" width="9.140625" style="1"/>
  </cols>
  <sheetData>
    <row r="2" spans="1:14" x14ac:dyDescent="0.25">
      <c r="B2" s="312" t="s">
        <v>0</v>
      </c>
      <c r="C2" s="313"/>
      <c r="D2" s="313"/>
      <c r="E2" s="313"/>
      <c r="G2" s="214"/>
    </row>
    <row r="3" spans="1:14" ht="15.75" thickBot="1" x14ac:dyDescent="0.3">
      <c r="B3" s="313"/>
      <c r="C3" s="313"/>
      <c r="D3" s="313"/>
      <c r="E3" s="313"/>
      <c r="H3" s="2"/>
    </row>
    <row r="4" spans="1:14" ht="37.5" customHeight="1" thickBot="1" x14ac:dyDescent="0.25">
      <c r="B4" s="314" t="s">
        <v>177</v>
      </c>
      <c r="C4" s="434" t="s">
        <v>203</v>
      </c>
      <c r="D4" s="435"/>
      <c r="E4" s="436"/>
    </row>
    <row r="5" spans="1:14" ht="15.75" thickBot="1" x14ac:dyDescent="0.3">
      <c r="A5" s="3"/>
      <c r="B5" s="315"/>
      <c r="C5" s="313"/>
      <c r="D5" s="316"/>
      <c r="E5" s="316"/>
      <c r="F5" s="3"/>
    </row>
    <row r="6" spans="1:14" ht="15.75" thickBot="1" x14ac:dyDescent="0.3">
      <c r="B6" s="317" t="s">
        <v>1</v>
      </c>
      <c r="C6" s="437" t="s">
        <v>204</v>
      </c>
      <c r="D6" s="437"/>
      <c r="E6" s="438"/>
      <c r="G6" s="1"/>
    </row>
    <row r="7" spans="1:14" x14ac:dyDescent="0.25">
      <c r="B7" s="318" t="s">
        <v>158</v>
      </c>
      <c r="C7" s="437" t="s">
        <v>205</v>
      </c>
      <c r="D7" s="437"/>
      <c r="E7" s="438"/>
      <c r="G7" s="1"/>
    </row>
    <row r="8" spans="1:14" x14ac:dyDescent="0.25">
      <c r="B8" s="319" t="s">
        <v>176</v>
      </c>
      <c r="C8" s="444">
        <v>40</v>
      </c>
      <c r="D8" s="444"/>
      <c r="E8" s="445"/>
      <c r="G8" s="1"/>
    </row>
    <row r="9" spans="1:14" x14ac:dyDescent="0.2">
      <c r="B9" s="319" t="s">
        <v>2</v>
      </c>
      <c r="C9" s="439">
        <v>42270</v>
      </c>
      <c r="D9" s="440"/>
      <c r="E9" s="441"/>
      <c r="G9" s="1"/>
    </row>
    <row r="10" spans="1:14" ht="15.75" thickBot="1" x14ac:dyDescent="0.3">
      <c r="B10" s="320" t="s">
        <v>3</v>
      </c>
      <c r="C10" s="442">
        <v>25</v>
      </c>
      <c r="D10" s="442"/>
      <c r="E10" s="443"/>
      <c r="G10" s="1"/>
    </row>
    <row r="11" spans="1:14" ht="15.75" thickBot="1" x14ac:dyDescent="0.3">
      <c r="B11" s="315"/>
      <c r="C11" s="321"/>
      <c r="D11" s="321"/>
      <c r="E11" s="321"/>
      <c r="G11" s="1"/>
    </row>
    <row r="12" spans="1:14" ht="15.75" thickBot="1" x14ac:dyDescent="0.3">
      <c r="B12" s="313"/>
      <c r="C12" s="449" t="s">
        <v>211</v>
      </c>
      <c r="D12" s="450"/>
      <c r="E12" s="451"/>
      <c r="G12" s="1"/>
      <c r="H12" s="418" t="s">
        <v>210</v>
      </c>
    </row>
    <row r="13" spans="1:14" ht="15.75" thickBot="1" x14ac:dyDescent="0.3">
      <c r="B13" s="313"/>
      <c r="C13" s="446">
        <v>42095</v>
      </c>
      <c r="D13" s="447"/>
      <c r="E13" s="448"/>
      <c r="G13" s="1"/>
      <c r="H13" s="420">
        <v>42160</v>
      </c>
    </row>
    <row r="14" spans="1:14" ht="15.75" thickBot="1" x14ac:dyDescent="0.3">
      <c r="B14" s="313"/>
      <c r="C14" s="322"/>
      <c r="D14" s="322"/>
      <c r="E14" s="323" t="s">
        <v>80</v>
      </c>
      <c r="G14" s="1"/>
      <c r="J14" s="143"/>
      <c r="K14" s="143"/>
      <c r="L14" s="143"/>
      <c r="M14" s="143"/>
    </row>
    <row r="15" spans="1:14" ht="15.75" thickBot="1" x14ac:dyDescent="0.3">
      <c r="B15" s="324" t="s">
        <v>4</v>
      </c>
      <c r="C15" s="325" t="s">
        <v>5</v>
      </c>
      <c r="D15" s="326" t="s">
        <v>6</v>
      </c>
      <c r="E15" s="327" t="s">
        <v>7</v>
      </c>
      <c r="G15" s="1"/>
      <c r="I15" s="409"/>
      <c r="J15" s="143"/>
      <c r="K15" s="143"/>
      <c r="L15" s="143"/>
      <c r="M15" s="143"/>
      <c r="N15" s="143"/>
    </row>
    <row r="16" spans="1:14" ht="15.75" thickBot="1" x14ac:dyDescent="0.3">
      <c r="B16" s="328"/>
      <c r="C16" s="329"/>
      <c r="D16" s="329"/>
      <c r="E16" s="329"/>
      <c r="G16" s="1"/>
      <c r="J16" s="143"/>
      <c r="K16" s="143"/>
      <c r="L16" s="143"/>
      <c r="M16" s="143"/>
      <c r="N16" s="143"/>
    </row>
    <row r="17" spans="2:14" ht="15.75" thickBot="1" x14ac:dyDescent="0.3">
      <c r="B17" s="330" t="s">
        <v>188</v>
      </c>
      <c r="C17" s="331">
        <f>C8*75</f>
        <v>3000</v>
      </c>
      <c r="D17" s="341">
        <f>C17*Assumption!$C$58</f>
        <v>370.8</v>
      </c>
      <c r="E17" s="332">
        <f>C17+D17</f>
        <v>3370.8</v>
      </c>
      <c r="G17" s="1" t="s">
        <v>206</v>
      </c>
      <c r="H17" s="409"/>
      <c r="J17" s="143"/>
      <c r="K17" s="3"/>
      <c r="L17" s="3"/>
      <c r="M17" s="143"/>
      <c r="N17" s="143"/>
    </row>
    <row r="18" spans="2:14" s="2" customFormat="1" ht="15.75" thickBot="1" x14ac:dyDescent="0.3">
      <c r="B18" s="334" t="s">
        <v>165</v>
      </c>
      <c r="C18" s="335">
        <f>C17</f>
        <v>3000</v>
      </c>
      <c r="D18" s="336">
        <f>D17</f>
        <v>370.8</v>
      </c>
      <c r="E18" s="337">
        <f>E17</f>
        <v>3370.8</v>
      </c>
      <c r="J18" s="3"/>
      <c r="K18" s="3"/>
      <c r="L18" s="3"/>
      <c r="M18" s="3"/>
      <c r="N18" s="3"/>
    </row>
    <row r="19" spans="2:14" x14ac:dyDescent="0.25">
      <c r="B19" s="313"/>
      <c r="C19" s="338"/>
      <c r="D19" s="313"/>
      <c r="E19" s="313"/>
      <c r="G19" s="1"/>
      <c r="J19" s="143"/>
      <c r="K19" s="3"/>
      <c r="L19" s="3"/>
      <c r="M19" s="143"/>
      <c r="N19" s="143"/>
    </row>
    <row r="20" spans="2:14" x14ac:dyDescent="0.25">
      <c r="B20" s="413" t="s">
        <v>114</v>
      </c>
      <c r="C20" s="414">
        <f>182/2.5*0.5</f>
        <v>36.4</v>
      </c>
      <c r="D20" s="415">
        <f>C20*Assumption!$C$58</f>
        <v>4.4990399999999999</v>
      </c>
      <c r="E20" s="414">
        <f t="shared" ref="E20" si="0">C20+D20</f>
        <v>40.899039999999999</v>
      </c>
      <c r="G20" s="1" t="s">
        <v>115</v>
      </c>
      <c r="J20" s="143"/>
      <c r="K20" s="3"/>
      <c r="L20" s="3"/>
      <c r="M20" s="143"/>
      <c r="N20" s="143"/>
    </row>
    <row r="21" spans="2:14" ht="15.75" thickBot="1" x14ac:dyDescent="0.3">
      <c r="B21" s="410"/>
      <c r="C21" s="333"/>
      <c r="D21" s="411"/>
      <c r="E21" s="412"/>
      <c r="G21" s="1"/>
      <c r="J21" s="143"/>
      <c r="K21" s="3"/>
      <c r="L21" s="3"/>
      <c r="M21" s="143"/>
      <c r="N21" s="143"/>
    </row>
    <row r="22" spans="2:14" ht="15.75" thickBot="1" x14ac:dyDescent="0.3">
      <c r="B22" s="339" t="s">
        <v>109</v>
      </c>
      <c r="C22" s="340">
        <f>(0.8*C8)</f>
        <v>32</v>
      </c>
      <c r="D22" s="341">
        <f>C22*Assumption!$C$58</f>
        <v>3.9552</v>
      </c>
      <c r="E22" s="341">
        <f>(C22+D22)</f>
        <v>35.955199999999998</v>
      </c>
      <c r="G22" s="1" t="s">
        <v>206</v>
      </c>
      <c r="J22" s="143"/>
      <c r="K22" s="3"/>
      <c r="L22" s="3"/>
      <c r="M22" s="143"/>
      <c r="N22" s="143"/>
    </row>
    <row r="23" spans="2:14" ht="15.75" thickBot="1" x14ac:dyDescent="0.3">
      <c r="B23" s="313"/>
      <c r="C23" s="432" t="s">
        <v>178</v>
      </c>
      <c r="D23" s="433"/>
      <c r="E23" s="433"/>
      <c r="G23" s="1" t="s">
        <v>206</v>
      </c>
      <c r="J23" s="143"/>
      <c r="K23" s="3"/>
      <c r="L23" s="8"/>
      <c r="M23" s="143"/>
      <c r="N23" s="143"/>
    </row>
    <row r="24" spans="2:14" x14ac:dyDescent="0.25">
      <c r="G24" s="1"/>
      <c r="J24" s="143"/>
      <c r="K24" s="3"/>
      <c r="L24" s="3"/>
      <c r="M24" s="143"/>
      <c r="N24" s="143"/>
    </row>
    <row r="25" spans="2:14" x14ac:dyDescent="0.25">
      <c r="G25" s="1"/>
      <c r="J25" s="143"/>
      <c r="K25" s="143"/>
      <c r="L25" s="143"/>
      <c r="M25" s="143"/>
      <c r="N25" s="143"/>
    </row>
    <row r="26" spans="2:14" x14ac:dyDescent="0.25">
      <c r="G26" s="1"/>
      <c r="J26" s="143"/>
      <c r="K26" s="143"/>
      <c r="L26" s="143"/>
      <c r="M26" s="143"/>
      <c r="N26" s="143"/>
    </row>
    <row r="27" spans="2:14" x14ac:dyDescent="0.25">
      <c r="G27" s="1"/>
      <c r="J27" s="143"/>
      <c r="K27" s="143"/>
      <c r="L27" s="9"/>
      <c r="M27" s="143"/>
      <c r="N27" s="143"/>
    </row>
    <row r="28" spans="2:14" x14ac:dyDescent="0.25">
      <c r="G28" s="1"/>
      <c r="J28" s="143"/>
      <c r="K28" s="143"/>
      <c r="L28" s="143"/>
      <c r="M28" s="143"/>
      <c r="N28" s="143"/>
    </row>
    <row r="29" spans="2:14" x14ac:dyDescent="0.25">
      <c r="G29" s="1"/>
      <c r="J29" s="143"/>
      <c r="K29" s="143"/>
      <c r="L29" s="143"/>
      <c r="M29" s="143"/>
      <c r="N29" s="143"/>
    </row>
    <row r="30" spans="2:14" x14ac:dyDescent="0.25">
      <c r="G30" s="1"/>
    </row>
    <row r="31" spans="2:14" x14ac:dyDescent="0.25">
      <c r="G31" s="1"/>
    </row>
    <row r="32" spans="2:14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70" spans="7:7" x14ac:dyDescent="0.25">
      <c r="G70" s="1"/>
    </row>
    <row r="71" spans="7:7" x14ac:dyDescent="0.25">
      <c r="G71" s="1"/>
    </row>
    <row r="72" spans="7:7" x14ac:dyDescent="0.25">
      <c r="G72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  <row r="76" spans="7:7" x14ac:dyDescent="0.25">
      <c r="G76" s="1"/>
    </row>
    <row r="77" spans="7:7" x14ac:dyDescent="0.25">
      <c r="G77" s="1"/>
    </row>
    <row r="78" spans="7:7" x14ac:dyDescent="0.25">
      <c r="G78" s="1"/>
    </row>
    <row r="79" spans="7:7" x14ac:dyDescent="0.25">
      <c r="G79" s="1"/>
    </row>
    <row r="80" spans="7:7" x14ac:dyDescent="0.25">
      <c r="G80" s="1"/>
    </row>
    <row r="81" spans="7:7" x14ac:dyDescent="0.25">
      <c r="G81" s="1"/>
    </row>
    <row r="82" spans="7:7" x14ac:dyDescent="0.25">
      <c r="G82" s="1"/>
    </row>
    <row r="83" spans="7:7" x14ac:dyDescent="0.25">
      <c r="G83" s="1"/>
    </row>
    <row r="84" spans="7:7" x14ac:dyDescent="0.25">
      <c r="G84" s="1"/>
    </row>
    <row r="85" spans="7:7" x14ac:dyDescent="0.25">
      <c r="G85" s="1"/>
    </row>
    <row r="86" spans="7:7" x14ac:dyDescent="0.25">
      <c r="G86" s="1"/>
    </row>
    <row r="87" spans="7:7" x14ac:dyDescent="0.25">
      <c r="G87" s="1"/>
    </row>
    <row r="88" spans="7:7" x14ac:dyDescent="0.25">
      <c r="G88" s="1"/>
    </row>
    <row r="89" spans="7:7" x14ac:dyDescent="0.25">
      <c r="G89" s="1"/>
    </row>
    <row r="90" spans="7:7" x14ac:dyDescent="0.25">
      <c r="G90" s="1"/>
    </row>
    <row r="91" spans="7:7" x14ac:dyDescent="0.25">
      <c r="G91" s="1"/>
    </row>
    <row r="92" spans="7:7" x14ac:dyDescent="0.25">
      <c r="G92" s="1"/>
    </row>
    <row r="93" spans="7:7" x14ac:dyDescent="0.25">
      <c r="G93" s="1"/>
    </row>
    <row r="94" spans="7:7" x14ac:dyDescent="0.25">
      <c r="G94" s="1"/>
    </row>
    <row r="95" spans="7:7" x14ac:dyDescent="0.25">
      <c r="G95" s="1"/>
    </row>
    <row r="96" spans="7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</sheetData>
  <mergeCells count="9">
    <mergeCell ref="C23:E23"/>
    <mergeCell ref="C4:E4"/>
    <mergeCell ref="C6:E6"/>
    <mergeCell ref="C9:E9"/>
    <mergeCell ref="C10:E10"/>
    <mergeCell ref="C7:E7"/>
    <mergeCell ref="C8:E8"/>
    <mergeCell ref="C13:E13"/>
    <mergeCell ref="C12:E12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85" zoomScaleNormal="85" workbookViewId="0">
      <selection activeCell="C24" sqref="C24"/>
    </sheetView>
  </sheetViews>
  <sheetFormatPr defaultColWidth="9.140625" defaultRowHeight="15" x14ac:dyDescent="0.25"/>
  <cols>
    <col min="1" max="1" width="11.42578125" style="4" customWidth="1"/>
    <col min="2" max="2" width="41.42578125" style="4" customWidth="1"/>
    <col min="3" max="3" width="16.85546875" style="5" customWidth="1"/>
    <col min="4" max="4" width="27.28515625" style="177" customWidth="1"/>
    <col min="5" max="5" width="63.28515625" style="177" customWidth="1"/>
    <col min="6" max="7" width="26.42578125" style="4" customWidth="1"/>
    <col min="8" max="8" width="9.140625" style="4"/>
    <col min="9" max="9" width="10.140625" style="4" customWidth="1"/>
    <col min="10" max="16384" width="9.140625" style="4"/>
  </cols>
  <sheetData>
    <row r="1" spans="2:10" ht="15.75" thickBot="1" x14ac:dyDescent="0.3">
      <c r="F1" s="6">
        <v>0</v>
      </c>
    </row>
    <row r="2" spans="2:10" x14ac:dyDescent="0.25">
      <c r="B2" s="454" t="str">
        <f>CONCATENATE("SPV Name - ",'Project Cost'!C4)</f>
        <v>SPV Name - Giriraj Enterprises</v>
      </c>
      <c r="C2" s="455"/>
      <c r="D2" s="342" t="s">
        <v>8</v>
      </c>
      <c r="E2" s="343" t="s">
        <v>9</v>
      </c>
      <c r="F2" s="418" t="s">
        <v>210</v>
      </c>
    </row>
    <row r="3" spans="2:10" ht="15.75" thickBot="1" x14ac:dyDescent="0.3">
      <c r="B3" s="456"/>
      <c r="C3" s="457"/>
      <c r="D3" s="344">
        <f>Sensitivity!C13</f>
        <v>9.3885770440101615E-2</v>
      </c>
      <c r="E3" s="345">
        <f>Sensitivity!E13</f>
        <v>0.15996499999999991</v>
      </c>
      <c r="F3" s="420">
        <f>'Project Cost'!H13</f>
        <v>42160</v>
      </c>
    </row>
    <row r="4" spans="2:10" s="9" customFormat="1" ht="15.75" thickBot="1" x14ac:dyDescent="0.3">
      <c r="B4" s="346"/>
      <c r="C4" s="346"/>
      <c r="D4" s="347"/>
      <c r="E4" s="347"/>
    </row>
    <row r="5" spans="2:10" ht="15.75" thickBot="1" x14ac:dyDescent="0.3">
      <c r="B5" s="458" t="s">
        <v>10</v>
      </c>
      <c r="C5" s="459"/>
      <c r="D5" s="459"/>
      <c r="E5" s="460"/>
    </row>
    <row r="6" spans="2:10" ht="15.75" thickBot="1" x14ac:dyDescent="0.3">
      <c r="B6" s="348"/>
      <c r="C6" s="349"/>
      <c r="D6" s="350"/>
      <c r="E6" s="351"/>
    </row>
    <row r="7" spans="2:10" s="7" customFormat="1" x14ac:dyDescent="0.25">
      <c r="B7" s="461" t="s">
        <v>11</v>
      </c>
      <c r="C7" s="462"/>
      <c r="D7" s="352" t="s">
        <v>12</v>
      </c>
      <c r="E7" s="353" t="s">
        <v>13</v>
      </c>
    </row>
    <row r="8" spans="2:10" s="7" customFormat="1" x14ac:dyDescent="0.25">
      <c r="B8" s="354" t="s">
        <v>14</v>
      </c>
      <c r="C8" s="355" t="str">
        <f>'Project Cost'!C7:E7</f>
        <v>Tamil Nadu</v>
      </c>
      <c r="D8" s="356" t="s">
        <v>179</v>
      </c>
      <c r="E8" s="356"/>
      <c r="F8" s="8"/>
      <c r="G8" s="8"/>
      <c r="H8" s="8"/>
    </row>
    <row r="9" spans="2:10" s="7" customFormat="1" x14ac:dyDescent="0.25">
      <c r="B9" s="354" t="s">
        <v>84</v>
      </c>
      <c r="C9" s="359">
        <f>'Project Cost'!C8:E8</f>
        <v>40</v>
      </c>
      <c r="D9" s="356" t="s">
        <v>179</v>
      </c>
      <c r="E9" s="356"/>
      <c r="F9" s="8"/>
      <c r="G9" s="8"/>
      <c r="H9" s="8"/>
    </row>
    <row r="10" spans="2:10" s="7" customFormat="1" x14ac:dyDescent="0.25">
      <c r="B10" s="354" t="s">
        <v>2</v>
      </c>
      <c r="C10" s="360">
        <f>'Project Cost'!C9</f>
        <v>42270</v>
      </c>
      <c r="D10" s="356" t="s">
        <v>115</v>
      </c>
      <c r="E10" s="356"/>
      <c r="F10" s="423"/>
      <c r="G10" s="424"/>
      <c r="H10" s="8"/>
    </row>
    <row r="11" spans="2:10" s="8" customFormat="1" x14ac:dyDescent="0.25">
      <c r="B11" s="354" t="s">
        <v>85</v>
      </c>
      <c r="C11" s="358">
        <f>'Project Cost'!C10</f>
        <v>25</v>
      </c>
      <c r="D11" s="356" t="s">
        <v>190</v>
      </c>
      <c r="E11" s="430"/>
      <c r="F11" s="423"/>
      <c r="G11" s="425"/>
      <c r="H11" s="11"/>
      <c r="I11" s="11"/>
      <c r="J11" s="11"/>
    </row>
    <row r="12" spans="2:10" x14ac:dyDescent="0.25">
      <c r="B12" s="452" t="s">
        <v>112</v>
      </c>
      <c r="C12" s="453"/>
      <c r="D12" s="356"/>
      <c r="E12" s="356"/>
      <c r="F12" s="426"/>
      <c r="G12" s="427"/>
      <c r="H12" s="9"/>
    </row>
    <row r="13" spans="2:10" s="7" customFormat="1" ht="31.5" customHeight="1" x14ac:dyDescent="0.25">
      <c r="B13" s="354" t="s">
        <v>108</v>
      </c>
      <c r="C13" s="361">
        <f>19.8%*(1+Sensitivity!$F$7)</f>
        <v>0.19800000000000001</v>
      </c>
      <c r="D13" s="356" t="s">
        <v>216</v>
      </c>
      <c r="E13" s="430"/>
      <c r="F13" s="423"/>
      <c r="G13" s="428"/>
      <c r="H13" s="8"/>
    </row>
    <row r="14" spans="2:10" s="7" customFormat="1" x14ac:dyDescent="0.25">
      <c r="B14" s="354" t="s">
        <v>86</v>
      </c>
      <c r="C14" s="358">
        <f>C9*C13*8760*1000</f>
        <v>69379200</v>
      </c>
      <c r="D14" s="356" t="s">
        <v>83</v>
      </c>
      <c r="E14" s="356"/>
      <c r="F14" s="429"/>
      <c r="G14" s="429"/>
      <c r="H14" s="8"/>
    </row>
    <row r="15" spans="2:10" s="7" customFormat="1" ht="33.75" customHeight="1" x14ac:dyDescent="0.25">
      <c r="B15" s="362" t="s">
        <v>183</v>
      </c>
      <c r="C15" s="361">
        <v>3.0000000000000001E-3</v>
      </c>
      <c r="D15" s="356" t="s">
        <v>115</v>
      </c>
      <c r="E15" s="431"/>
      <c r="G15" s="218"/>
      <c r="H15" s="218"/>
    </row>
    <row r="16" spans="2:10" s="7" customFormat="1" ht="28.5" customHeight="1" x14ac:dyDescent="0.25">
      <c r="B16" s="389" t="s">
        <v>207</v>
      </c>
      <c r="C16" s="359">
        <f>6.28*(1+Sensitivity!$F$10)</f>
        <v>6.28</v>
      </c>
      <c r="D16" s="356" t="s">
        <v>191</v>
      </c>
      <c r="E16" s="430"/>
      <c r="G16" s="218"/>
    </row>
    <row r="17" spans="2:10" s="7" customFormat="1" ht="30" customHeight="1" x14ac:dyDescent="0.25">
      <c r="B17" s="363" t="s">
        <v>189</v>
      </c>
      <c r="C17" s="402">
        <v>0</v>
      </c>
      <c r="D17" s="356" t="s">
        <v>191</v>
      </c>
      <c r="E17" s="365"/>
      <c r="G17" s="218"/>
    </row>
    <row r="18" spans="2:10" s="7" customFormat="1" ht="35.25" customHeight="1" x14ac:dyDescent="0.25">
      <c r="B18" s="362" t="s">
        <v>159</v>
      </c>
      <c r="C18" s="366">
        <v>0</v>
      </c>
      <c r="D18" s="367"/>
      <c r="E18" s="365"/>
      <c r="G18" s="279"/>
    </row>
    <row r="19" spans="2:10" ht="25.5" x14ac:dyDescent="0.25">
      <c r="B19" s="362" t="s">
        <v>197</v>
      </c>
      <c r="C19" s="368">
        <v>0</v>
      </c>
      <c r="D19" s="364" t="s">
        <v>157</v>
      </c>
      <c r="E19" s="403" t="s">
        <v>181</v>
      </c>
      <c r="F19" s="12"/>
      <c r="G19" s="280"/>
      <c r="H19" s="12"/>
    </row>
    <row r="20" spans="2:10" s="7" customFormat="1" x14ac:dyDescent="0.25">
      <c r="B20" s="452" t="s">
        <v>15</v>
      </c>
      <c r="C20" s="453"/>
      <c r="D20" s="356"/>
      <c r="E20" s="357"/>
      <c r="F20" s="13"/>
      <c r="G20" s="13"/>
      <c r="H20" s="13"/>
      <c r="I20" s="13"/>
      <c r="J20" s="13"/>
    </row>
    <row r="21" spans="2:10" s="7" customFormat="1" x14ac:dyDescent="0.25">
      <c r="B21" s="354" t="s">
        <v>110</v>
      </c>
      <c r="C21" s="359">
        <f>'Project Cost'!E22*(1+Sensitivity!$F$8)</f>
        <v>35.955199999999998</v>
      </c>
      <c r="D21" s="356"/>
      <c r="E21" s="357"/>
      <c r="F21" s="13"/>
      <c r="G21" s="13"/>
      <c r="H21" s="13"/>
      <c r="I21" s="13"/>
      <c r="J21" s="13"/>
    </row>
    <row r="22" spans="2:10" s="7" customFormat="1" x14ac:dyDescent="0.25">
      <c r="B22" s="369" t="s">
        <v>169</v>
      </c>
      <c r="C22" s="359">
        <v>0</v>
      </c>
      <c r="D22" s="356"/>
      <c r="E22" s="370"/>
      <c r="F22" s="13"/>
      <c r="G22" s="13"/>
      <c r="H22" s="13"/>
      <c r="I22" s="13"/>
      <c r="J22" s="13"/>
    </row>
    <row r="23" spans="2:10" s="7" customFormat="1" ht="21" customHeight="1" x14ac:dyDescent="0.25">
      <c r="B23" s="354" t="s">
        <v>111</v>
      </c>
      <c r="C23" s="361">
        <v>0.05</v>
      </c>
      <c r="D23" s="356"/>
      <c r="E23" s="357"/>
    </row>
    <row r="24" spans="2:10" s="7" customFormat="1" ht="25.5" x14ac:dyDescent="0.25">
      <c r="B24" s="362" t="s">
        <v>174</v>
      </c>
      <c r="C24" s="371">
        <f>0.25*'Project Cost'!C8:E8</f>
        <v>10</v>
      </c>
      <c r="D24" s="367" t="s">
        <v>187</v>
      </c>
      <c r="E24" s="370"/>
    </row>
    <row r="25" spans="2:10" s="7" customFormat="1" ht="25.5" x14ac:dyDescent="0.25">
      <c r="B25" s="362" t="s">
        <v>160</v>
      </c>
      <c r="C25" s="366">
        <v>0.05</v>
      </c>
      <c r="D25" s="367" t="s">
        <v>161</v>
      </c>
      <c r="E25" s="370"/>
    </row>
    <row r="26" spans="2:10" ht="27" customHeight="1" x14ac:dyDescent="0.25">
      <c r="B26" s="354" t="s">
        <v>96</v>
      </c>
      <c r="C26" s="372">
        <f>C28*0.5%</f>
        <v>16.854000000000003</v>
      </c>
      <c r="D26" s="373" t="s">
        <v>98</v>
      </c>
      <c r="E26" s="416" t="s">
        <v>192</v>
      </c>
    </row>
    <row r="27" spans="2:10" s="7" customFormat="1" ht="17.25" customHeight="1" x14ac:dyDescent="0.25">
      <c r="B27" s="452" t="s">
        <v>16</v>
      </c>
      <c r="C27" s="453"/>
      <c r="D27" s="356"/>
      <c r="E27" s="357"/>
    </row>
    <row r="28" spans="2:10" s="7" customFormat="1" x14ac:dyDescent="0.25">
      <c r="B28" s="354" t="s">
        <v>87</v>
      </c>
      <c r="C28" s="374">
        <f>'Project Cost'!E18*(1+Sensitivity!$F$9)</f>
        <v>3370.8</v>
      </c>
      <c r="D28" s="356" t="s">
        <v>198</v>
      </c>
      <c r="E28" s="357"/>
    </row>
    <row r="29" spans="2:10" s="7" customFormat="1" x14ac:dyDescent="0.25">
      <c r="B29" s="354" t="s">
        <v>88</v>
      </c>
      <c r="C29" s="374">
        <f>C32</f>
        <v>2359.56</v>
      </c>
      <c r="D29" s="356" t="s">
        <v>115</v>
      </c>
      <c r="E29" s="356"/>
    </row>
    <row r="30" spans="2:10" x14ac:dyDescent="0.25">
      <c r="B30" s="354" t="s">
        <v>89</v>
      </c>
      <c r="C30" s="374">
        <f>C28-C29</f>
        <v>1011.2400000000002</v>
      </c>
      <c r="D30" s="356" t="s">
        <v>83</v>
      </c>
      <c r="E30" s="357"/>
    </row>
    <row r="31" spans="2:10" s="7" customFormat="1" ht="15" customHeight="1" x14ac:dyDescent="0.25">
      <c r="B31" s="452" t="s">
        <v>104</v>
      </c>
      <c r="C31" s="465"/>
      <c r="D31" s="373"/>
      <c r="E31" s="375"/>
    </row>
    <row r="32" spans="2:10" s="7" customFormat="1" ht="25.5" x14ac:dyDescent="0.25">
      <c r="B32" s="354" t="s">
        <v>88</v>
      </c>
      <c r="C32" s="376">
        <f>C28*70%</f>
        <v>2359.56</v>
      </c>
      <c r="D32" s="377" t="s">
        <v>196</v>
      </c>
      <c r="E32" s="365"/>
    </row>
    <row r="33" spans="2:6" s="7" customFormat="1" ht="33.75" customHeight="1" x14ac:dyDescent="0.25">
      <c r="B33" s="354" t="s">
        <v>116</v>
      </c>
      <c r="C33" s="378">
        <v>0.14499999999999999</v>
      </c>
      <c r="D33" s="356" t="s">
        <v>212</v>
      </c>
      <c r="E33" s="421" t="s">
        <v>213</v>
      </c>
      <c r="F33" s="422" t="s">
        <v>214</v>
      </c>
    </row>
    <row r="34" spans="2:6" s="7" customFormat="1" ht="28.5" customHeight="1" x14ac:dyDescent="0.25">
      <c r="B34" s="354" t="s">
        <v>117</v>
      </c>
      <c r="C34" s="379">
        <v>28</v>
      </c>
      <c r="D34" s="356" t="s">
        <v>115</v>
      </c>
      <c r="E34" s="365"/>
    </row>
    <row r="35" spans="2:6" s="7" customFormat="1" ht="15" customHeight="1" x14ac:dyDescent="0.25">
      <c r="B35" s="354" t="s">
        <v>118</v>
      </c>
      <c r="C35" s="379">
        <v>2</v>
      </c>
      <c r="D35" s="356" t="s">
        <v>115</v>
      </c>
      <c r="E35" s="380"/>
    </row>
    <row r="36" spans="2:6" s="7" customFormat="1" ht="15" customHeight="1" x14ac:dyDescent="0.25">
      <c r="B36" s="354" t="s">
        <v>119</v>
      </c>
      <c r="C36" s="379">
        <f>C34-C35</f>
        <v>26</v>
      </c>
      <c r="D36" s="367" t="s">
        <v>83</v>
      </c>
      <c r="E36" s="381"/>
    </row>
    <row r="37" spans="2:6" s="7" customFormat="1" ht="15" customHeight="1" x14ac:dyDescent="0.25">
      <c r="B37" s="354" t="s">
        <v>120</v>
      </c>
      <c r="C37" s="382">
        <f>C32/C36</f>
        <v>90.752307692307696</v>
      </c>
      <c r="D37" s="367" t="s">
        <v>83</v>
      </c>
      <c r="E37" s="381"/>
    </row>
    <row r="38" spans="2:6" ht="25.5" x14ac:dyDescent="0.25">
      <c r="B38" s="354" t="s">
        <v>121</v>
      </c>
      <c r="C38" s="383">
        <f>DATE(YEAR(EOMONTH(C10,IF(C35=0,3,C35*3))),CEILING(MONTH(EOMONTH(C10,IF(C35=0,3,C35*3))),3)+1,0)</f>
        <v>42460</v>
      </c>
      <c r="D38" s="367" t="s">
        <v>122</v>
      </c>
      <c r="E38" s="381"/>
    </row>
    <row r="39" spans="2:6" x14ac:dyDescent="0.25">
      <c r="B39" s="452" t="s">
        <v>105</v>
      </c>
      <c r="C39" s="453"/>
      <c r="D39" s="356"/>
      <c r="E39" s="357"/>
      <c r="F39" s="281"/>
    </row>
    <row r="40" spans="2:6" x14ac:dyDescent="0.25">
      <c r="B40" s="384" t="s">
        <v>114</v>
      </c>
      <c r="C40" s="385">
        <f>'Project Cost'!E20</f>
        <v>40.899039999999999</v>
      </c>
      <c r="D40" s="356"/>
      <c r="E40" s="386"/>
    </row>
    <row r="41" spans="2:6" x14ac:dyDescent="0.25">
      <c r="B41" s="384" t="s">
        <v>90</v>
      </c>
      <c r="C41" s="385">
        <f>C28-C40</f>
        <v>3329.9009600000004</v>
      </c>
      <c r="D41" s="356" t="s">
        <v>83</v>
      </c>
      <c r="E41" s="386"/>
    </row>
    <row r="42" spans="2:6" x14ac:dyDescent="0.25">
      <c r="B42" s="384" t="s">
        <v>101</v>
      </c>
      <c r="C42" s="361">
        <v>0.1</v>
      </c>
      <c r="D42" s="387"/>
      <c r="E42" s="365"/>
    </row>
    <row r="43" spans="2:6" x14ac:dyDescent="0.25">
      <c r="B43" s="384" t="s">
        <v>103</v>
      </c>
      <c r="C43" s="385">
        <f>C41*C42</f>
        <v>332.99009600000005</v>
      </c>
      <c r="D43" s="356" t="s">
        <v>83</v>
      </c>
      <c r="E43" s="375"/>
    </row>
    <row r="44" spans="2:6" s="7" customFormat="1" x14ac:dyDescent="0.25">
      <c r="B44" s="384" t="s">
        <v>102</v>
      </c>
      <c r="C44" s="388">
        <f>C41-C43</f>
        <v>2996.9108640000004</v>
      </c>
      <c r="D44" s="356" t="s">
        <v>83</v>
      </c>
      <c r="E44" s="375"/>
    </row>
    <row r="45" spans="2:6" x14ac:dyDescent="0.25">
      <c r="B45" s="389" t="s">
        <v>106</v>
      </c>
      <c r="C45" s="388">
        <f>C43+C40</f>
        <v>373.88913600000006</v>
      </c>
      <c r="D45" s="356" t="s">
        <v>83</v>
      </c>
      <c r="E45" s="390"/>
    </row>
    <row r="46" spans="2:6" s="7" customFormat="1" x14ac:dyDescent="0.25">
      <c r="B46" s="452" t="s">
        <v>107</v>
      </c>
      <c r="C46" s="453"/>
      <c r="D46" s="356"/>
      <c r="E46" s="357"/>
    </row>
    <row r="47" spans="2:6" ht="30" x14ac:dyDescent="0.25">
      <c r="B47" s="354" t="s">
        <v>215</v>
      </c>
      <c r="C47" s="361">
        <v>0.8</v>
      </c>
      <c r="D47" s="356" t="s">
        <v>208</v>
      </c>
      <c r="E47" s="419" t="s">
        <v>209</v>
      </c>
    </row>
    <row r="48" spans="2:6" s="7" customFormat="1" x14ac:dyDescent="0.25">
      <c r="B48" s="463" t="s">
        <v>19</v>
      </c>
      <c r="C48" s="464"/>
      <c r="D48" s="356"/>
      <c r="E48" s="357"/>
    </row>
    <row r="49" spans="1:11" s="7" customFormat="1" x14ac:dyDescent="0.25">
      <c r="B49" s="391" t="s">
        <v>20</v>
      </c>
      <c r="C49" s="392" t="str">
        <f>CONCATENATE("FY"," ",IF(MONTH(C10)&lt;4,YEAR(C10)-1&amp;"-"&amp;RIGHT(YEAR(C10),2),YEAR(C10)&amp;"-"&amp;RIGHT(YEAR(C10)+1,2)))</f>
        <v>FY 2015-16</v>
      </c>
      <c r="D49" s="393"/>
      <c r="E49" s="386"/>
      <c r="F49" s="8"/>
    </row>
    <row r="50" spans="1:11" s="7" customFormat="1" ht="36.75" customHeight="1" x14ac:dyDescent="0.25">
      <c r="B50" s="391" t="s">
        <v>91</v>
      </c>
      <c r="C50" s="361">
        <v>0.3</v>
      </c>
      <c r="D50" s="356" t="s">
        <v>152</v>
      </c>
      <c r="E50" s="417" t="s">
        <v>193</v>
      </c>
      <c r="F50" s="8"/>
    </row>
    <row r="51" spans="1:11" s="7" customFormat="1" ht="26.25" customHeight="1" x14ac:dyDescent="0.2">
      <c r="B51" s="354" t="s">
        <v>92</v>
      </c>
      <c r="C51" s="361">
        <v>0.185</v>
      </c>
      <c r="D51" s="356" t="s">
        <v>156</v>
      </c>
      <c r="E51" s="394" t="s">
        <v>193</v>
      </c>
      <c r="F51" s="8"/>
    </row>
    <row r="52" spans="1:11" s="7" customFormat="1" ht="25.5" customHeight="1" x14ac:dyDescent="0.2">
      <c r="B52" s="354" t="s">
        <v>93</v>
      </c>
      <c r="C52" s="361">
        <v>0.12</v>
      </c>
      <c r="D52" s="356" t="s">
        <v>153</v>
      </c>
      <c r="E52" s="394" t="s">
        <v>194</v>
      </c>
      <c r="F52" s="8"/>
    </row>
    <row r="53" spans="1:11" s="7" customFormat="1" ht="29.25" customHeight="1" x14ac:dyDescent="0.2">
      <c r="B53" s="354" t="s">
        <v>94</v>
      </c>
      <c r="C53" s="361">
        <v>0.1</v>
      </c>
      <c r="D53" s="356" t="s">
        <v>154</v>
      </c>
      <c r="E53" s="394" t="s">
        <v>193</v>
      </c>
      <c r="F53" s="8"/>
    </row>
    <row r="54" spans="1:11" ht="25.5" x14ac:dyDescent="0.2">
      <c r="B54" s="354" t="s">
        <v>95</v>
      </c>
      <c r="C54" s="361">
        <v>0.03</v>
      </c>
      <c r="D54" s="356" t="s">
        <v>155</v>
      </c>
      <c r="E54" s="394" t="s">
        <v>195</v>
      </c>
    </row>
    <row r="55" spans="1:11" s="7" customFormat="1" x14ac:dyDescent="0.25">
      <c r="B55" s="452" t="s">
        <v>22</v>
      </c>
      <c r="C55" s="453"/>
      <c r="D55" s="356"/>
      <c r="E55" s="395"/>
    </row>
    <row r="56" spans="1:11" s="7" customFormat="1" x14ac:dyDescent="0.25">
      <c r="B56" s="391" t="s">
        <v>91</v>
      </c>
      <c r="C56" s="396">
        <f>(C50+C50*$C$53)+(C50+C50*$C$53)*$C$54</f>
        <v>0.33989999999999998</v>
      </c>
      <c r="D56" s="356" t="s">
        <v>83</v>
      </c>
      <c r="E56" s="357"/>
    </row>
    <row r="57" spans="1:11" s="8" customFormat="1" x14ac:dyDescent="0.25">
      <c r="B57" s="354" t="s">
        <v>92</v>
      </c>
      <c r="C57" s="396">
        <f>(C51+C51*$C$53)+(C51+C51*$C$53)*$C$54</f>
        <v>0.20960499999999999</v>
      </c>
      <c r="D57" s="356" t="s">
        <v>83</v>
      </c>
      <c r="E57" s="357"/>
    </row>
    <row r="58" spans="1:11" s="8" customFormat="1" ht="15.75" thickBot="1" x14ac:dyDescent="0.3">
      <c r="A58" s="10"/>
      <c r="B58" s="397" t="s">
        <v>93</v>
      </c>
      <c r="C58" s="398">
        <f>C52+(C52*C54)</f>
        <v>0.1236</v>
      </c>
      <c r="D58" s="399" t="s">
        <v>83</v>
      </c>
      <c r="E58" s="400"/>
      <c r="F58" s="4"/>
      <c r="G58" s="11"/>
      <c r="H58" s="11"/>
      <c r="I58" s="11"/>
      <c r="J58" s="11"/>
      <c r="K58" s="11"/>
    </row>
    <row r="59" spans="1:11" x14ac:dyDescent="0.25">
      <c r="B59" s="8"/>
      <c r="C59" s="14"/>
      <c r="D59" s="178"/>
    </row>
    <row r="60" spans="1:11" x14ac:dyDescent="0.25">
      <c r="C60" s="4"/>
    </row>
    <row r="61" spans="1:11" x14ac:dyDescent="0.25">
      <c r="C61" s="4"/>
    </row>
    <row r="62" spans="1:11" x14ac:dyDescent="0.25">
      <c r="C62" s="4"/>
    </row>
  </sheetData>
  <mergeCells count="11">
    <mergeCell ref="B55:C55"/>
    <mergeCell ref="B2:C3"/>
    <mergeCell ref="B5:E5"/>
    <mergeCell ref="B7:C7"/>
    <mergeCell ref="B12:C12"/>
    <mergeCell ref="B20:C20"/>
    <mergeCell ref="B27:C27"/>
    <mergeCell ref="B39:C39"/>
    <mergeCell ref="B46:C46"/>
    <mergeCell ref="B48:C48"/>
    <mergeCell ref="B31:C31"/>
  </mergeCells>
  <hyperlinks>
    <hyperlink ref="E19" r:id="rId1"/>
    <hyperlink ref="E50" r:id="rId2"/>
    <hyperlink ref="E47" r:id="rId3"/>
    <hyperlink ref="E33" r:id="rId4"/>
  </hyperlinks>
  <pageMargins left="0.7" right="0.7" top="0.75" bottom="0.75" header="0.3" footer="0.3"/>
  <pageSetup paperSize="9"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0"/>
  <sheetViews>
    <sheetView showGridLines="0" zoomScale="85" zoomScaleNormal="85" workbookViewId="0">
      <pane xSplit="2" ySplit="7" topLeftCell="C65" activePane="bottomRight" state="frozen"/>
      <selection pane="topRight"/>
      <selection pane="bottomLeft"/>
      <selection pane="bottomRight" activeCell="E72" sqref="E72:O73"/>
    </sheetView>
  </sheetViews>
  <sheetFormatPr defaultColWidth="9.140625" defaultRowHeight="15" x14ac:dyDescent="0.25"/>
  <cols>
    <col min="1" max="1" width="5.140625" style="15" bestFit="1" customWidth="1"/>
    <col min="2" max="2" width="40.7109375" style="16" customWidth="1"/>
    <col min="3" max="3" width="11" style="16" customWidth="1"/>
    <col min="4" max="4" width="12.42578125" style="16" customWidth="1"/>
    <col min="5" max="25" width="12.7109375" style="16" customWidth="1"/>
    <col min="26" max="26" width="12.28515625" style="16" customWidth="1"/>
    <col min="27" max="27" width="12.7109375" style="16" customWidth="1"/>
    <col min="28" max="28" width="12.5703125" style="16" customWidth="1"/>
    <col min="29" max="29" width="12.42578125" style="16" customWidth="1"/>
    <col min="30" max="50" width="11.85546875" style="16" customWidth="1"/>
    <col min="51" max="54" width="12.140625" style="16" customWidth="1"/>
    <col min="55" max="56" width="10.5703125" style="16" bestFit="1" customWidth="1"/>
    <col min="57" max="16384" width="9.140625" style="16"/>
  </cols>
  <sheetData>
    <row r="1" spans="1:29" ht="15.75" thickBot="1" x14ac:dyDescent="0.3">
      <c r="E1" s="17"/>
      <c r="T1" s="18"/>
      <c r="U1" s="17"/>
      <c r="W1" s="19"/>
      <c r="X1" s="19"/>
    </row>
    <row r="2" spans="1:29" ht="48.75" customHeight="1" thickBot="1" x14ac:dyDescent="0.3">
      <c r="B2" s="299" t="s">
        <v>23</v>
      </c>
      <c r="C2" s="468" t="str">
        <f>'Project Cost'!C4</f>
        <v>Giriraj Enterprises</v>
      </c>
      <c r="D2" s="469"/>
      <c r="E2" s="469"/>
      <c r="F2" s="469"/>
      <c r="G2" s="469"/>
      <c r="H2" s="469"/>
      <c r="I2" s="469"/>
      <c r="J2" s="469"/>
      <c r="K2" s="469"/>
      <c r="L2" s="470"/>
      <c r="T2" s="18"/>
      <c r="U2" s="17"/>
      <c r="W2" s="19"/>
      <c r="X2" s="19"/>
    </row>
    <row r="3" spans="1:29" ht="33" customHeight="1" x14ac:dyDescent="0.25">
      <c r="T3" s="18"/>
      <c r="U3" s="17"/>
      <c r="W3" s="19"/>
      <c r="X3" s="19"/>
    </row>
    <row r="4" spans="1:29" x14ac:dyDescent="0.25">
      <c r="B4" s="471" t="s">
        <v>24</v>
      </c>
      <c r="C4" s="472"/>
      <c r="L4" s="21"/>
      <c r="T4" s="18"/>
      <c r="U4" s="17"/>
      <c r="W4" s="19"/>
      <c r="X4" s="19"/>
    </row>
    <row r="5" spans="1:29" ht="15.75" thickBot="1" x14ac:dyDescent="0.3"/>
    <row r="6" spans="1:29" x14ac:dyDescent="0.25">
      <c r="A6" s="22"/>
      <c r="B6" s="23" t="s">
        <v>25</v>
      </c>
      <c r="C6" s="24">
        <f>Assumption!C10</f>
        <v>42270</v>
      </c>
      <c r="D6" s="25">
        <f>IF(MONTH(C6)&lt;=3,DATE(YEAR(C6),3,31),DATE(YEAR(C6)+1,3,31))</f>
        <v>42460</v>
      </c>
      <c r="E6" s="25">
        <f t="shared" ref="E6:W6" si="0">DATE(YEAR(D6)+1,3,31)</f>
        <v>42825</v>
      </c>
      <c r="F6" s="25">
        <f t="shared" si="0"/>
        <v>43190</v>
      </c>
      <c r="G6" s="25">
        <f t="shared" si="0"/>
        <v>43555</v>
      </c>
      <c r="H6" s="25">
        <f t="shared" si="0"/>
        <v>43921</v>
      </c>
      <c r="I6" s="25">
        <f t="shared" si="0"/>
        <v>44286</v>
      </c>
      <c r="J6" s="25">
        <f t="shared" si="0"/>
        <v>44651</v>
      </c>
      <c r="K6" s="25">
        <f t="shared" si="0"/>
        <v>45016</v>
      </c>
      <c r="L6" s="25">
        <f t="shared" si="0"/>
        <v>45382</v>
      </c>
      <c r="M6" s="25">
        <f t="shared" si="0"/>
        <v>45747</v>
      </c>
      <c r="N6" s="25">
        <f t="shared" si="0"/>
        <v>46112</v>
      </c>
      <c r="O6" s="25">
        <f t="shared" si="0"/>
        <v>46477</v>
      </c>
      <c r="P6" s="25">
        <f t="shared" si="0"/>
        <v>46843</v>
      </c>
      <c r="Q6" s="25">
        <f t="shared" si="0"/>
        <v>47208</v>
      </c>
      <c r="R6" s="25">
        <f t="shared" si="0"/>
        <v>47573</v>
      </c>
      <c r="S6" s="25">
        <f t="shared" si="0"/>
        <v>47938</v>
      </c>
      <c r="T6" s="25">
        <f t="shared" si="0"/>
        <v>48304</v>
      </c>
      <c r="U6" s="25">
        <f t="shared" si="0"/>
        <v>48669</v>
      </c>
      <c r="V6" s="25">
        <f t="shared" si="0"/>
        <v>49034</v>
      </c>
      <c r="W6" s="25">
        <f t="shared" si="0"/>
        <v>49399</v>
      </c>
      <c r="X6" s="25">
        <f t="shared" ref="X6" si="1">DATE(YEAR(W6)+1,3,31)</f>
        <v>49765</v>
      </c>
      <c r="Y6" s="25">
        <f t="shared" ref="Y6" si="2">DATE(YEAR(X6)+1,3,31)</f>
        <v>50130</v>
      </c>
      <c r="Z6" s="25">
        <f t="shared" ref="Z6" si="3">DATE(YEAR(Y6)+1,3,31)</f>
        <v>50495</v>
      </c>
      <c r="AA6" s="25">
        <f t="shared" ref="AA6" si="4">DATE(YEAR(Z6)+1,3,31)</f>
        <v>50860</v>
      </c>
      <c r="AB6" s="25">
        <f t="shared" ref="AB6" si="5">DATE(YEAR(AA6)+1,3,31)</f>
        <v>51226</v>
      </c>
      <c r="AC6" s="25">
        <f t="shared" ref="AC6" si="6">DATE(YEAR(AB6)+1,3,31)</f>
        <v>51591</v>
      </c>
    </row>
    <row r="7" spans="1:29" s="21" customFormat="1" ht="15.75" thickBot="1" x14ac:dyDescent="0.3">
      <c r="A7" s="26"/>
      <c r="B7" s="27" t="s">
        <v>26</v>
      </c>
      <c r="C7" s="28"/>
      <c r="D7" s="29">
        <f>IF(D6=C6,0,1)</f>
        <v>1</v>
      </c>
      <c r="E7" s="28">
        <f>D7+1</f>
        <v>2</v>
      </c>
      <c r="F7" s="28">
        <f t="shared" ref="F7:W7" si="7">E7+1</f>
        <v>3</v>
      </c>
      <c r="G7" s="28">
        <f t="shared" si="7"/>
        <v>4</v>
      </c>
      <c r="H7" s="28">
        <f t="shared" si="7"/>
        <v>5</v>
      </c>
      <c r="I7" s="28">
        <f t="shared" si="7"/>
        <v>6</v>
      </c>
      <c r="J7" s="28">
        <f t="shared" si="7"/>
        <v>7</v>
      </c>
      <c r="K7" s="28">
        <f t="shared" si="7"/>
        <v>8</v>
      </c>
      <c r="L7" s="28">
        <f t="shared" si="7"/>
        <v>9</v>
      </c>
      <c r="M7" s="28">
        <f t="shared" si="7"/>
        <v>10</v>
      </c>
      <c r="N7" s="28">
        <f t="shared" si="7"/>
        <v>11</v>
      </c>
      <c r="O7" s="28">
        <f t="shared" si="7"/>
        <v>12</v>
      </c>
      <c r="P7" s="28">
        <f t="shared" si="7"/>
        <v>13</v>
      </c>
      <c r="Q7" s="28">
        <f t="shared" si="7"/>
        <v>14</v>
      </c>
      <c r="R7" s="28">
        <f t="shared" si="7"/>
        <v>15</v>
      </c>
      <c r="S7" s="28">
        <f t="shared" si="7"/>
        <v>16</v>
      </c>
      <c r="T7" s="28">
        <f t="shared" si="7"/>
        <v>17</v>
      </c>
      <c r="U7" s="28">
        <f t="shared" si="7"/>
        <v>18</v>
      </c>
      <c r="V7" s="28">
        <f t="shared" si="7"/>
        <v>19</v>
      </c>
      <c r="W7" s="28">
        <f t="shared" si="7"/>
        <v>20</v>
      </c>
      <c r="X7" s="30">
        <f>W7+1</f>
        <v>21</v>
      </c>
      <c r="Y7" s="28">
        <f t="shared" ref="Y7" si="8">X7+1</f>
        <v>22</v>
      </c>
      <c r="Z7" s="30">
        <f>Y7+1</f>
        <v>23</v>
      </c>
      <c r="AA7" s="28">
        <f t="shared" ref="AA7:AB7" si="9">Z7+1</f>
        <v>24</v>
      </c>
      <c r="AB7" s="30">
        <f t="shared" si="9"/>
        <v>25</v>
      </c>
      <c r="AC7" s="28">
        <f t="shared" ref="AC7" si="10">AB7+1</f>
        <v>26</v>
      </c>
    </row>
    <row r="8" spans="1:29" s="35" customFormat="1" ht="15.75" thickBot="1" x14ac:dyDescent="0.3">
      <c r="A8" s="31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9" s="21" customFormat="1" x14ac:dyDescent="0.25">
      <c r="A9" s="26"/>
      <c r="B9" s="36" t="s">
        <v>27</v>
      </c>
      <c r="C9" s="37" t="s">
        <v>28</v>
      </c>
      <c r="D9" s="227">
        <f>Assumption!C9*1000</f>
        <v>40000</v>
      </c>
      <c r="E9" s="227">
        <f>D9</f>
        <v>40000</v>
      </c>
      <c r="F9" s="227">
        <f t="shared" ref="F9:AC9" si="11">E9</f>
        <v>40000</v>
      </c>
      <c r="G9" s="227">
        <f t="shared" si="11"/>
        <v>40000</v>
      </c>
      <c r="H9" s="227">
        <f t="shared" si="11"/>
        <v>40000</v>
      </c>
      <c r="I9" s="227">
        <f t="shared" si="11"/>
        <v>40000</v>
      </c>
      <c r="J9" s="227">
        <f t="shared" si="11"/>
        <v>40000</v>
      </c>
      <c r="K9" s="227">
        <f t="shared" si="11"/>
        <v>40000</v>
      </c>
      <c r="L9" s="227">
        <f t="shared" si="11"/>
        <v>40000</v>
      </c>
      <c r="M9" s="227">
        <f t="shared" si="11"/>
        <v>40000</v>
      </c>
      <c r="N9" s="227">
        <f t="shared" si="11"/>
        <v>40000</v>
      </c>
      <c r="O9" s="227">
        <f t="shared" si="11"/>
        <v>40000</v>
      </c>
      <c r="P9" s="227">
        <f t="shared" si="11"/>
        <v>40000</v>
      </c>
      <c r="Q9" s="227">
        <f t="shared" si="11"/>
        <v>40000</v>
      </c>
      <c r="R9" s="227">
        <f t="shared" si="11"/>
        <v>40000</v>
      </c>
      <c r="S9" s="227">
        <f t="shared" si="11"/>
        <v>40000</v>
      </c>
      <c r="T9" s="227">
        <f t="shared" si="11"/>
        <v>40000</v>
      </c>
      <c r="U9" s="227">
        <f t="shared" si="11"/>
        <v>40000</v>
      </c>
      <c r="V9" s="227">
        <f t="shared" si="11"/>
        <v>40000</v>
      </c>
      <c r="W9" s="227">
        <f t="shared" si="11"/>
        <v>40000</v>
      </c>
      <c r="X9" s="227">
        <f t="shared" si="11"/>
        <v>40000</v>
      </c>
      <c r="Y9" s="227">
        <f t="shared" si="11"/>
        <v>40000</v>
      </c>
      <c r="Z9" s="227">
        <f t="shared" si="11"/>
        <v>40000</v>
      </c>
      <c r="AA9" s="227">
        <f t="shared" si="11"/>
        <v>40000</v>
      </c>
      <c r="AB9" s="227">
        <f t="shared" si="11"/>
        <v>40000</v>
      </c>
      <c r="AC9" s="227">
        <f t="shared" si="11"/>
        <v>40000</v>
      </c>
    </row>
    <row r="10" spans="1:29" x14ac:dyDescent="0.25">
      <c r="A10" s="22"/>
      <c r="B10" s="38" t="s">
        <v>29</v>
      </c>
      <c r="C10" s="206" t="s">
        <v>18</v>
      </c>
      <c r="D10" s="207">
        <f>Assumption!$C$13</f>
        <v>0.19800000000000001</v>
      </c>
      <c r="E10" s="207">
        <f>Assumption!$C$13</f>
        <v>0.19800000000000001</v>
      </c>
      <c r="F10" s="207">
        <f>Assumption!$C$13</f>
        <v>0.19800000000000001</v>
      </c>
      <c r="G10" s="207">
        <f>Assumption!$C$13</f>
        <v>0.19800000000000001</v>
      </c>
      <c r="H10" s="207">
        <f>Assumption!$C$13</f>
        <v>0.19800000000000001</v>
      </c>
      <c r="I10" s="207">
        <f>Assumption!$C$13</f>
        <v>0.19800000000000001</v>
      </c>
      <c r="J10" s="207">
        <f>Assumption!$C$13</f>
        <v>0.19800000000000001</v>
      </c>
      <c r="K10" s="207">
        <f>Assumption!$C$13</f>
        <v>0.19800000000000001</v>
      </c>
      <c r="L10" s="207">
        <f>Assumption!$C$13</f>
        <v>0.19800000000000001</v>
      </c>
      <c r="M10" s="207">
        <f>Assumption!$C$13</f>
        <v>0.19800000000000001</v>
      </c>
      <c r="N10" s="207">
        <f>Assumption!$C$13</f>
        <v>0.19800000000000001</v>
      </c>
      <c r="O10" s="207">
        <f>Assumption!$C$13</f>
        <v>0.19800000000000001</v>
      </c>
      <c r="P10" s="207">
        <f>Assumption!$C$13</f>
        <v>0.19800000000000001</v>
      </c>
      <c r="Q10" s="207">
        <f>Assumption!$C$13</f>
        <v>0.19800000000000001</v>
      </c>
      <c r="R10" s="207">
        <f>Assumption!$C$13</f>
        <v>0.19800000000000001</v>
      </c>
      <c r="S10" s="207">
        <f>Assumption!$C$13</f>
        <v>0.19800000000000001</v>
      </c>
      <c r="T10" s="207">
        <f>Assumption!$C$13</f>
        <v>0.19800000000000001</v>
      </c>
      <c r="U10" s="207">
        <f>Assumption!$C$13</f>
        <v>0.19800000000000001</v>
      </c>
      <c r="V10" s="207">
        <f>Assumption!$C$13</f>
        <v>0.19800000000000001</v>
      </c>
      <c r="W10" s="207">
        <f>Assumption!$C$13</f>
        <v>0.19800000000000001</v>
      </c>
      <c r="X10" s="208">
        <f>Assumption!$C$13</f>
        <v>0.19800000000000001</v>
      </c>
      <c r="Y10" s="207">
        <f>Assumption!$C$13</f>
        <v>0.19800000000000001</v>
      </c>
      <c r="Z10" s="208">
        <f>Assumption!$C$13</f>
        <v>0.19800000000000001</v>
      </c>
      <c r="AA10" s="207">
        <f>Assumption!$C$13</f>
        <v>0.19800000000000001</v>
      </c>
      <c r="AB10" s="208">
        <f>Assumption!$C$13</f>
        <v>0.19800000000000001</v>
      </c>
      <c r="AC10" s="207">
        <f>Assumption!$C$13</f>
        <v>0.19800000000000001</v>
      </c>
    </row>
    <row r="11" spans="1:29" s="21" customFormat="1" x14ac:dyDescent="0.25">
      <c r="A11" s="26"/>
      <c r="B11" s="39" t="s">
        <v>30</v>
      </c>
      <c r="C11" s="179"/>
      <c r="D11" s="209">
        <f>D6-C6+1</f>
        <v>191</v>
      </c>
      <c r="E11" s="209">
        <f t="shared" ref="E11:W11" si="12">E6-D6</f>
        <v>365</v>
      </c>
      <c r="F11" s="209">
        <f t="shared" si="12"/>
        <v>365</v>
      </c>
      <c r="G11" s="209">
        <f t="shared" si="12"/>
        <v>365</v>
      </c>
      <c r="H11" s="209">
        <f t="shared" si="12"/>
        <v>366</v>
      </c>
      <c r="I11" s="209">
        <f t="shared" si="12"/>
        <v>365</v>
      </c>
      <c r="J11" s="209">
        <f t="shared" si="12"/>
        <v>365</v>
      </c>
      <c r="K11" s="209">
        <f t="shared" si="12"/>
        <v>365</v>
      </c>
      <c r="L11" s="209">
        <f t="shared" si="12"/>
        <v>366</v>
      </c>
      <c r="M11" s="209">
        <f t="shared" si="12"/>
        <v>365</v>
      </c>
      <c r="N11" s="209">
        <f t="shared" si="12"/>
        <v>365</v>
      </c>
      <c r="O11" s="209">
        <f t="shared" si="12"/>
        <v>365</v>
      </c>
      <c r="P11" s="209">
        <f t="shared" si="12"/>
        <v>366</v>
      </c>
      <c r="Q11" s="209">
        <f t="shared" si="12"/>
        <v>365</v>
      </c>
      <c r="R11" s="209">
        <f t="shared" si="12"/>
        <v>365</v>
      </c>
      <c r="S11" s="209">
        <f t="shared" si="12"/>
        <v>365</v>
      </c>
      <c r="T11" s="209">
        <f t="shared" si="12"/>
        <v>366</v>
      </c>
      <c r="U11" s="209">
        <f t="shared" si="12"/>
        <v>365</v>
      </c>
      <c r="V11" s="209">
        <f t="shared" si="12"/>
        <v>365</v>
      </c>
      <c r="W11" s="209">
        <f t="shared" si="12"/>
        <v>365</v>
      </c>
      <c r="X11" s="210">
        <f>X6-W6</f>
        <v>366</v>
      </c>
      <c r="Y11" s="209">
        <f t="shared" ref="Y11:Z11" si="13">Y6-X6</f>
        <v>365</v>
      </c>
      <c r="Z11" s="210">
        <f t="shared" si="13"/>
        <v>365</v>
      </c>
      <c r="AA11" s="209">
        <f t="shared" ref="AA11:AB11" si="14">AA6-Z6</f>
        <v>365</v>
      </c>
      <c r="AB11" s="210">
        <f t="shared" si="14"/>
        <v>366</v>
      </c>
      <c r="AC11" s="209">
        <f t="shared" ref="AC11" si="15">AC6-AB6</f>
        <v>365</v>
      </c>
    </row>
    <row r="12" spans="1:29" s="21" customFormat="1" x14ac:dyDescent="0.25">
      <c r="A12" s="26"/>
      <c r="B12" s="39" t="s">
        <v>31</v>
      </c>
      <c r="C12" s="179" t="s">
        <v>32</v>
      </c>
      <c r="D12" s="209">
        <f t="shared" ref="D12:AB12" si="16">D11*24</f>
        <v>4584</v>
      </c>
      <c r="E12" s="209">
        <f t="shared" si="16"/>
        <v>8760</v>
      </c>
      <c r="F12" s="209">
        <f t="shared" si="16"/>
        <v>8760</v>
      </c>
      <c r="G12" s="209">
        <f t="shared" si="16"/>
        <v>8760</v>
      </c>
      <c r="H12" s="209">
        <f t="shared" si="16"/>
        <v>8784</v>
      </c>
      <c r="I12" s="209">
        <f t="shared" si="16"/>
        <v>8760</v>
      </c>
      <c r="J12" s="209">
        <f t="shared" si="16"/>
        <v>8760</v>
      </c>
      <c r="K12" s="209">
        <f t="shared" si="16"/>
        <v>8760</v>
      </c>
      <c r="L12" s="209">
        <f t="shared" si="16"/>
        <v>8784</v>
      </c>
      <c r="M12" s="209">
        <f t="shared" si="16"/>
        <v>8760</v>
      </c>
      <c r="N12" s="209">
        <f t="shared" si="16"/>
        <v>8760</v>
      </c>
      <c r="O12" s="209">
        <f t="shared" si="16"/>
        <v>8760</v>
      </c>
      <c r="P12" s="209">
        <f t="shared" si="16"/>
        <v>8784</v>
      </c>
      <c r="Q12" s="209">
        <f t="shared" si="16"/>
        <v>8760</v>
      </c>
      <c r="R12" s="209">
        <f t="shared" si="16"/>
        <v>8760</v>
      </c>
      <c r="S12" s="209">
        <f t="shared" si="16"/>
        <v>8760</v>
      </c>
      <c r="T12" s="209">
        <f t="shared" si="16"/>
        <v>8784</v>
      </c>
      <c r="U12" s="209">
        <f t="shared" si="16"/>
        <v>8760</v>
      </c>
      <c r="V12" s="209">
        <f t="shared" si="16"/>
        <v>8760</v>
      </c>
      <c r="W12" s="209">
        <f t="shared" ref="W12:AC12" si="17">W11*24</f>
        <v>8760</v>
      </c>
      <c r="X12" s="210">
        <f t="shared" si="16"/>
        <v>8784</v>
      </c>
      <c r="Y12" s="209">
        <f t="shared" si="17"/>
        <v>8760</v>
      </c>
      <c r="Z12" s="210">
        <f t="shared" si="16"/>
        <v>8760</v>
      </c>
      <c r="AA12" s="209">
        <f t="shared" si="17"/>
        <v>8760</v>
      </c>
      <c r="AB12" s="210">
        <f t="shared" si="16"/>
        <v>8784</v>
      </c>
      <c r="AC12" s="209">
        <f t="shared" si="17"/>
        <v>8760</v>
      </c>
    </row>
    <row r="13" spans="1:29" s="21" customFormat="1" x14ac:dyDescent="0.25">
      <c r="A13" s="26"/>
      <c r="B13" s="219" t="s">
        <v>99</v>
      </c>
      <c r="C13" s="220" t="s">
        <v>100</v>
      </c>
      <c r="D13" s="223">
        <f>D9*D10*D12</f>
        <v>36305280</v>
      </c>
      <c r="E13" s="221">
        <f t="shared" ref="E13:AC13" si="18">E9*E10*E12</f>
        <v>69379200</v>
      </c>
      <c r="F13" s="221">
        <f t="shared" si="18"/>
        <v>69379200</v>
      </c>
      <c r="G13" s="221">
        <f t="shared" si="18"/>
        <v>69379200</v>
      </c>
      <c r="H13" s="221">
        <f t="shared" si="18"/>
        <v>69569280</v>
      </c>
      <c r="I13" s="221">
        <f t="shared" si="18"/>
        <v>69379200</v>
      </c>
      <c r="J13" s="221">
        <f t="shared" si="18"/>
        <v>69379200</v>
      </c>
      <c r="K13" s="221">
        <f t="shared" si="18"/>
        <v>69379200</v>
      </c>
      <c r="L13" s="221">
        <f t="shared" si="18"/>
        <v>69569280</v>
      </c>
      <c r="M13" s="221">
        <f t="shared" si="18"/>
        <v>69379200</v>
      </c>
      <c r="N13" s="221">
        <f t="shared" si="18"/>
        <v>69379200</v>
      </c>
      <c r="O13" s="221">
        <f t="shared" si="18"/>
        <v>69379200</v>
      </c>
      <c r="P13" s="221">
        <f t="shared" si="18"/>
        <v>69569280</v>
      </c>
      <c r="Q13" s="221">
        <f t="shared" si="18"/>
        <v>69379200</v>
      </c>
      <c r="R13" s="221">
        <f t="shared" si="18"/>
        <v>69379200</v>
      </c>
      <c r="S13" s="221">
        <f t="shared" si="18"/>
        <v>69379200</v>
      </c>
      <c r="T13" s="221">
        <f t="shared" si="18"/>
        <v>69569280</v>
      </c>
      <c r="U13" s="221">
        <f t="shared" si="18"/>
        <v>69379200</v>
      </c>
      <c r="V13" s="221">
        <f t="shared" si="18"/>
        <v>69379200</v>
      </c>
      <c r="W13" s="221">
        <f t="shared" si="18"/>
        <v>69379200</v>
      </c>
      <c r="X13" s="222">
        <f t="shared" si="18"/>
        <v>69569280</v>
      </c>
      <c r="Y13" s="221">
        <f t="shared" si="18"/>
        <v>69379200</v>
      </c>
      <c r="Z13" s="222">
        <f t="shared" si="18"/>
        <v>69379200</v>
      </c>
      <c r="AA13" s="221">
        <f t="shared" si="18"/>
        <v>69379200</v>
      </c>
      <c r="AB13" s="222">
        <f t="shared" si="18"/>
        <v>69569280</v>
      </c>
      <c r="AC13" s="221">
        <f t="shared" si="18"/>
        <v>69379200</v>
      </c>
    </row>
    <row r="14" spans="1:29" s="21" customFormat="1" x14ac:dyDescent="0.25">
      <c r="A14" s="26"/>
      <c r="B14" s="219" t="s">
        <v>184</v>
      </c>
      <c r="C14" s="220" t="s">
        <v>18</v>
      </c>
      <c r="D14" s="278"/>
      <c r="E14" s="278">
        <f>Assumption!C15</f>
        <v>3.0000000000000001E-3</v>
      </c>
      <c r="F14" s="278">
        <f>E14*(1-Assumption!$C$15)</f>
        <v>2.9910000000000002E-3</v>
      </c>
      <c r="G14" s="278">
        <f>F14*(1-Assumption!$C$15)</f>
        <v>2.9820270000000004E-3</v>
      </c>
      <c r="H14" s="278">
        <f>G14*(1-Assumption!$C$15)</f>
        <v>2.9730809190000006E-3</v>
      </c>
      <c r="I14" s="278">
        <f>H14*(1-Assumption!$C$15)</f>
        <v>2.9641616762430007E-3</v>
      </c>
      <c r="J14" s="278">
        <f>I14*(1-Assumption!$C$15)</f>
        <v>2.9552691912142718E-3</v>
      </c>
      <c r="K14" s="278">
        <f>J14*(1-Assumption!$C$15)</f>
        <v>2.946403383640629E-3</v>
      </c>
      <c r="L14" s="278">
        <f>K14*(1-Assumption!$C$15)</f>
        <v>2.9375641734897071E-3</v>
      </c>
      <c r="M14" s="278">
        <f>L14*(1-Assumption!$C$15)</f>
        <v>2.9287514809692378E-3</v>
      </c>
      <c r="N14" s="278">
        <f>M14*(1-Assumption!$C$15)</f>
        <v>2.9199652265263299E-3</v>
      </c>
      <c r="O14" s="278">
        <f>N14*(1-Assumption!$C$15)</f>
        <v>2.9112053308467511E-3</v>
      </c>
      <c r="P14" s="278">
        <f>O14*(1-Assumption!$C$15)</f>
        <v>2.9024717148542108E-3</v>
      </c>
      <c r="Q14" s="278">
        <f>P14*(1-Assumption!$C$15)</f>
        <v>2.8937642997096482E-3</v>
      </c>
      <c r="R14" s="278">
        <f>Q14*(1-Assumption!$C$15)</f>
        <v>2.8850830068105193E-3</v>
      </c>
      <c r="S14" s="278">
        <f>R14*(1-Assumption!$C$15)</f>
        <v>2.8764277577900876E-3</v>
      </c>
      <c r="T14" s="278">
        <f>S14*(1-Assumption!$C$15)</f>
        <v>2.8677984745167175E-3</v>
      </c>
      <c r="U14" s="278">
        <f>T14*(1-Assumption!$C$15)</f>
        <v>2.8591950790931675E-3</v>
      </c>
      <c r="V14" s="278">
        <f>U14*(1-Assumption!$C$15)</f>
        <v>2.8506174938558878E-3</v>
      </c>
      <c r="W14" s="278">
        <f>V14*(1-Assumption!$C$15)</f>
        <v>2.8420656413743199E-3</v>
      </c>
      <c r="X14" s="278">
        <f>W14*(1-Assumption!$C$15)</f>
        <v>2.8335394444501971E-3</v>
      </c>
      <c r="Y14" s="278">
        <f>X14*(1-Assumption!$C$15)</f>
        <v>2.8250388261168466E-3</v>
      </c>
      <c r="Z14" s="278">
        <f>Y14*(1-Assumption!$C$15)</f>
        <v>2.8165637096384962E-3</v>
      </c>
      <c r="AA14" s="278">
        <f>Z14*(1-Assumption!$C$15)</f>
        <v>2.8081140185095806E-3</v>
      </c>
      <c r="AB14" s="278">
        <f>AA14*(1-Assumption!$C$15)</f>
        <v>2.7996896764540518E-3</v>
      </c>
      <c r="AC14" s="278">
        <f>AB14*(1-Assumption!$C$15)</f>
        <v>2.7912906074246896E-3</v>
      </c>
    </row>
    <row r="15" spans="1:29" ht="15.75" thickBot="1" x14ac:dyDescent="0.3">
      <c r="A15" s="16"/>
      <c r="B15" s="233" t="s">
        <v>113</v>
      </c>
      <c r="C15" s="231" t="s">
        <v>100</v>
      </c>
      <c r="D15" s="232">
        <f>D13*(1-D14)</f>
        <v>36305280</v>
      </c>
      <c r="E15" s="232">
        <f t="shared" ref="E15:AC15" si="19">E13*(1-E14)</f>
        <v>69171062.400000006</v>
      </c>
      <c r="F15" s="232">
        <f t="shared" si="19"/>
        <v>69171686.812800005</v>
      </c>
      <c r="G15" s="232">
        <f t="shared" si="19"/>
        <v>69172309.35236159</v>
      </c>
      <c r="H15" s="232">
        <f t="shared" si="19"/>
        <v>69362444.90108344</v>
      </c>
      <c r="I15" s="232">
        <f t="shared" si="19"/>
        <v>69173548.8342316</v>
      </c>
      <c r="J15" s="232">
        <f t="shared" si="19"/>
        <v>69174165.787728906</v>
      </c>
      <c r="K15" s="232">
        <f t="shared" si="19"/>
        <v>69174780.89036572</v>
      </c>
      <c r="L15" s="232">
        <f t="shared" si="19"/>
        <v>69364915.775496528</v>
      </c>
      <c r="M15" s="232">
        <f t="shared" si="19"/>
        <v>69176005.565251544</v>
      </c>
      <c r="N15" s="232">
        <f t="shared" si="19"/>
        <v>69176615.148555785</v>
      </c>
      <c r="O15" s="232">
        <f t="shared" si="19"/>
        <v>69177222.903110117</v>
      </c>
      <c r="P15" s="232">
        <f t="shared" si="19"/>
        <v>69367357.132577226</v>
      </c>
      <c r="Q15" s="232">
        <f t="shared" si="19"/>
        <v>69178432.947897583</v>
      </c>
      <c r="R15" s="232">
        <f t="shared" si="19"/>
        <v>69179035.249053895</v>
      </c>
      <c r="S15" s="232">
        <f t="shared" si="19"/>
        <v>69179635.743306726</v>
      </c>
      <c r="T15" s="232">
        <f t="shared" si="19"/>
        <v>69369769.324942783</v>
      </c>
      <c r="U15" s="232">
        <f t="shared" si="19"/>
        <v>69180831.332768574</v>
      </c>
      <c r="V15" s="232">
        <f t="shared" si="19"/>
        <v>69181426.438770279</v>
      </c>
      <c r="W15" s="232">
        <f t="shared" si="19"/>
        <v>69182019.759453967</v>
      </c>
      <c r="X15" s="232">
        <f t="shared" si="19"/>
        <v>69372152.700997993</v>
      </c>
      <c r="Y15" s="232">
        <f t="shared" si="19"/>
        <v>69183201.066275075</v>
      </c>
      <c r="Z15" s="232">
        <f t="shared" si="19"/>
        <v>69183789.063076258</v>
      </c>
      <c r="AA15" s="232">
        <f t="shared" si="19"/>
        <v>69184375.295887023</v>
      </c>
      <c r="AB15" s="232">
        <f t="shared" si="19"/>
        <v>69374507.604985654</v>
      </c>
      <c r="AC15" s="232">
        <f t="shared" si="19"/>
        <v>69185542.490689367</v>
      </c>
    </row>
    <row r="16" spans="1:29" ht="15.75" thickBot="1" x14ac:dyDescent="0.3">
      <c r="A16" s="16"/>
      <c r="B16" s="224"/>
      <c r="C16" s="47"/>
      <c r="D16" s="225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</row>
    <row r="17" spans="1:29" s="47" customFormat="1" ht="15.75" thickBot="1" x14ac:dyDescent="0.3">
      <c r="A17" s="44"/>
      <c r="B17" s="187" t="s">
        <v>171</v>
      </c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9" x14ac:dyDescent="0.25">
      <c r="A18" s="16"/>
      <c r="B18" s="48" t="s">
        <v>172</v>
      </c>
      <c r="C18" s="49" t="s">
        <v>100</v>
      </c>
      <c r="D18" s="50">
        <f>D15*(1-Assumption!$C$18)</f>
        <v>36305280</v>
      </c>
      <c r="E18" s="50">
        <f>E15*(1-Assumption!$C$18)</f>
        <v>69171062.400000006</v>
      </c>
      <c r="F18" s="50">
        <f>F15*(1-Assumption!$C$18)</f>
        <v>69171686.812800005</v>
      </c>
      <c r="G18" s="50">
        <f>G15*(1-Assumption!$C$18)</f>
        <v>69172309.35236159</v>
      </c>
      <c r="H18" s="50">
        <f>H15*(1-Assumption!$C$18)</f>
        <v>69362444.90108344</v>
      </c>
      <c r="I18" s="50">
        <f>I15*(1-Assumption!$C$18)</f>
        <v>69173548.8342316</v>
      </c>
      <c r="J18" s="50">
        <f>J15*(1-Assumption!$C$18)</f>
        <v>69174165.787728906</v>
      </c>
      <c r="K18" s="50">
        <f>K15*(1-Assumption!$C$18)</f>
        <v>69174780.89036572</v>
      </c>
      <c r="L18" s="50">
        <f>L15*(1-Assumption!$C$18)</f>
        <v>69364915.775496528</v>
      </c>
      <c r="M18" s="50">
        <f>M15*(1-Assumption!$C$18)</f>
        <v>69176005.565251544</v>
      </c>
      <c r="N18" s="50">
        <f>N15*(1-Assumption!$C$18)</f>
        <v>69176615.148555785</v>
      </c>
      <c r="O18" s="50">
        <f>O15*(1-Assumption!$C$18)</f>
        <v>69177222.903110117</v>
      </c>
      <c r="P18" s="50">
        <f>P15*(1-Assumption!$C$18)</f>
        <v>69367357.132577226</v>
      </c>
      <c r="Q18" s="50">
        <f>Q15*(1-Assumption!$C$18)</f>
        <v>69178432.947897583</v>
      </c>
      <c r="R18" s="50">
        <f>R15*(1-Assumption!$C$18)</f>
        <v>69179035.249053895</v>
      </c>
      <c r="S18" s="50">
        <f>S15*(1-Assumption!$C$18)</f>
        <v>69179635.743306726</v>
      </c>
      <c r="T18" s="50">
        <f>T15*(1-Assumption!$C$18)</f>
        <v>69369769.324942783</v>
      </c>
      <c r="U18" s="50">
        <f>U15*(1-Assumption!$C$18)</f>
        <v>69180831.332768574</v>
      </c>
      <c r="V18" s="50">
        <f>V15*(1-Assumption!$C$18)</f>
        <v>69181426.438770279</v>
      </c>
      <c r="W18" s="50">
        <f>W15*(1-Assumption!$C$18)</f>
        <v>69182019.759453967</v>
      </c>
      <c r="X18" s="50">
        <f>X15*(1-Assumption!$C$18)</f>
        <v>69372152.700997993</v>
      </c>
      <c r="Y18" s="50">
        <f>Y15*(1-Assumption!$C$18)</f>
        <v>69183201.066275075</v>
      </c>
      <c r="Z18" s="50">
        <f>Z15*(1-Assumption!$C$18)</f>
        <v>69183789.063076258</v>
      </c>
      <c r="AA18" s="50">
        <f>AA15*(1-Assumption!$C$18)</f>
        <v>69184375.295887023</v>
      </c>
      <c r="AB18" s="50">
        <f>AB15*(1-Assumption!$C$18)</f>
        <v>69374507.604985654</v>
      </c>
      <c r="AC18" s="50">
        <f>AC15*(1-Assumption!$C$18)</f>
        <v>69185542.490689367</v>
      </c>
    </row>
    <row r="19" spans="1:29" x14ac:dyDescent="0.25">
      <c r="A19" s="16"/>
      <c r="B19" s="51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</row>
    <row r="20" spans="1:29" x14ac:dyDescent="0.25">
      <c r="A20" s="22"/>
      <c r="B20" s="51" t="s">
        <v>33</v>
      </c>
      <c r="C20" s="40" t="s">
        <v>34</v>
      </c>
      <c r="D20" s="52">
        <f>Assumption!C16</f>
        <v>6.28</v>
      </c>
      <c r="E20" s="53">
        <f>D20*(1+Assumption!$C$17)</f>
        <v>6.28</v>
      </c>
      <c r="F20" s="53">
        <f>E20*(1+Assumption!$C$17)</f>
        <v>6.28</v>
      </c>
      <c r="G20" s="53">
        <f>F20*(1+Assumption!$C$17)</f>
        <v>6.28</v>
      </c>
      <c r="H20" s="53">
        <f>G20*(1+Assumption!$C$17)</f>
        <v>6.28</v>
      </c>
      <c r="I20" s="53">
        <f>H20*(1+Assumption!$C$17)</f>
        <v>6.28</v>
      </c>
      <c r="J20" s="53">
        <f>I20*(1+Assumption!$C$17)</f>
        <v>6.28</v>
      </c>
      <c r="K20" s="53">
        <f>J20*(1+Assumption!$C$17)</f>
        <v>6.28</v>
      </c>
      <c r="L20" s="53">
        <f>K20*(1+Assumption!$C$17)</f>
        <v>6.28</v>
      </c>
      <c r="M20" s="53">
        <f>L20*(1+Assumption!$C$17)</f>
        <v>6.28</v>
      </c>
      <c r="N20" s="53">
        <f>M20</f>
        <v>6.28</v>
      </c>
      <c r="O20" s="53">
        <f>N20</f>
        <v>6.28</v>
      </c>
      <c r="P20" s="53">
        <f t="shared" ref="P20:AC20" si="20">O20</f>
        <v>6.28</v>
      </c>
      <c r="Q20" s="53">
        <f t="shared" si="20"/>
        <v>6.28</v>
      </c>
      <c r="R20" s="53">
        <f t="shared" si="20"/>
        <v>6.28</v>
      </c>
      <c r="S20" s="53">
        <f t="shared" si="20"/>
        <v>6.28</v>
      </c>
      <c r="T20" s="53">
        <f t="shared" si="20"/>
        <v>6.28</v>
      </c>
      <c r="U20" s="53">
        <f t="shared" si="20"/>
        <v>6.28</v>
      </c>
      <c r="V20" s="53">
        <f t="shared" si="20"/>
        <v>6.28</v>
      </c>
      <c r="W20" s="53">
        <f t="shared" si="20"/>
        <v>6.28</v>
      </c>
      <c r="X20" s="53">
        <f t="shared" si="20"/>
        <v>6.28</v>
      </c>
      <c r="Y20" s="53">
        <f t="shared" si="20"/>
        <v>6.28</v>
      </c>
      <c r="Z20" s="53">
        <f t="shared" si="20"/>
        <v>6.28</v>
      </c>
      <c r="AA20" s="53">
        <f t="shared" si="20"/>
        <v>6.28</v>
      </c>
      <c r="AB20" s="53">
        <f t="shared" si="20"/>
        <v>6.28</v>
      </c>
      <c r="AC20" s="53">
        <f t="shared" si="20"/>
        <v>6.28</v>
      </c>
    </row>
    <row r="21" spans="1:29" x14ac:dyDescent="0.25">
      <c r="A21" s="26"/>
      <c r="B21" s="51"/>
      <c r="C21" s="40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</row>
    <row r="22" spans="1:29" x14ac:dyDescent="0.25">
      <c r="A22" s="26"/>
      <c r="B22" s="51" t="s">
        <v>173</v>
      </c>
      <c r="C22" s="40" t="s">
        <v>35</v>
      </c>
      <c r="D22" s="53">
        <f t="shared" ref="D22:T22" si="21">D18*D20/1000000</f>
        <v>227.99715840000002</v>
      </c>
      <c r="E22" s="53">
        <f t="shared" si="21"/>
        <v>434.39427187200005</v>
      </c>
      <c r="F22" s="53">
        <f t="shared" si="21"/>
        <v>434.39819318438407</v>
      </c>
      <c r="G22" s="53">
        <f t="shared" si="21"/>
        <v>434.40210273283083</v>
      </c>
      <c r="H22" s="53">
        <f t="shared" si="21"/>
        <v>435.59615397880401</v>
      </c>
      <c r="I22" s="53">
        <f t="shared" si="21"/>
        <v>434.40988667897443</v>
      </c>
      <c r="J22" s="53">
        <f t="shared" si="21"/>
        <v>434.41376114693753</v>
      </c>
      <c r="K22" s="53">
        <f t="shared" si="21"/>
        <v>434.41762399149673</v>
      </c>
      <c r="L22" s="53">
        <f t="shared" si="21"/>
        <v>435.61167107011818</v>
      </c>
      <c r="M22" s="53">
        <f t="shared" si="21"/>
        <v>434.4253149497797</v>
      </c>
      <c r="N22" s="53">
        <f t="shared" si="21"/>
        <v>434.42914313293034</v>
      </c>
      <c r="O22" s="53">
        <f t="shared" si="21"/>
        <v>434.43295983153155</v>
      </c>
      <c r="P22" s="53">
        <f t="shared" si="21"/>
        <v>435.62700279258502</v>
      </c>
      <c r="Q22" s="53">
        <f t="shared" si="21"/>
        <v>434.44055891279686</v>
      </c>
      <c r="R22" s="53">
        <f t="shared" si="21"/>
        <v>434.44434136405852</v>
      </c>
      <c r="S22" s="53">
        <f t="shared" si="21"/>
        <v>434.44811246796627</v>
      </c>
      <c r="T22" s="53">
        <f t="shared" si="21"/>
        <v>435.6421513606407</v>
      </c>
      <c r="U22" s="53">
        <f t="shared" ref="U22:AC22" si="22">U18*U20/1000000</f>
        <v>434.45562076978666</v>
      </c>
      <c r="V22" s="53">
        <f t="shared" si="22"/>
        <v>434.45935803547741</v>
      </c>
      <c r="W22" s="53">
        <f t="shared" si="22"/>
        <v>434.46308408937091</v>
      </c>
      <c r="X22" s="54">
        <f t="shared" si="22"/>
        <v>435.65711896226742</v>
      </c>
      <c r="Y22" s="53">
        <f t="shared" si="22"/>
        <v>434.47050269620746</v>
      </c>
      <c r="Z22" s="53">
        <f t="shared" si="22"/>
        <v>434.47419531611888</v>
      </c>
      <c r="AA22" s="54">
        <f t="shared" si="22"/>
        <v>434.47787685817053</v>
      </c>
      <c r="AB22" s="53">
        <f t="shared" si="22"/>
        <v>435.67190775930993</v>
      </c>
      <c r="AC22" s="53">
        <f t="shared" si="22"/>
        <v>434.48520684152925</v>
      </c>
    </row>
    <row r="23" spans="1:29" x14ac:dyDescent="0.25">
      <c r="A23" s="26"/>
      <c r="B23" s="276" t="s">
        <v>185</v>
      </c>
      <c r="C23" s="40" t="s">
        <v>35</v>
      </c>
      <c r="D23" s="53">
        <f>D18*Assumption!$C$19/1000000</f>
        <v>0</v>
      </c>
      <c r="E23" s="277">
        <f>IF(E7&lt;12,IF(MIN(E18*Assumption!$C$19/1000000,Assumption!$C$9*10000000/1000000-SUM($D$23:D23))&lt;0,0,MIN(E18*Assumption!$C$19/1000000,Assumption!$C$9*10000000/1000000-SUM($D$23:D23))),0)</f>
        <v>0</v>
      </c>
      <c r="F23" s="277">
        <f>IF(F7&lt;12,IF(MIN(F18*Assumption!$C$19/1000000,Assumption!$C$9*10000000/1000000-SUM($D$23:E23))&lt;0,0,MIN(F18*Assumption!$C$19/1000000,Assumption!$C$9*10000000/1000000-SUM($D$23:E23))),0)</f>
        <v>0</v>
      </c>
      <c r="G23" s="277">
        <f>IF(G7&lt;12,IF(MIN(G18*Assumption!$C$19/1000000,Assumption!$C$9*10000000/1000000-SUM($D$23:F23))&lt;0,0,MIN(G18*Assumption!$C$19/1000000,Assumption!$C$9*10000000/1000000-SUM($D$23:F23))),0)</f>
        <v>0</v>
      </c>
      <c r="H23" s="277">
        <f>IF(H7&lt;12,IF(MIN(H18*Assumption!$C$19/1000000,Assumption!$C$9*10000000/1000000-SUM($D$23:G23))&lt;0,0,MIN(H18*Assumption!$C$19/1000000,Assumption!$C$9*10000000/1000000-SUM($D$23:G23))),0)</f>
        <v>0</v>
      </c>
      <c r="I23" s="277">
        <f>IF(I7&lt;12,IF(MIN(I18*Assumption!$C$19/1000000,Assumption!$C$9*10000000/1000000-SUM($D$23:H23))&lt;0,0,MIN(I18*Assumption!$C$19/1000000,Assumption!$C$9*10000000/1000000-SUM($D$23:H23))),0)</f>
        <v>0</v>
      </c>
      <c r="J23" s="277">
        <f>IF(J7&lt;12,IF(MIN(J18*Assumption!$C$19/1000000,Assumption!$C$9*10000000/1000000-SUM($D$23:I23))&lt;0,0,MIN(J18*Assumption!$C$19/1000000,Assumption!$C$9*10000000/1000000-SUM($D$23:I23))),0)</f>
        <v>0</v>
      </c>
      <c r="K23" s="277">
        <f>IF(K7&lt;12,IF(MIN(K18*Assumption!$C$19/1000000,Assumption!$C$9*10000000/1000000-SUM($D$23:J23))&lt;0,0,MIN(K18*Assumption!$C$19/1000000,Assumption!$C$9*10000000/1000000-SUM($D$23:J23))),0)</f>
        <v>0</v>
      </c>
      <c r="L23" s="277">
        <f>IF(L7&lt;12,IF(MIN(L18*Assumption!$C$19/1000000,Assumption!$C$9*10000000/1000000-SUM($D$23:K23))&lt;0,0,MIN(L18*Assumption!$C$19/1000000,Assumption!$C$9*10000000/1000000-SUM($D$23:K23))),0)</f>
        <v>0</v>
      </c>
      <c r="M23" s="277">
        <f>IF(M7&lt;12,IF(MIN(M18*Assumption!$C$19/1000000,Assumption!$C$9*10000000/1000000-SUM($D$23:L23))&lt;0,0,MIN(M18*Assumption!$C$19/1000000,Assumption!$C$9*10000000/1000000-SUM($D$23:L23))),0)</f>
        <v>0</v>
      </c>
      <c r="N23" s="277">
        <f>IF(N7&lt;12,IF(MIN(N18*Assumption!$C$19/1000000,Assumption!$C$9*10000000/1000000-SUM($D$23:M23))&lt;0,0,MIN(N18*Assumption!$C$19/1000000,Assumption!$C$9*10000000/1000000-SUM($D$23:M23))),0)</f>
        <v>0</v>
      </c>
      <c r="O23" s="277">
        <f>IF(O7&lt;12,IF(MIN(O18*Assumption!$C$19/1000000,Assumption!$C$9*10000000/1000000-SUM($D$23:N23))&lt;0,0,MIN(O18*Assumption!$C$19/1000000,Assumption!$C$9*10000000/1000000-SUM($D$23:N23))),0)</f>
        <v>0</v>
      </c>
      <c r="P23" s="277">
        <f>IF(P7&lt;12,IF(MIN(P18*Assumption!$C$19/1000000,Assumption!$C$9*10000000/1000000-SUM($D$23:O23))&lt;0,0,MIN(P18*Assumption!$C$19/1000000,Assumption!$C$9*10000000/1000000-SUM($D$23:O23))),0)</f>
        <v>0</v>
      </c>
      <c r="Q23" s="277">
        <f>IF(Q7&lt;12,IF(MIN(Q18*Assumption!$C$19/1000000,Assumption!$C$9*10000000/1000000-SUM($D$23:P23))&lt;0,0,MIN(Q18*Assumption!$C$19/1000000,Assumption!$C$9*10000000/1000000-SUM($D$23:P23))),0)</f>
        <v>0</v>
      </c>
      <c r="R23" s="277">
        <f>IF(R7&lt;12,IF(MIN(R18*Assumption!$C$19/1000000,Assumption!$C$9*10000000/1000000-SUM($D$23:Q23))&lt;0,0,MIN(R18*Assumption!$C$19/1000000,Assumption!$C$9*10000000/1000000-SUM($D$23:Q23))),0)</f>
        <v>0</v>
      </c>
      <c r="S23" s="277">
        <f>IF(S7&lt;12,IF(MIN(S18*Assumption!$C$19/1000000,Assumption!$C$9*10000000/1000000-SUM($D$23:R23))&lt;0,0,MIN(S18*Assumption!$C$19/1000000,Assumption!$C$9*10000000/1000000-SUM($D$23:R23))),0)</f>
        <v>0</v>
      </c>
      <c r="T23" s="277">
        <f>IF(T7&lt;12,IF(MIN(T18*Assumption!$C$19/1000000,Assumption!$C$9*10000000/1000000-SUM($D$23:S23))&lt;0,0,MIN(T18*Assumption!$C$19/1000000,Assumption!$C$9*10000000/1000000-SUM($D$23:S23))),0)</f>
        <v>0</v>
      </c>
      <c r="U23" s="277">
        <f>IF(U7&lt;12,IF(MIN(U18*Assumption!$C$19/1000000,Assumption!$C$9*10000000/1000000-SUM($D$23:T23))&lt;0,0,MIN(U18*Assumption!$C$19/1000000,Assumption!$C$9*10000000/1000000-SUM($D$23:T23))),0)</f>
        <v>0</v>
      </c>
      <c r="V23" s="277">
        <f>IF(V7&lt;12,IF(MIN(V18*Assumption!$C$19/1000000,Assumption!$C$9*10000000/1000000-SUM($D$23:U23))&lt;0,0,MIN(V18*Assumption!$C$19/1000000,Assumption!$C$9*10000000/1000000-SUM($D$23:U23))),0)</f>
        <v>0</v>
      </c>
      <c r="W23" s="277">
        <f>IF(W7&lt;12,IF(MIN(W18*Assumption!$C$19/1000000,Assumption!$C$9*10000000/1000000-SUM($D$23:V23))&lt;0,0,MIN(W18*Assumption!$C$19/1000000,Assumption!$C$9*10000000/1000000-SUM($D$23:V23))),0)</f>
        <v>0</v>
      </c>
      <c r="X23" s="274">
        <f>IF(X7&lt;12,IF(MIN(X18*Assumption!$C$19/1000000,Assumption!$C$9*10000000/1000000-SUM($D$23:W23))&lt;0,0,MIN(X18*Assumption!$C$19/1000000,Assumption!$C$9*10000000/1000000-SUM($D$23:W23))),0)</f>
        <v>0</v>
      </c>
      <c r="Y23" s="277">
        <f>IF(Y7&lt;12,IF(MIN(Y18*Assumption!$C$19/1000000,Assumption!$C$9*10000000/1000000-SUM($D$23:X23))&lt;0,0,MIN(Y18*Assumption!$C$19/1000000,Assumption!$C$9*10000000/1000000-SUM($D$23:X23))),0)</f>
        <v>0</v>
      </c>
      <c r="Z23" s="277">
        <f>IF(Z7&lt;12,IF(MIN(Z18*Assumption!$C$19/1000000,Assumption!$C$9*10000000/1000000-SUM($D$23:Y23))&lt;0,0,MIN(Z18*Assumption!$C$19/1000000,Assumption!$C$9*10000000/1000000-SUM($D$23:Y23))),0)</f>
        <v>0</v>
      </c>
      <c r="AA23" s="274">
        <f>IF(AA7&lt;12,IF(MIN(AA18*Assumption!$C$19/1000000,Assumption!$C$9*10000000/1000000-SUM($D$23:Z23))&lt;0,0,MIN(AA18*Assumption!$C$19/1000000,Assumption!$C$9*10000000/1000000-SUM($D$23:Z23))),0)</f>
        <v>0</v>
      </c>
      <c r="AB23" s="277">
        <f>IF(AB7&lt;12,IF(MIN(AB18*Assumption!$C$19/1000000,Assumption!$C$9*10000000/1000000-SUM($D$23:AA23))&lt;0,0,MIN(AB18*Assumption!$C$19/1000000,Assumption!$C$9*10000000/1000000-SUM($D$23:AA23))),0)</f>
        <v>0</v>
      </c>
      <c r="AC23" s="277">
        <f>IF(AC7&lt;12,IF(MIN(AC18*Assumption!$C$19/1000000,Assumption!$C$9*10000000/1000000-SUM($D$23:AB23))&lt;0,0,MIN(AC18*Assumption!$C$19/1000000,Assumption!$C$9*10000000/1000000-SUM($D$23:AB23))),0)</f>
        <v>0</v>
      </c>
    </row>
    <row r="24" spans="1:29" x14ac:dyDescent="0.25">
      <c r="A24" s="22"/>
      <c r="B24" s="51"/>
      <c r="C24" s="40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3"/>
      <c r="Z24" s="53"/>
      <c r="AA24" s="54"/>
      <c r="AB24" s="53"/>
      <c r="AC24" s="53"/>
    </row>
    <row r="25" spans="1:29" s="20" customFormat="1" ht="15.75" thickBot="1" x14ac:dyDescent="0.3">
      <c r="A25" s="55"/>
      <c r="B25" s="188" t="s">
        <v>36</v>
      </c>
      <c r="C25" s="56" t="s">
        <v>35</v>
      </c>
      <c r="D25" s="57">
        <f>SUM(D22:D23)</f>
        <v>227.99715840000002</v>
      </c>
      <c r="E25" s="57">
        <f t="shared" ref="E25:AC25" si="23">SUM(E22:E23)</f>
        <v>434.39427187200005</v>
      </c>
      <c r="F25" s="57">
        <f t="shared" si="23"/>
        <v>434.39819318438407</v>
      </c>
      <c r="G25" s="57">
        <f t="shared" si="23"/>
        <v>434.40210273283083</v>
      </c>
      <c r="H25" s="57">
        <f t="shared" si="23"/>
        <v>435.59615397880401</v>
      </c>
      <c r="I25" s="57">
        <f t="shared" si="23"/>
        <v>434.40988667897443</v>
      </c>
      <c r="J25" s="57">
        <f t="shared" si="23"/>
        <v>434.41376114693753</v>
      </c>
      <c r="K25" s="57">
        <f t="shared" si="23"/>
        <v>434.41762399149673</v>
      </c>
      <c r="L25" s="57">
        <f t="shared" si="23"/>
        <v>435.61167107011818</v>
      </c>
      <c r="M25" s="57">
        <f t="shared" si="23"/>
        <v>434.4253149497797</v>
      </c>
      <c r="N25" s="57">
        <f t="shared" si="23"/>
        <v>434.42914313293034</v>
      </c>
      <c r="O25" s="57">
        <f t="shared" si="23"/>
        <v>434.43295983153155</v>
      </c>
      <c r="P25" s="57">
        <f t="shared" si="23"/>
        <v>435.62700279258502</v>
      </c>
      <c r="Q25" s="57">
        <f t="shared" si="23"/>
        <v>434.44055891279686</v>
      </c>
      <c r="R25" s="57">
        <f t="shared" si="23"/>
        <v>434.44434136405852</v>
      </c>
      <c r="S25" s="57">
        <f t="shared" si="23"/>
        <v>434.44811246796627</v>
      </c>
      <c r="T25" s="57">
        <f t="shared" si="23"/>
        <v>435.6421513606407</v>
      </c>
      <c r="U25" s="57">
        <f t="shared" si="23"/>
        <v>434.45562076978666</v>
      </c>
      <c r="V25" s="57">
        <f t="shared" si="23"/>
        <v>434.45935803547741</v>
      </c>
      <c r="W25" s="57">
        <f t="shared" si="23"/>
        <v>434.46308408937091</v>
      </c>
      <c r="X25" s="58">
        <f t="shared" si="23"/>
        <v>435.65711896226742</v>
      </c>
      <c r="Y25" s="57">
        <f t="shared" si="23"/>
        <v>434.47050269620746</v>
      </c>
      <c r="Z25" s="57">
        <f t="shared" si="23"/>
        <v>434.47419531611888</v>
      </c>
      <c r="AA25" s="58">
        <f t="shared" si="23"/>
        <v>434.47787685817053</v>
      </c>
      <c r="AB25" s="57">
        <f t="shared" si="23"/>
        <v>435.67190775930993</v>
      </c>
      <c r="AC25" s="57">
        <f t="shared" si="23"/>
        <v>434.48520684152925</v>
      </c>
    </row>
    <row r="26" spans="1:29" s="47" customFormat="1" ht="15.75" thickBot="1" x14ac:dyDescent="0.3">
      <c r="A26" s="44"/>
      <c r="B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9" s="47" customFormat="1" ht="15.75" thickBot="1" x14ac:dyDescent="0.3">
      <c r="A27" s="44"/>
      <c r="B27" s="187" t="s">
        <v>37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</row>
    <row r="28" spans="1:29" s="21" customFormat="1" ht="15.75" thickBot="1" x14ac:dyDescent="0.3">
      <c r="A28" s="26"/>
      <c r="B28" s="61" t="s">
        <v>180</v>
      </c>
      <c r="C28" s="172" t="s">
        <v>35</v>
      </c>
      <c r="D28" s="62">
        <f>D99</f>
        <v>18.665267759562841</v>
      </c>
      <c r="E28" s="62">
        <f>F99</f>
        <v>36.838725226738525</v>
      </c>
      <c r="F28" s="62">
        <f>H99</f>
        <v>38.730399649315068</v>
      </c>
      <c r="G28" s="62">
        <f>J99</f>
        <v>40.666919631780821</v>
      </c>
      <c r="H28" s="62">
        <f>L99</f>
        <v>42.757843752274866</v>
      </c>
      <c r="I28" s="62">
        <f>N99</f>
        <v>44.777700755133353</v>
      </c>
      <c r="J28" s="62">
        <f>P99</f>
        <v>47.077042838740283</v>
      </c>
      <c r="K28" s="62">
        <f>R99</f>
        <v>49.430894980677294</v>
      </c>
      <c r="L28" s="62">
        <f>T99</f>
        <v>51.972426317413564</v>
      </c>
      <c r="M28" s="62">
        <f>V99</f>
        <v>54.427575128494325</v>
      </c>
      <c r="N28" s="62">
        <f>X99</f>
        <v>57.222439802006562</v>
      </c>
      <c r="O28" s="62">
        <f>Z99</f>
        <v>60.083561792106892</v>
      </c>
      <c r="P28" s="62">
        <f>AB99</f>
        <v>63.172809016480691</v>
      </c>
      <c r="Q28" s="62">
        <f>AD99</f>
        <v>66.157057741029419</v>
      </c>
      <c r="R28" s="62">
        <f>AF99</f>
        <v>69.554233219587758</v>
      </c>
      <c r="S28" s="62">
        <f>AH99</f>
        <v>73.031944880567153</v>
      </c>
      <c r="T28" s="62">
        <f>AJ99</f>
        <v>76.786944189588652</v>
      </c>
      <c r="U28" s="62">
        <f>AL99</f>
        <v>80.414317165832159</v>
      </c>
      <c r="V28" s="62">
        <f>AN99</f>
        <v>84.543605192366556</v>
      </c>
      <c r="W28" s="62">
        <f>AP99</f>
        <v>88.770785451984892</v>
      </c>
      <c r="X28" s="63">
        <f>AR99</f>
        <v>93.335010580846216</v>
      </c>
      <c r="Y28" s="62">
        <f>AT99</f>
        <v>97.744105104551295</v>
      </c>
      <c r="Z28" s="62">
        <f>AV99</f>
        <v>102.76328050885402</v>
      </c>
      <c r="AA28" s="63">
        <f>AX99</f>
        <v>107.90144453429674</v>
      </c>
      <c r="AB28" s="62">
        <f>AZ99</f>
        <v>113.44928870483473</v>
      </c>
      <c r="AC28" s="62">
        <f>BB99</f>
        <v>118.80857065523902</v>
      </c>
    </row>
    <row r="29" spans="1:29" s="21" customFormat="1" x14ac:dyDescent="0.25">
      <c r="A29" s="26"/>
      <c r="B29" s="215" t="s">
        <v>170</v>
      </c>
      <c r="C29" s="172" t="s">
        <v>35</v>
      </c>
      <c r="D29" s="217">
        <f>Assumption!C24</f>
        <v>10</v>
      </c>
      <c r="E29" s="217">
        <f>D29*(1+Assumption!$C$25)</f>
        <v>10.5</v>
      </c>
      <c r="F29" s="217">
        <f>E29*(1+Assumption!$C$25)</f>
        <v>11.025</v>
      </c>
      <c r="G29" s="217">
        <f>F29*(1+Assumption!$C$25)</f>
        <v>11.576250000000002</v>
      </c>
      <c r="H29" s="217">
        <f>G29*(1+Assumption!$C$25)</f>
        <v>12.155062500000001</v>
      </c>
      <c r="I29" s="217">
        <f>H29*(1+Assumption!$C$25)</f>
        <v>12.762815625000002</v>
      </c>
      <c r="J29" s="217">
        <f>I29*(1+Assumption!$C$25)</f>
        <v>13.400956406250003</v>
      </c>
      <c r="K29" s="217">
        <f>J29*(1+Assumption!$C$25)</f>
        <v>14.071004226562504</v>
      </c>
      <c r="L29" s="217">
        <f>K29*(1+Assumption!$C$25)</f>
        <v>14.774554437890631</v>
      </c>
      <c r="M29" s="217">
        <f>L29*(1+Assumption!$C$25)</f>
        <v>15.513282159785163</v>
      </c>
      <c r="N29" s="217">
        <f>M29*(1+Assumption!$C$25)</f>
        <v>16.288946267774421</v>
      </c>
      <c r="O29" s="217">
        <f>N29*(1+Assumption!$C$25)</f>
        <v>17.103393581163143</v>
      </c>
      <c r="P29" s="217">
        <f>O29*(1+Assumption!$C$25)</f>
        <v>17.9585632602213</v>
      </c>
      <c r="Q29" s="217">
        <f>P29*(1+Assumption!$C$25)</f>
        <v>18.856491423232367</v>
      </c>
      <c r="R29" s="217">
        <f>Q29*(1+Assumption!$C$25)</f>
        <v>19.799315994393986</v>
      </c>
      <c r="S29" s="217">
        <f>R29*(1+Assumption!$C$25)</f>
        <v>20.789281794113688</v>
      </c>
      <c r="T29" s="217">
        <f>S29*(1+Assumption!$C$25)</f>
        <v>21.828745883819373</v>
      </c>
      <c r="U29" s="217">
        <f>T29*(1+Assumption!$C$25)</f>
        <v>22.920183178010344</v>
      </c>
      <c r="V29" s="217">
        <f>U29*(1+Assumption!$C$25)</f>
        <v>24.066192336910863</v>
      </c>
      <c r="W29" s="217">
        <f>V29*(1+Assumption!$C$25)</f>
        <v>25.269501953756407</v>
      </c>
      <c r="X29" s="217">
        <f>W29*(1+Assumption!$C$25)</f>
        <v>26.532977051444227</v>
      </c>
      <c r="Y29" s="217">
        <f>X29*(1+Assumption!$C$25)</f>
        <v>27.85962590401644</v>
      </c>
      <c r="Z29" s="217">
        <f>Y29*(1+Assumption!$C$25)</f>
        <v>29.252607199217262</v>
      </c>
      <c r="AA29" s="217">
        <f>Z29*(1+Assumption!$C$25)</f>
        <v>30.715237559178128</v>
      </c>
      <c r="AB29" s="217">
        <f>AA29*(1+Assumption!$C$25)</f>
        <v>32.250999437137033</v>
      </c>
      <c r="AC29" s="217">
        <f>AB29*(1+Assumption!$C$25)</f>
        <v>33.863549408993883</v>
      </c>
    </row>
    <row r="30" spans="1:29" s="21" customFormat="1" x14ac:dyDescent="0.25">
      <c r="A30" s="26"/>
      <c r="B30" s="215" t="s">
        <v>97</v>
      </c>
      <c r="C30" s="216" t="s">
        <v>35</v>
      </c>
      <c r="D30" s="217">
        <f>Assumption!$C$26*D11/365</f>
        <v>8.8194904109589061</v>
      </c>
      <c r="E30" s="217">
        <f>Assumption!$C$26</f>
        <v>16.854000000000003</v>
      </c>
      <c r="F30" s="217">
        <f>Assumption!$C$26</f>
        <v>16.854000000000003</v>
      </c>
      <c r="G30" s="217">
        <f>Assumption!$C$26</f>
        <v>16.854000000000003</v>
      </c>
      <c r="H30" s="217">
        <f>Assumption!$C$26</f>
        <v>16.854000000000003</v>
      </c>
      <c r="I30" s="217">
        <f>Assumption!$C$26</f>
        <v>16.854000000000003</v>
      </c>
      <c r="J30" s="217">
        <f>Assumption!$C$26</f>
        <v>16.854000000000003</v>
      </c>
      <c r="K30" s="217">
        <f>Assumption!$C$26</f>
        <v>16.854000000000003</v>
      </c>
      <c r="L30" s="217">
        <f>Assumption!$C$26</f>
        <v>16.854000000000003</v>
      </c>
      <c r="M30" s="217">
        <f>Assumption!$C$26</f>
        <v>16.854000000000003</v>
      </c>
      <c r="N30" s="217">
        <f>Assumption!$C$26</f>
        <v>16.854000000000003</v>
      </c>
      <c r="O30" s="217">
        <f>Assumption!$C$26</f>
        <v>16.854000000000003</v>
      </c>
      <c r="P30" s="217">
        <f>Assumption!$C$26</f>
        <v>16.854000000000003</v>
      </c>
      <c r="Q30" s="217">
        <f>Assumption!$C$26</f>
        <v>16.854000000000003</v>
      </c>
      <c r="R30" s="217">
        <f>Assumption!$C$26</f>
        <v>16.854000000000003</v>
      </c>
      <c r="S30" s="217">
        <f>Assumption!$C$26</f>
        <v>16.854000000000003</v>
      </c>
      <c r="T30" s="217">
        <f>Assumption!$C$26</f>
        <v>16.854000000000003</v>
      </c>
      <c r="U30" s="217">
        <f>Assumption!$C$26</f>
        <v>16.854000000000003</v>
      </c>
      <c r="V30" s="217">
        <f>Assumption!$C$26</f>
        <v>16.854000000000003</v>
      </c>
      <c r="W30" s="217">
        <f>Assumption!$C$26</f>
        <v>16.854000000000003</v>
      </c>
      <c r="X30" s="217">
        <f>Assumption!$C$26</f>
        <v>16.854000000000003</v>
      </c>
      <c r="Y30" s="217">
        <f>Assumption!$C$26</f>
        <v>16.854000000000003</v>
      </c>
      <c r="Z30" s="217">
        <f>Assumption!$C$26</f>
        <v>16.854000000000003</v>
      </c>
      <c r="AA30" s="217">
        <f>Assumption!$C$26</f>
        <v>16.854000000000003</v>
      </c>
      <c r="AB30" s="217">
        <f>Assumption!$C$26</f>
        <v>16.854000000000003</v>
      </c>
      <c r="AC30" s="217">
        <f>Assumption!$C$26</f>
        <v>16.854000000000003</v>
      </c>
    </row>
    <row r="31" spans="1:29" s="21" customFormat="1" x14ac:dyDescent="0.25">
      <c r="A31" s="26"/>
      <c r="B31" s="65"/>
      <c r="C31" s="64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4"/>
      <c r="Y31" s="53"/>
      <c r="Z31" s="53"/>
      <c r="AA31" s="54"/>
      <c r="AB31" s="53"/>
      <c r="AC31" s="53"/>
    </row>
    <row r="32" spans="1:29" s="20" customFormat="1" ht="15.75" thickBot="1" x14ac:dyDescent="0.3">
      <c r="A32" s="55"/>
      <c r="B32" s="188" t="s">
        <v>38</v>
      </c>
      <c r="C32" s="56" t="s">
        <v>35</v>
      </c>
      <c r="D32" s="57">
        <f t="shared" ref="D32:AC32" si="24">SUM(D28:D30)</f>
        <v>37.484758170521744</v>
      </c>
      <c r="E32" s="57">
        <f t="shared" si="24"/>
        <v>64.192725226738531</v>
      </c>
      <c r="F32" s="57">
        <f t="shared" si="24"/>
        <v>66.609399649315066</v>
      </c>
      <c r="G32" s="57">
        <f t="shared" si="24"/>
        <v>69.097169631780829</v>
      </c>
      <c r="H32" s="57">
        <f t="shared" si="24"/>
        <v>71.766906252274865</v>
      </c>
      <c r="I32" s="57">
        <f t="shared" si="24"/>
        <v>74.394516380133354</v>
      </c>
      <c r="J32" s="57">
        <f t="shared" si="24"/>
        <v>77.331999244990286</v>
      </c>
      <c r="K32" s="57">
        <f t="shared" si="24"/>
        <v>80.355899207239801</v>
      </c>
      <c r="L32" s="57">
        <f t="shared" si="24"/>
        <v>83.600980755304192</v>
      </c>
      <c r="M32" s="57">
        <f t="shared" si="24"/>
        <v>86.794857288279488</v>
      </c>
      <c r="N32" s="57">
        <f t="shared" si="24"/>
        <v>90.365386069780982</v>
      </c>
      <c r="O32" s="57">
        <f t="shared" si="24"/>
        <v>94.040955373270037</v>
      </c>
      <c r="P32" s="57">
        <f t="shared" si="24"/>
        <v>97.985372276701995</v>
      </c>
      <c r="Q32" s="57">
        <f t="shared" si="24"/>
        <v>101.86754916426179</v>
      </c>
      <c r="R32" s="57">
        <f t="shared" si="24"/>
        <v>106.20754921398175</v>
      </c>
      <c r="S32" s="57">
        <f t="shared" si="24"/>
        <v>110.67522667468084</v>
      </c>
      <c r="T32" s="57">
        <f t="shared" si="24"/>
        <v>115.46969007340802</v>
      </c>
      <c r="U32" s="57">
        <f t="shared" si="24"/>
        <v>120.18850034384251</v>
      </c>
      <c r="V32" s="57">
        <f t="shared" si="24"/>
        <v>125.46379752927741</v>
      </c>
      <c r="W32" s="57">
        <f t="shared" si="24"/>
        <v>130.8942874057413</v>
      </c>
      <c r="X32" s="58">
        <f t="shared" si="24"/>
        <v>136.72198763229045</v>
      </c>
      <c r="Y32" s="57">
        <f t="shared" si="24"/>
        <v>142.45773100856775</v>
      </c>
      <c r="Z32" s="57">
        <f t="shared" si="24"/>
        <v>148.8698877080713</v>
      </c>
      <c r="AA32" s="58">
        <f t="shared" si="24"/>
        <v>155.47068209347489</v>
      </c>
      <c r="AB32" s="57">
        <f t="shared" si="24"/>
        <v>162.55428814197177</v>
      </c>
      <c r="AC32" s="57">
        <f t="shared" si="24"/>
        <v>169.52612006423291</v>
      </c>
    </row>
    <row r="33" spans="1:29" s="47" customFormat="1" ht="15.75" thickBot="1" x14ac:dyDescent="0.3">
      <c r="A33" s="44"/>
      <c r="B33" s="66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</row>
    <row r="34" spans="1:29" s="20" customFormat="1" x14ac:dyDescent="0.25">
      <c r="A34" s="55"/>
      <c r="B34" s="189" t="s">
        <v>39</v>
      </c>
      <c r="C34" s="67" t="s">
        <v>35</v>
      </c>
      <c r="D34" s="68">
        <f t="shared" ref="D34:AC34" si="25">D25-D32</f>
        <v>190.51240022947826</v>
      </c>
      <c r="E34" s="68">
        <f t="shared" si="25"/>
        <v>370.20154664526149</v>
      </c>
      <c r="F34" s="68">
        <f t="shared" si="25"/>
        <v>367.78879353506898</v>
      </c>
      <c r="G34" s="68">
        <f t="shared" si="25"/>
        <v>365.30493310104998</v>
      </c>
      <c r="H34" s="68">
        <f t="shared" si="25"/>
        <v>363.82924772652916</v>
      </c>
      <c r="I34" s="68">
        <f t="shared" si="25"/>
        <v>360.01537029884105</v>
      </c>
      <c r="J34" s="68">
        <f t="shared" si="25"/>
        <v>357.08176190194723</v>
      </c>
      <c r="K34" s="68">
        <f t="shared" si="25"/>
        <v>354.06172478425691</v>
      </c>
      <c r="L34" s="68">
        <f t="shared" si="25"/>
        <v>352.01069031481398</v>
      </c>
      <c r="M34" s="68">
        <f t="shared" si="25"/>
        <v>347.6304576615002</v>
      </c>
      <c r="N34" s="68">
        <f t="shared" si="25"/>
        <v>344.06375706314935</v>
      </c>
      <c r="O34" s="68">
        <f t="shared" si="25"/>
        <v>340.39200445826151</v>
      </c>
      <c r="P34" s="68">
        <f t="shared" si="25"/>
        <v>337.64163051588304</v>
      </c>
      <c r="Q34" s="68">
        <f t="shared" si="25"/>
        <v>332.57300974853507</v>
      </c>
      <c r="R34" s="68">
        <f t="shared" si="25"/>
        <v>328.23679215007678</v>
      </c>
      <c r="S34" s="68">
        <f t="shared" si="25"/>
        <v>323.77288579328541</v>
      </c>
      <c r="T34" s="68">
        <f t="shared" si="25"/>
        <v>320.17246128723269</v>
      </c>
      <c r="U34" s="68">
        <f t="shared" si="25"/>
        <v>314.26712042594414</v>
      </c>
      <c r="V34" s="68">
        <f t="shared" si="25"/>
        <v>308.99556050619998</v>
      </c>
      <c r="W34" s="68">
        <f t="shared" si="25"/>
        <v>303.56879668362961</v>
      </c>
      <c r="X34" s="69">
        <f t="shared" si="25"/>
        <v>298.93513132997697</v>
      </c>
      <c r="Y34" s="68">
        <f t="shared" si="25"/>
        <v>292.01277168763971</v>
      </c>
      <c r="Z34" s="68">
        <f t="shared" si="25"/>
        <v>285.60430760804758</v>
      </c>
      <c r="AA34" s="68">
        <f t="shared" si="25"/>
        <v>279.00719476469567</v>
      </c>
      <c r="AB34" s="69">
        <f t="shared" si="25"/>
        <v>273.11761961733816</v>
      </c>
      <c r="AC34" s="68">
        <f t="shared" si="25"/>
        <v>264.95908677729631</v>
      </c>
    </row>
    <row r="35" spans="1:29" x14ac:dyDescent="0.25">
      <c r="A35" s="22" t="s">
        <v>40</v>
      </c>
      <c r="B35" s="70" t="s">
        <v>41</v>
      </c>
      <c r="C35" s="40" t="s">
        <v>35</v>
      </c>
      <c r="D35" s="53">
        <f>Assumption!$C$44/Assumption!$C$11*D11/365</f>
        <v>62.729860276602757</v>
      </c>
      <c r="E35" s="53">
        <f>Assumption!$C$44/Assumption!$C$11</f>
        <v>119.87643456000002</v>
      </c>
      <c r="F35" s="53">
        <f>Assumption!$C$44/Assumption!$C$11</f>
        <v>119.87643456000002</v>
      </c>
      <c r="G35" s="53">
        <f>Assumption!$C$44/Assumption!$C$11</f>
        <v>119.87643456000002</v>
      </c>
      <c r="H35" s="53">
        <f>Assumption!$C$44/Assumption!$C$11</f>
        <v>119.87643456000002</v>
      </c>
      <c r="I35" s="53">
        <f>Assumption!$C$44/Assumption!$C$11</f>
        <v>119.87643456000002</v>
      </c>
      <c r="J35" s="53">
        <f>Assumption!$C$44/Assumption!$C$11</f>
        <v>119.87643456000002</v>
      </c>
      <c r="K35" s="53">
        <f>Assumption!$C$44/Assumption!$C$11</f>
        <v>119.87643456000002</v>
      </c>
      <c r="L35" s="53">
        <f>Assumption!$C$44/Assumption!$C$11</f>
        <v>119.87643456000002</v>
      </c>
      <c r="M35" s="53">
        <f>Assumption!$C$44/Assumption!$C$11</f>
        <v>119.87643456000002</v>
      </c>
      <c r="N35" s="53">
        <f>Assumption!$C$44/Assumption!$C$11</f>
        <v>119.87643456000002</v>
      </c>
      <c r="O35" s="53">
        <f>Assumption!$C$44/Assumption!$C$11</f>
        <v>119.87643456000002</v>
      </c>
      <c r="P35" s="53">
        <f>Assumption!$C$44/Assumption!$C$11</f>
        <v>119.87643456000002</v>
      </c>
      <c r="Q35" s="53">
        <f>Assumption!$C$44/Assumption!$C$11</f>
        <v>119.87643456000002</v>
      </c>
      <c r="R35" s="53">
        <f>Assumption!$C$44/Assumption!$C$11</f>
        <v>119.87643456000002</v>
      </c>
      <c r="S35" s="53">
        <f>Assumption!$C$44/Assumption!$C$11</f>
        <v>119.87643456000002</v>
      </c>
      <c r="T35" s="53">
        <f>Assumption!$C$44/Assumption!$C$11</f>
        <v>119.87643456000002</v>
      </c>
      <c r="U35" s="53">
        <f>Assumption!$C$44/Assumption!$C$11</f>
        <v>119.87643456000002</v>
      </c>
      <c r="V35" s="53">
        <f>Assumption!$C$44/Assumption!$C$11</f>
        <v>119.87643456000002</v>
      </c>
      <c r="W35" s="53">
        <f>Assumption!$C$44/Assumption!$C$11</f>
        <v>119.87643456000002</v>
      </c>
      <c r="X35" s="54">
        <f>Assumption!$C$44/Assumption!$C$11*X11/365</f>
        <v>120.20486314783564</v>
      </c>
      <c r="Y35" s="53">
        <f>Assumption!$C$44/Assumption!$C$11</f>
        <v>119.87643456000002</v>
      </c>
      <c r="Z35" s="53">
        <f>Assumption!$C$44/Assumption!$C$11</f>
        <v>119.87643456000002</v>
      </c>
      <c r="AA35" s="54">
        <f>Assumption!$C$44/Assumption!$C$11*AA11/365</f>
        <v>119.87643456000002</v>
      </c>
      <c r="AB35" s="53">
        <f>Assumption!$C$44/Assumption!$C$11</f>
        <v>119.87643456000002</v>
      </c>
      <c r="AC35" s="53">
        <f>Assumption!$C$44/Assumption!$C$11</f>
        <v>119.87643456000002</v>
      </c>
    </row>
    <row r="36" spans="1:29" s="47" customFormat="1" x14ac:dyDescent="0.25">
      <c r="A36" s="44"/>
      <c r="B36" s="70"/>
      <c r="C36" s="40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4"/>
      <c r="Y36" s="53"/>
      <c r="Z36" s="53"/>
      <c r="AA36" s="54"/>
      <c r="AB36" s="53"/>
      <c r="AC36" s="53"/>
    </row>
    <row r="37" spans="1:29" s="20" customFormat="1" x14ac:dyDescent="0.25">
      <c r="A37" s="55"/>
      <c r="B37" s="190" t="s">
        <v>42</v>
      </c>
      <c r="C37" s="71" t="s">
        <v>35</v>
      </c>
      <c r="D37" s="72">
        <f t="shared" ref="D37:AC37" si="26">D34-D35</f>
        <v>127.78253995287551</v>
      </c>
      <c r="E37" s="72">
        <f t="shared" si="26"/>
        <v>250.32511208526148</v>
      </c>
      <c r="F37" s="72">
        <f t="shared" si="26"/>
        <v>247.91235897506897</v>
      </c>
      <c r="G37" s="72">
        <f t="shared" si="26"/>
        <v>245.42849854104998</v>
      </c>
      <c r="H37" s="72">
        <f t="shared" si="26"/>
        <v>243.95281316652915</v>
      </c>
      <c r="I37" s="72">
        <f t="shared" si="26"/>
        <v>240.13893573884104</v>
      </c>
      <c r="J37" s="72">
        <f t="shared" si="26"/>
        <v>237.20532734194722</v>
      </c>
      <c r="K37" s="72">
        <f t="shared" si="26"/>
        <v>234.1852902242569</v>
      </c>
      <c r="L37" s="72">
        <f t="shared" si="26"/>
        <v>232.13425575481398</v>
      </c>
      <c r="M37" s="72">
        <f t="shared" si="26"/>
        <v>227.7540231015002</v>
      </c>
      <c r="N37" s="72">
        <f t="shared" si="26"/>
        <v>224.18732250314935</v>
      </c>
      <c r="O37" s="72">
        <f t="shared" si="26"/>
        <v>220.5155698982615</v>
      </c>
      <c r="P37" s="72">
        <f t="shared" si="26"/>
        <v>217.76519595588303</v>
      </c>
      <c r="Q37" s="72">
        <f t="shared" si="26"/>
        <v>212.69657518853506</v>
      </c>
      <c r="R37" s="72">
        <f t="shared" si="26"/>
        <v>208.36035759007677</v>
      </c>
      <c r="S37" s="72">
        <f t="shared" si="26"/>
        <v>203.8964512332854</v>
      </c>
      <c r="T37" s="72">
        <f t="shared" si="26"/>
        <v>200.29602672723269</v>
      </c>
      <c r="U37" s="72">
        <f t="shared" si="26"/>
        <v>194.39068586594414</v>
      </c>
      <c r="V37" s="72">
        <f t="shared" si="26"/>
        <v>189.11912594619997</v>
      </c>
      <c r="W37" s="72">
        <f t="shared" ref="W37" si="27">W34-W35</f>
        <v>183.69236212362961</v>
      </c>
      <c r="X37" s="73">
        <f t="shared" si="26"/>
        <v>178.73026818214134</v>
      </c>
      <c r="Y37" s="72">
        <f t="shared" si="26"/>
        <v>172.13633712763971</v>
      </c>
      <c r="Z37" s="72">
        <f t="shared" si="26"/>
        <v>165.72787304804757</v>
      </c>
      <c r="AA37" s="73">
        <f t="shared" si="26"/>
        <v>159.13076020469566</v>
      </c>
      <c r="AB37" s="72">
        <f t="shared" si="26"/>
        <v>153.24118505733816</v>
      </c>
      <c r="AC37" s="72">
        <f t="shared" si="26"/>
        <v>145.0826522172963</v>
      </c>
    </row>
    <row r="38" spans="1:29" x14ac:dyDescent="0.25">
      <c r="A38" s="22" t="s">
        <v>40</v>
      </c>
      <c r="B38" s="70" t="s">
        <v>43</v>
      </c>
      <c r="C38" s="71" t="s">
        <v>35</v>
      </c>
      <c r="D38" s="53">
        <f>D139</f>
        <v>171.06809999999999</v>
      </c>
      <c r="E38" s="53">
        <f t="shared" ref="E38:AC38" si="28">E139</f>
        <v>309.23848846153851</v>
      </c>
      <c r="F38" s="53">
        <f t="shared" si="28"/>
        <v>256.60214999999999</v>
      </c>
      <c r="G38" s="53">
        <f t="shared" si="28"/>
        <v>203.96581153846145</v>
      </c>
      <c r="H38" s="53">
        <f t="shared" si="28"/>
        <v>151.32947307692297</v>
      </c>
      <c r="I38" s="53">
        <f t="shared" si="28"/>
        <v>98.693134615384494</v>
      </c>
      <c r="J38" s="53">
        <f t="shared" si="28"/>
        <v>46.056796153846044</v>
      </c>
      <c r="K38" s="53">
        <f t="shared" si="28"/>
        <v>3.2897711538461274</v>
      </c>
      <c r="L38" s="53">
        <f t="shared" si="28"/>
        <v>0</v>
      </c>
      <c r="M38" s="53">
        <f t="shared" si="28"/>
        <v>0</v>
      </c>
      <c r="N38" s="53">
        <f t="shared" si="28"/>
        <v>0</v>
      </c>
      <c r="O38" s="53">
        <f t="shared" si="28"/>
        <v>0</v>
      </c>
      <c r="P38" s="53">
        <f t="shared" si="28"/>
        <v>0</v>
      </c>
      <c r="Q38" s="53">
        <f t="shared" si="28"/>
        <v>0</v>
      </c>
      <c r="R38" s="53">
        <f t="shared" si="28"/>
        <v>0</v>
      </c>
      <c r="S38" s="53">
        <f t="shared" si="28"/>
        <v>0</v>
      </c>
      <c r="T38" s="53">
        <f t="shared" si="28"/>
        <v>0</v>
      </c>
      <c r="U38" s="53">
        <f t="shared" si="28"/>
        <v>0</v>
      </c>
      <c r="V38" s="53">
        <f t="shared" si="28"/>
        <v>0</v>
      </c>
      <c r="W38" s="53">
        <f t="shared" si="28"/>
        <v>0</v>
      </c>
      <c r="X38" s="54">
        <f t="shared" si="28"/>
        <v>0</v>
      </c>
      <c r="Y38" s="53">
        <f t="shared" si="28"/>
        <v>0</v>
      </c>
      <c r="Z38" s="53">
        <f t="shared" si="28"/>
        <v>0</v>
      </c>
      <c r="AA38" s="54">
        <f t="shared" si="28"/>
        <v>0</v>
      </c>
      <c r="AB38" s="53">
        <f t="shared" si="28"/>
        <v>0</v>
      </c>
      <c r="AC38" s="53">
        <f t="shared" si="28"/>
        <v>0</v>
      </c>
    </row>
    <row r="39" spans="1:29" s="47" customFormat="1" x14ac:dyDescent="0.25">
      <c r="A39" s="44"/>
      <c r="B39" s="70"/>
      <c r="C39" s="40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53"/>
      <c r="Z39" s="53"/>
      <c r="AA39" s="54"/>
      <c r="AB39" s="53"/>
      <c r="AC39" s="53"/>
    </row>
    <row r="40" spans="1:29" s="20" customFormat="1" x14ac:dyDescent="0.25">
      <c r="A40" s="55"/>
      <c r="B40" s="190" t="s">
        <v>44</v>
      </c>
      <c r="C40" s="71" t="s">
        <v>35</v>
      </c>
      <c r="D40" s="72">
        <f>D37-D38</f>
        <v>-43.285560047124477</v>
      </c>
      <c r="E40" s="72">
        <f t="shared" ref="E40:AC40" si="29">E37-E38</f>
        <v>-58.913376376277029</v>
      </c>
      <c r="F40" s="72">
        <f t="shared" si="29"/>
        <v>-8.6897910249310257</v>
      </c>
      <c r="G40" s="72">
        <f t="shared" si="29"/>
        <v>41.462687002588524</v>
      </c>
      <c r="H40" s="72">
        <f t="shared" si="29"/>
        <v>92.623340089606188</v>
      </c>
      <c r="I40" s="72">
        <f t="shared" si="29"/>
        <v>141.44580112345653</v>
      </c>
      <c r="J40" s="72">
        <f t="shared" si="29"/>
        <v>191.14853118810117</v>
      </c>
      <c r="K40" s="72">
        <f t="shared" si="29"/>
        <v>230.89551907041078</v>
      </c>
      <c r="L40" s="72">
        <f t="shared" si="29"/>
        <v>232.13425575481398</v>
      </c>
      <c r="M40" s="72">
        <f t="shared" si="29"/>
        <v>227.7540231015002</v>
      </c>
      <c r="N40" s="72">
        <f t="shared" si="29"/>
        <v>224.18732250314935</v>
      </c>
      <c r="O40" s="72">
        <f t="shared" si="29"/>
        <v>220.5155698982615</v>
      </c>
      <c r="P40" s="72">
        <f t="shared" si="29"/>
        <v>217.76519595588303</v>
      </c>
      <c r="Q40" s="72">
        <f t="shared" si="29"/>
        <v>212.69657518853506</v>
      </c>
      <c r="R40" s="72">
        <f t="shared" si="29"/>
        <v>208.36035759007677</v>
      </c>
      <c r="S40" s="72">
        <f t="shared" si="29"/>
        <v>203.8964512332854</v>
      </c>
      <c r="T40" s="72">
        <f t="shared" si="29"/>
        <v>200.29602672723269</v>
      </c>
      <c r="U40" s="72">
        <f t="shared" si="29"/>
        <v>194.39068586594414</v>
      </c>
      <c r="V40" s="72">
        <f t="shared" si="29"/>
        <v>189.11912594619997</v>
      </c>
      <c r="W40" s="72">
        <f t="shared" si="29"/>
        <v>183.69236212362961</v>
      </c>
      <c r="X40" s="73">
        <f t="shared" si="29"/>
        <v>178.73026818214134</v>
      </c>
      <c r="Y40" s="72">
        <f t="shared" si="29"/>
        <v>172.13633712763971</v>
      </c>
      <c r="Z40" s="72">
        <f t="shared" si="29"/>
        <v>165.72787304804757</v>
      </c>
      <c r="AA40" s="73">
        <f t="shared" si="29"/>
        <v>159.13076020469566</v>
      </c>
      <c r="AB40" s="72">
        <f t="shared" si="29"/>
        <v>153.24118505733816</v>
      </c>
      <c r="AC40" s="72">
        <f t="shared" si="29"/>
        <v>145.0826522172963</v>
      </c>
    </row>
    <row r="41" spans="1:29" ht="15.75" thickBot="1" x14ac:dyDescent="0.3">
      <c r="A41" s="22" t="s">
        <v>40</v>
      </c>
      <c r="B41" s="74" t="s">
        <v>45</v>
      </c>
      <c r="C41" s="43" t="s">
        <v>35</v>
      </c>
      <c r="D41" s="75">
        <f>D59</f>
        <v>0</v>
      </c>
      <c r="E41" s="75">
        <f>E59</f>
        <v>0</v>
      </c>
      <c r="F41" s="75">
        <f t="shared" ref="F41:AC41" si="30">F59</f>
        <v>1.573673375841973</v>
      </c>
      <c r="G41" s="75">
        <f t="shared" si="30"/>
        <v>47.595434066778303</v>
      </c>
      <c r="H41" s="75">
        <f t="shared" si="30"/>
        <v>70.779926732932012</v>
      </c>
      <c r="I41" s="75">
        <f t="shared" si="30"/>
        <v>88.533678574713036</v>
      </c>
      <c r="J41" s="75">
        <f t="shared" si="30"/>
        <v>105.65943599096086</v>
      </c>
      <c r="K41" s="75">
        <f t="shared" si="30"/>
        <v>119.21579706561293</v>
      </c>
      <c r="L41" s="75">
        <f t="shared" si="30"/>
        <v>119.64611564333255</v>
      </c>
      <c r="M41" s="75">
        <f t="shared" si="30"/>
        <v>118.15912896020933</v>
      </c>
      <c r="N41" s="75">
        <f t="shared" si="30"/>
        <v>116.94717830597757</v>
      </c>
      <c r="O41" s="75">
        <f t="shared" si="30"/>
        <v>115.69922377140573</v>
      </c>
      <c r="P41" s="75">
        <f t="shared" si="30"/>
        <v>114.76438650355722</v>
      </c>
      <c r="Q41" s="75">
        <f t="shared" si="30"/>
        <v>44.58226564239289</v>
      </c>
      <c r="R41" s="75">
        <f t="shared" si="30"/>
        <v>43.673372752668037</v>
      </c>
      <c r="S41" s="75">
        <f t="shared" si="30"/>
        <v>110.05040385146734</v>
      </c>
      <c r="T41" s="75">
        <f t="shared" si="30"/>
        <v>108.8266195855963</v>
      </c>
      <c r="U41" s="75">
        <f t="shared" si="30"/>
        <v>106.81939423159157</v>
      </c>
      <c r="V41" s="75">
        <f t="shared" si="30"/>
        <v>105.02759101581995</v>
      </c>
      <c r="W41" s="75">
        <f t="shared" si="30"/>
        <v>103.18303399271821</v>
      </c>
      <c r="X41" s="76">
        <f t="shared" si="30"/>
        <v>101.60805113904964</v>
      </c>
      <c r="Y41" s="75">
        <f t="shared" si="30"/>
        <v>99.255141096626872</v>
      </c>
      <c r="Z41" s="75">
        <f t="shared" si="30"/>
        <v>97.076904155975001</v>
      </c>
      <c r="AA41" s="76">
        <f t="shared" si="30"/>
        <v>94.834545500519937</v>
      </c>
      <c r="AB41" s="75">
        <f t="shared" si="30"/>
        <v>92.832678907933243</v>
      </c>
      <c r="AC41" s="75">
        <f t="shared" si="30"/>
        <v>90.059593595603005</v>
      </c>
    </row>
    <row r="42" spans="1:29" s="47" customFormat="1" ht="15.75" thickBot="1" x14ac:dyDescent="0.3">
      <c r="A42" s="44"/>
      <c r="B42" s="6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</row>
    <row r="43" spans="1:29" s="20" customFormat="1" ht="15.75" thickBot="1" x14ac:dyDescent="0.3">
      <c r="A43" s="55"/>
      <c r="B43" s="191" t="s">
        <v>46</v>
      </c>
      <c r="C43" s="77" t="s">
        <v>35</v>
      </c>
      <c r="D43" s="78">
        <f t="shared" ref="D43:AC43" si="31">D40-D41</f>
        <v>-43.285560047124477</v>
      </c>
      <c r="E43" s="78">
        <f t="shared" si="31"/>
        <v>-58.913376376277029</v>
      </c>
      <c r="F43" s="78">
        <f t="shared" si="31"/>
        <v>-10.263464400773</v>
      </c>
      <c r="G43" s="78">
        <f t="shared" si="31"/>
        <v>-6.132747064189779</v>
      </c>
      <c r="H43" s="78">
        <f t="shared" si="31"/>
        <v>21.843413356674176</v>
      </c>
      <c r="I43" s="78">
        <f t="shared" si="31"/>
        <v>52.912122548743497</v>
      </c>
      <c r="J43" s="78">
        <f t="shared" si="31"/>
        <v>85.489095197140315</v>
      </c>
      <c r="K43" s="78">
        <f t="shared" si="31"/>
        <v>111.67972200479785</v>
      </c>
      <c r="L43" s="78">
        <f t="shared" si="31"/>
        <v>112.48814011148143</v>
      </c>
      <c r="M43" s="78">
        <f t="shared" si="31"/>
        <v>109.59489414129087</v>
      </c>
      <c r="N43" s="78">
        <f t="shared" si="31"/>
        <v>107.24014419717177</v>
      </c>
      <c r="O43" s="78">
        <f t="shared" si="31"/>
        <v>104.81634612685578</v>
      </c>
      <c r="P43" s="78">
        <f t="shared" si="31"/>
        <v>103.00080945232581</v>
      </c>
      <c r="Q43" s="78">
        <f t="shared" si="31"/>
        <v>168.11430954614218</v>
      </c>
      <c r="R43" s="78">
        <f t="shared" si="31"/>
        <v>164.68698483740874</v>
      </c>
      <c r="S43" s="78">
        <f t="shared" si="31"/>
        <v>93.846047381818067</v>
      </c>
      <c r="T43" s="78">
        <f t="shared" si="31"/>
        <v>91.469407141636381</v>
      </c>
      <c r="U43" s="78">
        <f t="shared" si="31"/>
        <v>87.571291634352562</v>
      </c>
      <c r="V43" s="78">
        <f t="shared" si="31"/>
        <v>84.091534930380021</v>
      </c>
      <c r="W43" s="78">
        <f t="shared" ref="W43" si="32">W40-W41</f>
        <v>80.509328130911399</v>
      </c>
      <c r="X43" s="79">
        <f t="shared" si="31"/>
        <v>77.122217043091709</v>
      </c>
      <c r="Y43" s="78">
        <f t="shared" si="31"/>
        <v>72.881196031012834</v>
      </c>
      <c r="Z43" s="78">
        <f t="shared" si="31"/>
        <v>68.650968892072569</v>
      </c>
      <c r="AA43" s="79">
        <f t="shared" si="31"/>
        <v>64.296214704175725</v>
      </c>
      <c r="AB43" s="78">
        <f t="shared" si="31"/>
        <v>60.408506149404914</v>
      </c>
      <c r="AC43" s="78">
        <f t="shared" si="31"/>
        <v>55.023058621693295</v>
      </c>
    </row>
    <row r="44" spans="1:29" s="81" customFormat="1" ht="15.75" thickBot="1" x14ac:dyDescent="0.3">
      <c r="A44" s="44"/>
      <c r="B44" s="80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</row>
    <row r="45" spans="1:29" s="47" customFormat="1" ht="15.75" thickBot="1" x14ac:dyDescent="0.3">
      <c r="A45" s="44"/>
      <c r="B45" s="192" t="s">
        <v>47</v>
      </c>
      <c r="C45" s="82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</row>
    <row r="46" spans="1:29" x14ac:dyDescent="0.25">
      <c r="A46" s="22"/>
      <c r="B46" s="83" t="s">
        <v>44</v>
      </c>
      <c r="C46" s="49" t="s">
        <v>35</v>
      </c>
      <c r="D46" s="62">
        <f t="shared" ref="D46:AC46" si="33">D40</f>
        <v>-43.285560047124477</v>
      </c>
      <c r="E46" s="62">
        <f t="shared" si="33"/>
        <v>-58.913376376277029</v>
      </c>
      <c r="F46" s="62">
        <f t="shared" si="33"/>
        <v>-8.6897910249310257</v>
      </c>
      <c r="G46" s="62">
        <f t="shared" si="33"/>
        <v>41.462687002588524</v>
      </c>
      <c r="H46" s="62">
        <f t="shared" si="33"/>
        <v>92.623340089606188</v>
      </c>
      <c r="I46" s="62">
        <f t="shared" si="33"/>
        <v>141.44580112345653</v>
      </c>
      <c r="J46" s="62">
        <f t="shared" si="33"/>
        <v>191.14853118810117</v>
      </c>
      <c r="K46" s="62">
        <f t="shared" si="33"/>
        <v>230.89551907041078</v>
      </c>
      <c r="L46" s="62">
        <f t="shared" si="33"/>
        <v>232.13425575481398</v>
      </c>
      <c r="M46" s="62">
        <f t="shared" si="33"/>
        <v>227.7540231015002</v>
      </c>
      <c r="N46" s="62">
        <f t="shared" si="33"/>
        <v>224.18732250314935</v>
      </c>
      <c r="O46" s="62">
        <f>O40</f>
        <v>220.5155698982615</v>
      </c>
      <c r="P46" s="62">
        <f t="shared" si="33"/>
        <v>217.76519595588303</v>
      </c>
      <c r="Q46" s="62">
        <f t="shared" si="33"/>
        <v>212.69657518853506</v>
      </c>
      <c r="R46" s="62">
        <f t="shared" si="33"/>
        <v>208.36035759007677</v>
      </c>
      <c r="S46" s="62">
        <f t="shared" si="33"/>
        <v>203.8964512332854</v>
      </c>
      <c r="T46" s="62">
        <f t="shared" si="33"/>
        <v>200.29602672723269</v>
      </c>
      <c r="U46" s="62">
        <f t="shared" si="33"/>
        <v>194.39068586594414</v>
      </c>
      <c r="V46" s="62">
        <f t="shared" si="33"/>
        <v>189.11912594619997</v>
      </c>
      <c r="W46" s="62">
        <f t="shared" si="33"/>
        <v>183.69236212362961</v>
      </c>
      <c r="X46" s="63">
        <f t="shared" si="33"/>
        <v>178.73026818214134</v>
      </c>
      <c r="Y46" s="62">
        <f t="shared" si="33"/>
        <v>172.13633712763971</v>
      </c>
      <c r="Z46" s="62">
        <f t="shared" si="33"/>
        <v>165.72787304804757</v>
      </c>
      <c r="AA46" s="63">
        <f t="shared" si="33"/>
        <v>159.13076020469566</v>
      </c>
      <c r="AB46" s="62">
        <f t="shared" si="33"/>
        <v>153.24118505733816</v>
      </c>
      <c r="AC46" s="62">
        <f t="shared" si="33"/>
        <v>145.0826522172963</v>
      </c>
    </row>
    <row r="47" spans="1:29" x14ac:dyDescent="0.25">
      <c r="A47" s="22" t="s">
        <v>48</v>
      </c>
      <c r="B47" s="84" t="s">
        <v>17</v>
      </c>
      <c r="C47" s="40" t="s">
        <v>35</v>
      </c>
      <c r="D47" s="53">
        <f t="shared" ref="D47:AC47" si="34">D35</f>
        <v>62.729860276602757</v>
      </c>
      <c r="E47" s="53">
        <f t="shared" si="34"/>
        <v>119.87643456000002</v>
      </c>
      <c r="F47" s="53">
        <f t="shared" si="34"/>
        <v>119.87643456000002</v>
      </c>
      <c r="G47" s="53">
        <f t="shared" si="34"/>
        <v>119.87643456000002</v>
      </c>
      <c r="H47" s="53">
        <f t="shared" si="34"/>
        <v>119.87643456000002</v>
      </c>
      <c r="I47" s="53">
        <f t="shared" si="34"/>
        <v>119.87643456000002</v>
      </c>
      <c r="J47" s="53">
        <f t="shared" si="34"/>
        <v>119.87643456000002</v>
      </c>
      <c r="K47" s="53">
        <f t="shared" si="34"/>
        <v>119.87643456000002</v>
      </c>
      <c r="L47" s="53">
        <f t="shared" si="34"/>
        <v>119.87643456000002</v>
      </c>
      <c r="M47" s="53">
        <f t="shared" si="34"/>
        <v>119.87643456000002</v>
      </c>
      <c r="N47" s="53">
        <f t="shared" si="34"/>
        <v>119.87643456000002</v>
      </c>
      <c r="O47" s="53">
        <f t="shared" si="34"/>
        <v>119.87643456000002</v>
      </c>
      <c r="P47" s="53">
        <f t="shared" si="34"/>
        <v>119.87643456000002</v>
      </c>
      <c r="Q47" s="53">
        <f t="shared" si="34"/>
        <v>119.87643456000002</v>
      </c>
      <c r="R47" s="53">
        <f t="shared" si="34"/>
        <v>119.87643456000002</v>
      </c>
      <c r="S47" s="53">
        <f t="shared" si="34"/>
        <v>119.87643456000002</v>
      </c>
      <c r="T47" s="53">
        <f t="shared" si="34"/>
        <v>119.87643456000002</v>
      </c>
      <c r="U47" s="53">
        <f t="shared" si="34"/>
        <v>119.87643456000002</v>
      </c>
      <c r="V47" s="53">
        <f t="shared" si="34"/>
        <v>119.87643456000002</v>
      </c>
      <c r="W47" s="53">
        <f t="shared" si="34"/>
        <v>119.87643456000002</v>
      </c>
      <c r="X47" s="54">
        <f t="shared" si="34"/>
        <v>120.20486314783564</v>
      </c>
      <c r="Y47" s="53">
        <f t="shared" si="34"/>
        <v>119.87643456000002</v>
      </c>
      <c r="Z47" s="53">
        <f t="shared" si="34"/>
        <v>119.87643456000002</v>
      </c>
      <c r="AA47" s="54">
        <f t="shared" si="34"/>
        <v>119.87643456000002</v>
      </c>
      <c r="AB47" s="53">
        <f t="shared" si="34"/>
        <v>119.87643456000002</v>
      </c>
      <c r="AC47" s="53">
        <f t="shared" si="34"/>
        <v>119.87643456000002</v>
      </c>
    </row>
    <row r="48" spans="1:29" x14ac:dyDescent="0.25">
      <c r="A48" s="22" t="s">
        <v>40</v>
      </c>
      <c r="B48" s="84" t="s">
        <v>49</v>
      </c>
      <c r="C48" s="40" t="s">
        <v>35</v>
      </c>
      <c r="D48" s="53">
        <f>Assumption!C41*IF(AND(3&lt;MONTH(C6),MONTH(C6)&lt;10),Assumption!$C$47,Assumption!$C$47/2)</f>
        <v>2663.9207680000004</v>
      </c>
      <c r="E48" s="173">
        <f>(Assumption!$C$41-SUM($D$48:D48))*Assumption!$C$47</f>
        <v>532.78415359999997</v>
      </c>
      <c r="F48" s="173">
        <f>(Assumption!$C$41-SUM($D$48:E48))*Assumption!$C$47</f>
        <v>106.55683071999994</v>
      </c>
      <c r="G48" s="173">
        <f>(Assumption!$C$41-SUM($D$48:F48))*Assumption!$C$47</f>
        <v>21.311366143999841</v>
      </c>
      <c r="H48" s="173">
        <f>(Assumption!$C$41-SUM($D$48:G48))*Assumption!$C$47</f>
        <v>4.2622732288000407</v>
      </c>
      <c r="I48" s="173">
        <f>(Assumption!$C$41-SUM($D$48:H48))*Assumption!$C$47</f>
        <v>0.85245464576000818</v>
      </c>
      <c r="J48" s="173">
        <f>(Assumption!$C$41-SUM($D$48:I48))*Assumption!$C$47</f>
        <v>0.17049092915185612</v>
      </c>
      <c r="K48" s="173">
        <f>(Assumption!$C$41-SUM($D$48:J48))*Assumption!$C$47</f>
        <v>3.4098185830225704E-2</v>
      </c>
      <c r="L48" s="173">
        <f>(Assumption!$C$41-SUM($D$48:K48))*Assumption!$C$47</f>
        <v>6.8196371659723816E-3</v>
      </c>
      <c r="M48" s="173">
        <f>(Assumption!$C$41-SUM($D$48:L48))*Assumption!$C$47</f>
        <v>1.3639274333399954E-3</v>
      </c>
      <c r="N48" s="173">
        <f>(Assumption!$C$41-SUM($D$48:M48))*Assumption!$C$47</f>
        <v>2.7278548659523952E-4</v>
      </c>
      <c r="O48" s="173">
        <f>(Assumption!$C$41-SUM($D$48:N48))*Assumption!$C$47</f>
        <v>5.4557097246288326E-5</v>
      </c>
      <c r="P48" s="173">
        <f>(Assumption!$C$41-SUM($D$48:O48))*Assumption!$C$47</f>
        <v>1.0911419303738512E-5</v>
      </c>
      <c r="Q48" s="173">
        <f>(Assumption!$C$41-SUM($D$48:P48))*Assumption!$C$47</f>
        <v>2.1822837879881262E-6</v>
      </c>
      <c r="R48" s="173">
        <f>(Assumption!$C$41-SUM($D$48:Q48))*Assumption!$C$47</f>
        <v>4.3645668483804912E-7</v>
      </c>
      <c r="S48" s="173">
        <f>(Assumption!$C$41-SUM($D$48:R48))*Assumption!$C$47</f>
        <v>8.7291482486762106E-8</v>
      </c>
      <c r="T48" s="173">
        <f>(Assumption!$C$41-SUM($D$48:S48))*Assumption!$C$47</f>
        <v>1.7458296497352423E-8</v>
      </c>
      <c r="U48" s="173">
        <f>(Assumption!$C$41-SUM($D$48:T48))*Assumption!$C$47</f>
        <v>3.4917320590466263E-9</v>
      </c>
      <c r="V48" s="173">
        <f>(Assumption!$C$41-SUM($D$48:U48))*Assumption!$C$47</f>
        <v>6.9849193096160889E-10</v>
      </c>
      <c r="W48" s="173">
        <f>(Assumption!$C$41-SUM($D$48:V48))*Assumption!$C$47</f>
        <v>1.396983861923218E-10</v>
      </c>
      <c r="X48" s="234">
        <f>(Assumption!$C$41-SUM($D$48:W48))*Assumption!$C$47</f>
        <v>2.801243681460619E-11</v>
      </c>
      <c r="Y48" s="173">
        <f>(Assumption!$C$41-SUM($D$48:X48))*Assumption!$C$47</f>
        <v>5.4569682106375694E-12</v>
      </c>
      <c r="Z48" s="173">
        <f>(Assumption!$C$41-SUM($D$48:Y48))*Assumption!$C$47</f>
        <v>1.091393642127514E-12</v>
      </c>
      <c r="AA48" s="234">
        <f>(Assumption!$C$41-SUM($D$48:Z48))*Assumption!$C$47</f>
        <v>3.6379788070917132E-13</v>
      </c>
      <c r="AB48" s="173">
        <f>(Assumption!$C$41-SUM($D$48:AA48))*Assumption!$C$47</f>
        <v>0</v>
      </c>
      <c r="AC48" s="173">
        <f>(Assumption!$C$41-SUM($D$48:AB48))*Assumption!$C$47</f>
        <v>0</v>
      </c>
    </row>
    <row r="49" spans="1:29" x14ac:dyDescent="0.25">
      <c r="A49" s="22"/>
      <c r="B49" s="84" t="s">
        <v>81</v>
      </c>
      <c r="C49" s="40" t="s">
        <v>35</v>
      </c>
      <c r="D49" s="53">
        <f t="shared" ref="D49:AC49" si="35">D46+D47-D48</f>
        <v>-2644.476467770522</v>
      </c>
      <c r="E49" s="53">
        <f t="shared" si="35"/>
        <v>-471.82109541627699</v>
      </c>
      <c r="F49" s="53">
        <f t="shared" si="35"/>
        <v>4.6298128150690587</v>
      </c>
      <c r="G49" s="53">
        <f t="shared" si="35"/>
        <v>140.02775541858873</v>
      </c>
      <c r="H49" s="53">
        <f t="shared" si="35"/>
        <v>208.23750142080615</v>
      </c>
      <c r="I49" s="53">
        <f t="shared" si="35"/>
        <v>260.46978103769652</v>
      </c>
      <c r="J49" s="53">
        <f t="shared" si="35"/>
        <v>310.85447481894931</v>
      </c>
      <c r="K49" s="53">
        <f t="shared" si="35"/>
        <v>350.73785544458059</v>
      </c>
      <c r="L49" s="53">
        <f t="shared" si="35"/>
        <v>352.00387067764802</v>
      </c>
      <c r="M49" s="53">
        <f t="shared" si="35"/>
        <v>347.62909373406688</v>
      </c>
      <c r="N49" s="53">
        <f t="shared" si="35"/>
        <v>344.06348427766278</v>
      </c>
      <c r="O49" s="53">
        <f t="shared" si="35"/>
        <v>340.39194990116425</v>
      </c>
      <c r="P49" s="53">
        <f t="shared" si="35"/>
        <v>337.64161960446376</v>
      </c>
      <c r="Q49" s="53">
        <f t="shared" si="35"/>
        <v>332.57300756625131</v>
      </c>
      <c r="R49" s="53">
        <f t="shared" si="35"/>
        <v>328.23679171362011</v>
      </c>
      <c r="S49" s="53">
        <f t="shared" si="35"/>
        <v>323.77288570599393</v>
      </c>
      <c r="T49" s="53">
        <f t="shared" si="35"/>
        <v>320.17246126977437</v>
      </c>
      <c r="U49" s="53">
        <f t="shared" si="35"/>
        <v>314.26712042245242</v>
      </c>
      <c r="V49" s="53">
        <f t="shared" si="35"/>
        <v>308.99556050550149</v>
      </c>
      <c r="W49" s="53">
        <f t="shared" si="35"/>
        <v>303.56879668348989</v>
      </c>
      <c r="X49" s="54">
        <f t="shared" si="35"/>
        <v>298.93513132994894</v>
      </c>
      <c r="Y49" s="53">
        <f t="shared" si="35"/>
        <v>292.01277168763426</v>
      </c>
      <c r="Z49" s="53">
        <f t="shared" si="35"/>
        <v>285.6043076080465</v>
      </c>
      <c r="AA49" s="54">
        <f t="shared" si="35"/>
        <v>279.00719476469533</v>
      </c>
      <c r="AB49" s="53">
        <f t="shared" si="35"/>
        <v>273.11761961733816</v>
      </c>
      <c r="AC49" s="53">
        <f t="shared" si="35"/>
        <v>264.95908677729631</v>
      </c>
    </row>
    <row r="50" spans="1:29" x14ac:dyDescent="0.25">
      <c r="A50" s="22"/>
      <c r="B50" s="84" t="s">
        <v>50</v>
      </c>
      <c r="C50" s="40" t="s">
        <v>35</v>
      </c>
      <c r="D50" s="53">
        <f>D49</f>
        <v>-2644.476467770522</v>
      </c>
      <c r="E50" s="53">
        <f t="shared" ref="E50:X50" si="36">D50+E49</f>
        <v>-3116.2975631867989</v>
      </c>
      <c r="F50" s="53">
        <f t="shared" si="36"/>
        <v>-3111.6677503717297</v>
      </c>
      <c r="G50" s="53">
        <f t="shared" si="36"/>
        <v>-2971.639994953141</v>
      </c>
      <c r="H50" s="53">
        <f t="shared" si="36"/>
        <v>-2763.402493532335</v>
      </c>
      <c r="I50" s="53">
        <f t="shared" si="36"/>
        <v>-2502.9327124946385</v>
      </c>
      <c r="J50" s="53">
        <f t="shared" si="36"/>
        <v>-2192.0782376756893</v>
      </c>
      <c r="K50" s="53">
        <f t="shared" si="36"/>
        <v>-1841.3403822311086</v>
      </c>
      <c r="L50" s="53">
        <f t="shared" si="36"/>
        <v>-1489.3365115534607</v>
      </c>
      <c r="M50" s="53">
        <f t="shared" si="36"/>
        <v>-1141.7074178193939</v>
      </c>
      <c r="N50" s="53">
        <f t="shared" si="36"/>
        <v>-797.64393354173103</v>
      </c>
      <c r="O50" s="53">
        <f t="shared" si="36"/>
        <v>-457.25198364056678</v>
      </c>
      <c r="P50" s="53">
        <f t="shared" si="36"/>
        <v>-119.61036403610302</v>
      </c>
      <c r="Q50" s="53">
        <f t="shared" si="36"/>
        <v>212.96264353014828</v>
      </c>
      <c r="R50" s="53">
        <f t="shared" si="36"/>
        <v>541.19943524376845</v>
      </c>
      <c r="S50" s="53">
        <f t="shared" si="36"/>
        <v>864.97232094976243</v>
      </c>
      <c r="T50" s="53">
        <f t="shared" si="36"/>
        <v>1185.1447822195369</v>
      </c>
      <c r="U50" s="53">
        <f t="shared" si="36"/>
        <v>1499.4119026419894</v>
      </c>
      <c r="V50" s="53">
        <f t="shared" si="36"/>
        <v>1808.4074631474909</v>
      </c>
      <c r="W50" s="53">
        <f>V50+W49</f>
        <v>2111.9762598309808</v>
      </c>
      <c r="X50" s="54">
        <f t="shared" si="36"/>
        <v>2410.9113911609297</v>
      </c>
      <c r="Y50" s="53">
        <f t="shared" ref="Y50:Z50" si="37">X50+Y49</f>
        <v>2702.9241628485638</v>
      </c>
      <c r="Z50" s="53">
        <f t="shared" si="37"/>
        <v>2988.5284704566102</v>
      </c>
      <c r="AA50" s="54">
        <f t="shared" ref="AA50" si="38">Z50+AA49</f>
        <v>3267.5356652213054</v>
      </c>
      <c r="AB50" s="53">
        <f t="shared" ref="AB50:AC50" si="39">AA50+AB49</f>
        <v>3540.6532848386437</v>
      </c>
      <c r="AC50" s="53">
        <f t="shared" si="39"/>
        <v>3805.61237161594</v>
      </c>
    </row>
    <row r="51" spans="1:29" x14ac:dyDescent="0.25">
      <c r="A51" s="22" t="s">
        <v>40</v>
      </c>
      <c r="B51" s="84" t="s">
        <v>51</v>
      </c>
      <c r="C51" s="40" t="s">
        <v>35</v>
      </c>
      <c r="D51" s="53">
        <f t="shared" ref="D51:AC51" si="40">IF(D7&lt;=15,IF(D50&lt;0,0,MIN(D49,D50)),0)</f>
        <v>0</v>
      </c>
      <c r="E51" s="53">
        <f t="shared" si="40"/>
        <v>0</v>
      </c>
      <c r="F51" s="53">
        <f t="shared" si="40"/>
        <v>0</v>
      </c>
      <c r="G51" s="53">
        <f t="shared" si="40"/>
        <v>0</v>
      </c>
      <c r="H51" s="53">
        <f t="shared" si="40"/>
        <v>0</v>
      </c>
      <c r="I51" s="53">
        <f t="shared" si="40"/>
        <v>0</v>
      </c>
      <c r="J51" s="53">
        <f t="shared" si="40"/>
        <v>0</v>
      </c>
      <c r="K51" s="53">
        <f t="shared" si="40"/>
        <v>0</v>
      </c>
      <c r="L51" s="53">
        <f t="shared" si="40"/>
        <v>0</v>
      </c>
      <c r="M51" s="53">
        <f t="shared" si="40"/>
        <v>0</v>
      </c>
      <c r="N51" s="53">
        <f t="shared" si="40"/>
        <v>0</v>
      </c>
      <c r="O51" s="53">
        <f t="shared" si="40"/>
        <v>0</v>
      </c>
      <c r="P51" s="53">
        <f t="shared" si="40"/>
        <v>0</v>
      </c>
      <c r="Q51" s="53">
        <f t="shared" si="40"/>
        <v>212.96264353014828</v>
      </c>
      <c r="R51" s="53">
        <f t="shared" si="40"/>
        <v>328.23679171362011</v>
      </c>
      <c r="S51" s="173">
        <f t="shared" si="40"/>
        <v>0</v>
      </c>
      <c r="T51" s="85">
        <f t="shared" si="40"/>
        <v>0</v>
      </c>
      <c r="U51" s="85">
        <f t="shared" si="40"/>
        <v>0</v>
      </c>
      <c r="V51" s="85">
        <f t="shared" si="40"/>
        <v>0</v>
      </c>
      <c r="W51" s="85">
        <f t="shared" si="40"/>
        <v>0</v>
      </c>
      <c r="X51" s="86">
        <f t="shared" si="40"/>
        <v>0</v>
      </c>
      <c r="Y51" s="85">
        <f t="shared" si="40"/>
        <v>0</v>
      </c>
      <c r="Z51" s="85">
        <f t="shared" si="40"/>
        <v>0</v>
      </c>
      <c r="AA51" s="86">
        <f t="shared" si="40"/>
        <v>0</v>
      </c>
      <c r="AB51" s="85">
        <f t="shared" si="40"/>
        <v>0</v>
      </c>
      <c r="AC51" s="85">
        <f t="shared" si="40"/>
        <v>0</v>
      </c>
    </row>
    <row r="52" spans="1:29" ht="15.75" thickBot="1" x14ac:dyDescent="0.3">
      <c r="A52" s="22"/>
      <c r="B52" s="205" t="s">
        <v>82</v>
      </c>
      <c r="C52" s="43" t="s">
        <v>35</v>
      </c>
      <c r="D52" s="75">
        <f t="shared" ref="D52:AC52" si="41">D49-D51</f>
        <v>-2644.476467770522</v>
      </c>
      <c r="E52" s="75">
        <f t="shared" si="41"/>
        <v>-471.82109541627699</v>
      </c>
      <c r="F52" s="75">
        <f t="shared" si="41"/>
        <v>4.6298128150690587</v>
      </c>
      <c r="G52" s="75">
        <f t="shared" si="41"/>
        <v>140.02775541858873</v>
      </c>
      <c r="H52" s="75">
        <f t="shared" si="41"/>
        <v>208.23750142080615</v>
      </c>
      <c r="I52" s="75">
        <f t="shared" si="41"/>
        <v>260.46978103769652</v>
      </c>
      <c r="J52" s="75">
        <f t="shared" si="41"/>
        <v>310.85447481894931</v>
      </c>
      <c r="K52" s="75">
        <f t="shared" si="41"/>
        <v>350.73785544458059</v>
      </c>
      <c r="L52" s="75">
        <f t="shared" si="41"/>
        <v>352.00387067764802</v>
      </c>
      <c r="M52" s="75">
        <f t="shared" si="41"/>
        <v>347.62909373406688</v>
      </c>
      <c r="N52" s="75">
        <f t="shared" si="41"/>
        <v>344.06348427766278</v>
      </c>
      <c r="O52" s="75">
        <f t="shared" si="41"/>
        <v>340.39194990116425</v>
      </c>
      <c r="P52" s="75">
        <f t="shared" si="41"/>
        <v>337.64161960446376</v>
      </c>
      <c r="Q52" s="75">
        <f t="shared" si="41"/>
        <v>119.61036403610302</v>
      </c>
      <c r="R52" s="75">
        <f t="shared" si="41"/>
        <v>0</v>
      </c>
      <c r="S52" s="75">
        <f t="shared" si="41"/>
        <v>323.77288570599393</v>
      </c>
      <c r="T52" s="75">
        <f t="shared" si="41"/>
        <v>320.17246126977437</v>
      </c>
      <c r="U52" s="75">
        <f t="shared" si="41"/>
        <v>314.26712042245242</v>
      </c>
      <c r="V52" s="75">
        <f t="shared" si="41"/>
        <v>308.99556050550149</v>
      </c>
      <c r="W52" s="75">
        <f t="shared" si="41"/>
        <v>303.56879668348989</v>
      </c>
      <c r="X52" s="76">
        <f t="shared" si="41"/>
        <v>298.93513132994894</v>
      </c>
      <c r="Y52" s="75">
        <f t="shared" si="41"/>
        <v>292.01277168763426</v>
      </c>
      <c r="Z52" s="75">
        <f t="shared" si="41"/>
        <v>285.6043076080465</v>
      </c>
      <c r="AA52" s="75">
        <f t="shared" si="41"/>
        <v>279.00719476469533</v>
      </c>
      <c r="AB52" s="76">
        <f t="shared" si="41"/>
        <v>273.11761961733816</v>
      </c>
      <c r="AC52" s="75">
        <f t="shared" si="41"/>
        <v>264.95908677729631</v>
      </c>
    </row>
    <row r="53" spans="1:29" s="47" customFormat="1" ht="15.75" thickBot="1" x14ac:dyDescent="0.3">
      <c r="A53" s="44"/>
      <c r="B53" s="45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</row>
    <row r="54" spans="1:29" x14ac:dyDescent="0.25">
      <c r="A54" s="22"/>
      <c r="B54" s="83" t="s">
        <v>21</v>
      </c>
      <c r="C54" s="49" t="s">
        <v>35</v>
      </c>
      <c r="D54" s="88">
        <f>IF(D46&lt;0,0,D46*Assumption!$C$57)</f>
        <v>0</v>
      </c>
      <c r="E54" s="88">
        <f>IF(E46&lt;0,0,E46*Assumption!$C$57)</f>
        <v>0</v>
      </c>
      <c r="F54" s="88">
        <f>IF(F46&lt;0,0,F46*Assumption!$C$57)</f>
        <v>0</v>
      </c>
      <c r="G54" s="88">
        <f>IF(G46&lt;0,0,G46*Assumption!$C$57)</f>
        <v>8.6907865091775669</v>
      </c>
      <c r="H54" s="88">
        <f>IF(H46&lt;0,0,H46*Assumption!$C$57)</f>
        <v>19.414315199481905</v>
      </c>
      <c r="I54" s="88">
        <f>IF(I46&lt;0,0,I46*Assumption!$C$57)</f>
        <v>29.647747144482103</v>
      </c>
      <c r="J54" s="88">
        <f>IF(J46&lt;0,0,J46*Assumption!$C$57)</f>
        <v>40.065687879681946</v>
      </c>
      <c r="K54" s="88">
        <f>IF(K46&lt;0,0,K46*Assumption!$C$57)</f>
        <v>48.396855274753449</v>
      </c>
      <c r="L54" s="88">
        <f>IF(L46&lt;0,0,L46*Assumption!$C$57)</f>
        <v>48.656500677487777</v>
      </c>
      <c r="M54" s="88">
        <f>IF(M46&lt;0,0,M46*Assumption!$C$57)</f>
        <v>47.738382012189945</v>
      </c>
      <c r="N54" s="88">
        <f>IF(N46&lt;0,0,N46*Assumption!$C$57)</f>
        <v>46.990783733272615</v>
      </c>
      <c r="O54" s="88">
        <f>IF(O46&lt;0,0,O46*Assumption!$C$57)</f>
        <v>46.221166028525097</v>
      </c>
      <c r="P54" s="88">
        <f>IF(P46&lt;0,0,P46*Assumption!$C$57)</f>
        <v>45.644673898332861</v>
      </c>
      <c r="Q54" s="88">
        <f>IF(Q46&lt;0,0,Q46*Assumption!$C$57)</f>
        <v>44.58226564239289</v>
      </c>
      <c r="R54" s="88">
        <f>IF(R46&lt;0,0,R46*Assumption!$C$57)</f>
        <v>43.673372752668037</v>
      </c>
      <c r="S54" s="88">
        <f>IF(S46&lt;0,0,S46*Assumption!$C$57)</f>
        <v>42.737715660752784</v>
      </c>
      <c r="T54" s="88">
        <f>IF(T46&lt;0,0,T46*Assumption!$C$57)</f>
        <v>41.983048682161602</v>
      </c>
      <c r="U54" s="88">
        <f>IF(U46&lt;0,0,U46*Assumption!$C$57)</f>
        <v>40.745259710931215</v>
      </c>
      <c r="V54" s="88">
        <f>IF(V46&lt;0,0,V46*Assumption!$C$57)</f>
        <v>39.64031439395324</v>
      </c>
      <c r="W54" s="88">
        <f>IF(W46&lt;0,0,W46*Assumption!$C$57)</f>
        <v>38.502837562923382</v>
      </c>
      <c r="X54" s="89">
        <f>IF(X46&lt;0,0,X46*Assumption!$C$57)</f>
        <v>37.462757862317737</v>
      </c>
      <c r="Y54" s="88">
        <f>IF(Y46&lt;0,0,Y46*Assumption!$C$57)</f>
        <v>36.080636943638915</v>
      </c>
      <c r="Z54" s="88">
        <f>IF(Z46&lt;0,0,Z46*Assumption!$C$57)</f>
        <v>34.737390830236009</v>
      </c>
      <c r="AA54" s="88">
        <f>IF(AA46&lt;0,0,AA46*Assumption!$C$57)</f>
        <v>33.354602992705232</v>
      </c>
      <c r="AB54" s="88">
        <f>IF(AB46&lt;0,0,AB46*Assumption!$C$57)</f>
        <v>32.12011859394336</v>
      </c>
      <c r="AC54" s="88">
        <f>IF(AC46&lt;0,0,AC46*Assumption!$C$57)</f>
        <v>30.41004931800639</v>
      </c>
    </row>
    <row r="55" spans="1:29" ht="15.75" thickBot="1" x14ac:dyDescent="0.3">
      <c r="A55" s="22"/>
      <c r="B55" s="87" t="s">
        <v>19</v>
      </c>
      <c r="C55" s="43" t="s">
        <v>35</v>
      </c>
      <c r="D55" s="75">
        <f>IF(D52&lt;0,0,D52*Assumption!$C$56)</f>
        <v>0</v>
      </c>
      <c r="E55" s="75">
        <f>IF(E52&lt;0,0,E52*Assumption!$C$56)</f>
        <v>0</v>
      </c>
      <c r="F55" s="75">
        <f>IF(F52&lt;0,0,F52*Assumption!$C$56)</f>
        <v>1.573673375841973</v>
      </c>
      <c r="G55" s="75">
        <f>IF(G52&lt;0,0,G52*Assumption!$C$56)</f>
        <v>47.595434066778303</v>
      </c>
      <c r="H55" s="75">
        <f>IF(H52&lt;0,0,H52*Assumption!$C$56)</f>
        <v>70.779926732932012</v>
      </c>
      <c r="I55" s="75">
        <f>IF(I52&lt;0,0,I52*Assumption!$C$56)</f>
        <v>88.533678574713036</v>
      </c>
      <c r="J55" s="75">
        <f>IF(J52&lt;0,0,J52*Assumption!$C$56)</f>
        <v>105.65943599096086</v>
      </c>
      <c r="K55" s="75">
        <f>IF(K52&lt;0,0,K52*Assumption!$C$56)</f>
        <v>119.21579706561293</v>
      </c>
      <c r="L55" s="75">
        <f>IF(L52&lt;0,0,L52*Assumption!$C$56)</f>
        <v>119.64611564333255</v>
      </c>
      <c r="M55" s="75">
        <f>IF(M52&lt;0,0,M52*Assumption!$C$56)</f>
        <v>118.15912896020933</v>
      </c>
      <c r="N55" s="75">
        <f>IF(N52&lt;0,0,N52*Assumption!$C$56)</f>
        <v>116.94717830597757</v>
      </c>
      <c r="O55" s="75">
        <f>IF(O52&lt;0,0,O52*Assumption!$C$56)</f>
        <v>115.69922377140573</v>
      </c>
      <c r="P55" s="75">
        <f>IF(P52&lt;0,0,P52*Assumption!$C$56)</f>
        <v>114.76438650355722</v>
      </c>
      <c r="Q55" s="75">
        <f>IF(Q52&lt;0,0,Q52*Assumption!$C$56)</f>
        <v>40.655562735871413</v>
      </c>
      <c r="R55" s="75">
        <f>IF(R52&lt;0,0,R52*Assumption!$C$56)</f>
        <v>0</v>
      </c>
      <c r="S55" s="75">
        <f>IF(S52&lt;0,0,S52*Assumption!$C$56)</f>
        <v>110.05040385146734</v>
      </c>
      <c r="T55" s="75">
        <f>IF(T52&lt;0,0,T52*Assumption!$C$56)</f>
        <v>108.8266195855963</v>
      </c>
      <c r="U55" s="75">
        <f>IF(U52&lt;0,0,U52*Assumption!$C$56)</f>
        <v>106.81939423159157</v>
      </c>
      <c r="V55" s="75">
        <f>IF(V52&lt;0,0,V52*Assumption!$C$56)</f>
        <v>105.02759101581995</v>
      </c>
      <c r="W55" s="75">
        <f>IF(W52&lt;0,0,W52*Assumption!$C$56)</f>
        <v>103.18303399271821</v>
      </c>
      <c r="X55" s="76">
        <f>IF(X52&lt;0,0,X52*Assumption!$C$56)</f>
        <v>101.60805113904964</v>
      </c>
      <c r="Y55" s="75">
        <f>IF(Y52&lt;0,0,Y52*Assumption!$C$56)</f>
        <v>99.255141096626872</v>
      </c>
      <c r="Z55" s="75">
        <f>IF(Z52&lt;0,0,Z52*Assumption!$C$56)</f>
        <v>97.076904155975001</v>
      </c>
      <c r="AA55" s="75">
        <f>IF(AA52&lt;0,0,AA52*Assumption!$C$56)</f>
        <v>94.834545500519937</v>
      </c>
      <c r="AB55" s="75">
        <f>IF(AB52&lt;0,0,AB52*Assumption!$C$56)</f>
        <v>92.832678907933243</v>
      </c>
      <c r="AC55" s="75">
        <f>IF(AC52&lt;0,0,AC52*Assumption!$C$56)</f>
        <v>90.059593595603005</v>
      </c>
    </row>
    <row r="56" spans="1:29" s="47" customFormat="1" ht="15.75" thickBot="1" x14ac:dyDescent="0.3">
      <c r="A56" s="44"/>
      <c r="B56" s="45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</row>
    <row r="57" spans="1:29" s="20" customFormat="1" ht="15.75" thickBot="1" x14ac:dyDescent="0.3">
      <c r="A57" s="55"/>
      <c r="B57" s="191" t="s">
        <v>52</v>
      </c>
      <c r="C57" s="77" t="s">
        <v>35</v>
      </c>
      <c r="D57" s="78">
        <f>IF(D52*Assumption!$C$56&lt;0,D52*Assumption!$C$56,0)</f>
        <v>-898.8575513952004</v>
      </c>
      <c r="E57" s="78">
        <f>IF(E52*Assumption!$C$56&lt;0,E52*Assumption!$C$56,0)</f>
        <v>-160.37199033199255</v>
      </c>
      <c r="F57" s="78">
        <f>IF(F52*Assumption!$C$56&lt;0,F52*Assumption!$C$56,0)</f>
        <v>0</v>
      </c>
      <c r="G57" s="78">
        <f>IF(G52*Assumption!$C$56&lt;0,G52*Assumption!$C$56,0)</f>
        <v>0</v>
      </c>
      <c r="H57" s="78">
        <f>IF(H52*Assumption!$C$56&lt;0,H52*Assumption!$C$56,0)</f>
        <v>0</v>
      </c>
      <c r="I57" s="78">
        <f>IF(I52*Assumption!$C$56&lt;0,I52*Assumption!$C$56,0)</f>
        <v>0</v>
      </c>
      <c r="J57" s="78">
        <f>IF(J52*Assumption!$C$56&lt;0,J52*Assumption!$C$56,0)</f>
        <v>0</v>
      </c>
      <c r="K57" s="78">
        <f>IF(K52*Assumption!$C$56&lt;0,K52*Assumption!$C$56,0)</f>
        <v>0</v>
      </c>
      <c r="L57" s="78">
        <f>IF(L52*Assumption!$C$56&lt;0,L52*Assumption!$C$56,0)</f>
        <v>0</v>
      </c>
      <c r="M57" s="78">
        <f>IF(M52*Assumption!$C$56&lt;0,M52*Assumption!$C$56,0)</f>
        <v>0</v>
      </c>
      <c r="N57" s="78">
        <f>IF(N52*Assumption!$C$56&lt;0,N52*Assumption!$C$56,0)</f>
        <v>0</v>
      </c>
      <c r="O57" s="78">
        <f>IF(O52*Assumption!$C$56&lt;0,O52*Assumption!$C$56,0)</f>
        <v>0</v>
      </c>
      <c r="P57" s="78">
        <f>IF(P52*Assumption!$C$56&lt;0,P52*Assumption!$C$56,0)</f>
        <v>0</v>
      </c>
      <c r="Q57" s="78">
        <f>IF(Q52*Assumption!$C$56&lt;0,Q52*Assumption!$C$56,0)</f>
        <v>0</v>
      </c>
      <c r="R57" s="78">
        <f>IF(R52*Assumption!$C$56&lt;0,R52*Assumption!$C$56,0)</f>
        <v>0</v>
      </c>
      <c r="S57" s="78">
        <f>IF(S52*Assumption!$C$56&lt;0,S52*Assumption!$C$56,0)</f>
        <v>0</v>
      </c>
      <c r="T57" s="78">
        <f>IF(T52*Assumption!$C$56&lt;0,T52*Assumption!$C$56,0)</f>
        <v>0</v>
      </c>
      <c r="U57" s="78">
        <f>IF(U52*Assumption!$C$56&lt;0,U52*Assumption!$C$56,0)</f>
        <v>0</v>
      </c>
      <c r="V57" s="78">
        <f>IF(V52*Assumption!$C$56&lt;0,V52*Assumption!$C$56,0)</f>
        <v>0</v>
      </c>
      <c r="W57" s="78">
        <f>IF(W52*Assumption!$C$56&lt;0,W52*Assumption!$C$56,0)</f>
        <v>0</v>
      </c>
      <c r="X57" s="78">
        <f>IF(X52*Assumption!$C$56&lt;0,X52*Assumption!$C$56,0)</f>
        <v>0</v>
      </c>
      <c r="Y57" s="78">
        <f>IF(Y52*Assumption!$C$56&lt;0,Y52*Assumption!$C$56,0)</f>
        <v>0</v>
      </c>
      <c r="Z57" s="78">
        <f>IF(Z52*Assumption!$C$56&lt;0,Z52*Assumption!$C$56,0)</f>
        <v>0</v>
      </c>
      <c r="AA57" s="78">
        <f>IF(AA52*Assumption!$C$56&lt;0,AA52*Assumption!$C$56,0)</f>
        <v>0</v>
      </c>
      <c r="AB57" s="78">
        <f>IF(AB52*Assumption!$C$56&lt;0,AB52*Assumption!$C$56,0)</f>
        <v>0</v>
      </c>
      <c r="AC57" s="78">
        <f>IF(AC52*Assumption!$C$56&lt;0,AC52*Assumption!$C$56,0)</f>
        <v>0</v>
      </c>
    </row>
    <row r="58" spans="1:29" s="47" customFormat="1" ht="15.75" thickBot="1" x14ac:dyDescent="0.3">
      <c r="A58" s="44"/>
      <c r="B58" s="45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</row>
    <row r="59" spans="1:29" s="20" customFormat="1" ht="15.75" thickBot="1" x14ac:dyDescent="0.3">
      <c r="A59" s="55"/>
      <c r="B59" s="191" t="s">
        <v>53</v>
      </c>
      <c r="C59" s="77" t="s">
        <v>35</v>
      </c>
      <c r="D59" s="78">
        <f t="shared" ref="D59:AC59" si="42">MAX(D54,D55)</f>
        <v>0</v>
      </c>
      <c r="E59" s="78">
        <f t="shared" si="42"/>
        <v>0</v>
      </c>
      <c r="F59" s="78">
        <f t="shared" si="42"/>
        <v>1.573673375841973</v>
      </c>
      <c r="G59" s="78">
        <f t="shared" si="42"/>
        <v>47.595434066778303</v>
      </c>
      <c r="H59" s="78">
        <f t="shared" si="42"/>
        <v>70.779926732932012</v>
      </c>
      <c r="I59" s="78">
        <f t="shared" si="42"/>
        <v>88.533678574713036</v>
      </c>
      <c r="J59" s="78">
        <f t="shared" si="42"/>
        <v>105.65943599096086</v>
      </c>
      <c r="K59" s="78">
        <f t="shared" si="42"/>
        <v>119.21579706561293</v>
      </c>
      <c r="L59" s="78">
        <f t="shared" si="42"/>
        <v>119.64611564333255</v>
      </c>
      <c r="M59" s="78">
        <f t="shared" si="42"/>
        <v>118.15912896020933</v>
      </c>
      <c r="N59" s="78">
        <f t="shared" si="42"/>
        <v>116.94717830597757</v>
      </c>
      <c r="O59" s="78">
        <f t="shared" si="42"/>
        <v>115.69922377140573</v>
      </c>
      <c r="P59" s="78">
        <f t="shared" si="42"/>
        <v>114.76438650355722</v>
      </c>
      <c r="Q59" s="78">
        <f t="shared" si="42"/>
        <v>44.58226564239289</v>
      </c>
      <c r="R59" s="78">
        <f t="shared" si="42"/>
        <v>43.673372752668037</v>
      </c>
      <c r="S59" s="78">
        <f t="shared" si="42"/>
        <v>110.05040385146734</v>
      </c>
      <c r="T59" s="78">
        <f t="shared" si="42"/>
        <v>108.8266195855963</v>
      </c>
      <c r="U59" s="78">
        <f t="shared" si="42"/>
        <v>106.81939423159157</v>
      </c>
      <c r="V59" s="78">
        <f t="shared" si="42"/>
        <v>105.02759101581995</v>
      </c>
      <c r="W59" s="78">
        <f t="shared" si="42"/>
        <v>103.18303399271821</v>
      </c>
      <c r="X59" s="78">
        <f t="shared" si="42"/>
        <v>101.60805113904964</v>
      </c>
      <c r="Y59" s="78">
        <f t="shared" si="42"/>
        <v>99.255141096626872</v>
      </c>
      <c r="Z59" s="78">
        <f t="shared" si="42"/>
        <v>97.076904155975001</v>
      </c>
      <c r="AA59" s="78">
        <f t="shared" si="42"/>
        <v>94.834545500519937</v>
      </c>
      <c r="AB59" s="78">
        <f t="shared" si="42"/>
        <v>92.832678907933243</v>
      </c>
      <c r="AC59" s="78">
        <f t="shared" si="42"/>
        <v>90.059593595603005</v>
      </c>
    </row>
    <row r="60" spans="1:29" x14ac:dyDescent="0.25"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</row>
    <row r="61" spans="1:29" s="96" customFormat="1" x14ac:dyDescent="0.25">
      <c r="A61" s="101"/>
      <c r="B61" s="104"/>
      <c r="C61" s="105"/>
      <c r="D61" s="102"/>
      <c r="E61" s="102"/>
      <c r="F61" s="102"/>
      <c r="G61" s="102"/>
      <c r="H61" s="103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1:29" s="47" customFormat="1" x14ac:dyDescent="0.25">
      <c r="A62" s="44"/>
      <c r="B62" s="471" t="s">
        <v>78</v>
      </c>
      <c r="C62" s="471"/>
      <c r="D62" s="60"/>
      <c r="E62" s="60"/>
      <c r="F62" s="60"/>
      <c r="G62" s="60"/>
      <c r="H62" s="9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9" s="47" customFormat="1" ht="15.75" thickBot="1" x14ac:dyDescent="0.3">
      <c r="A63" s="44"/>
      <c r="B63" s="91"/>
      <c r="C63" s="91"/>
      <c r="D63" s="60"/>
      <c r="E63" s="60"/>
      <c r="F63" s="60"/>
      <c r="G63" s="60"/>
      <c r="H63" s="9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9" s="81" customFormat="1" ht="15.75" thickBot="1" x14ac:dyDescent="0.3">
      <c r="A64" s="22"/>
      <c r="B64" s="196" t="s">
        <v>77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</row>
    <row r="65" spans="1:29" s="47" customFormat="1" ht="15.75" thickBot="1" x14ac:dyDescent="0.3">
      <c r="A65" s="22"/>
      <c r="B65" s="297" t="s">
        <v>54</v>
      </c>
      <c r="C65" s="298">
        <f>-Assumption!C30</f>
        <v>-1011.2400000000002</v>
      </c>
      <c r="D65" s="60"/>
      <c r="E65" s="60"/>
      <c r="F65" s="60"/>
      <c r="G65" s="60"/>
      <c r="H65" s="9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</row>
    <row r="66" spans="1:29" s="47" customFormat="1" ht="15.75" thickBot="1" x14ac:dyDescent="0.3">
      <c r="A66" s="44"/>
      <c r="B66" s="33"/>
      <c r="C66" s="60"/>
      <c r="D66" s="60"/>
      <c r="E66" s="60"/>
      <c r="F66" s="60"/>
      <c r="G66" s="60"/>
      <c r="H66" s="9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</row>
    <row r="67" spans="1:29" s="47" customFormat="1" ht="15.75" thickBot="1" x14ac:dyDescent="0.3">
      <c r="A67" s="44"/>
      <c r="B67" s="197" t="s">
        <v>55</v>
      </c>
      <c r="C67" s="35"/>
      <c r="D67" s="60"/>
      <c r="E67" s="60"/>
      <c r="F67" s="60"/>
      <c r="G67" s="60"/>
      <c r="H67" s="92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</row>
    <row r="68" spans="1:29" s="47" customFormat="1" x14ac:dyDescent="0.25">
      <c r="A68" s="22"/>
      <c r="B68" s="93" t="s">
        <v>46</v>
      </c>
      <c r="C68" s="49"/>
      <c r="D68" s="62">
        <f>'P&amp;L Stat.'!D43</f>
        <v>-43.285560047124477</v>
      </c>
      <c r="E68" s="62">
        <f>'P&amp;L Stat.'!E43</f>
        <v>-58.913376376277029</v>
      </c>
      <c r="F68" s="62">
        <f>'P&amp;L Stat.'!F43</f>
        <v>-10.263464400773</v>
      </c>
      <c r="G68" s="62">
        <f>'P&amp;L Stat.'!G43</f>
        <v>-6.132747064189779</v>
      </c>
      <c r="H68" s="62">
        <f>'P&amp;L Stat.'!H43</f>
        <v>21.843413356674176</v>
      </c>
      <c r="I68" s="62">
        <f>'P&amp;L Stat.'!I43</f>
        <v>52.912122548743497</v>
      </c>
      <c r="J68" s="62">
        <f>'P&amp;L Stat.'!J43</f>
        <v>85.489095197140315</v>
      </c>
      <c r="K68" s="62">
        <f>'P&amp;L Stat.'!K43</f>
        <v>111.67972200479785</v>
      </c>
      <c r="L68" s="62">
        <f>'P&amp;L Stat.'!L43</f>
        <v>112.48814011148143</v>
      </c>
      <c r="M68" s="62">
        <f>'P&amp;L Stat.'!M43</f>
        <v>109.59489414129087</v>
      </c>
      <c r="N68" s="62">
        <f>'P&amp;L Stat.'!N43</f>
        <v>107.24014419717177</v>
      </c>
      <c r="O68" s="62">
        <f>'P&amp;L Stat.'!O43</f>
        <v>104.81634612685578</v>
      </c>
      <c r="P68" s="62">
        <f>'P&amp;L Stat.'!P43</f>
        <v>103.00080945232581</v>
      </c>
      <c r="Q68" s="62">
        <f>'P&amp;L Stat.'!Q43</f>
        <v>168.11430954614218</v>
      </c>
      <c r="R68" s="62">
        <f>'P&amp;L Stat.'!R43</f>
        <v>164.68698483740874</v>
      </c>
      <c r="S68" s="62">
        <f>'P&amp;L Stat.'!S43</f>
        <v>93.846047381818067</v>
      </c>
      <c r="T68" s="62">
        <f>'P&amp;L Stat.'!T43</f>
        <v>91.469407141636381</v>
      </c>
      <c r="U68" s="62">
        <f>'P&amp;L Stat.'!U43</f>
        <v>87.571291634352562</v>
      </c>
      <c r="V68" s="62">
        <f>'P&amp;L Stat.'!V43</f>
        <v>84.091534930380021</v>
      </c>
      <c r="W68" s="62">
        <f>'P&amp;L Stat.'!W43</f>
        <v>80.509328130911399</v>
      </c>
      <c r="X68" s="63">
        <f>'P&amp;L Stat.'!X43</f>
        <v>77.122217043091709</v>
      </c>
      <c r="Y68" s="62">
        <f>'P&amp;L Stat.'!Y43</f>
        <v>72.881196031012834</v>
      </c>
      <c r="Z68" s="62">
        <f>'P&amp;L Stat.'!Z43</f>
        <v>68.650968892072569</v>
      </c>
      <c r="AA68" s="63">
        <f>'P&amp;L Stat.'!AA43</f>
        <v>64.296214704175725</v>
      </c>
      <c r="AB68" s="62">
        <f>'P&amp;L Stat.'!AB43</f>
        <v>60.408506149404914</v>
      </c>
      <c r="AC68" s="62">
        <f>'P&amp;L Stat.'!AC43</f>
        <v>55.023058621693295</v>
      </c>
    </row>
    <row r="69" spans="1:29" s="47" customFormat="1" x14ac:dyDescent="0.25">
      <c r="A69" s="22" t="s">
        <v>48</v>
      </c>
      <c r="B69" s="94" t="s">
        <v>17</v>
      </c>
      <c r="C69" s="40"/>
      <c r="D69" s="53">
        <f>'P&amp;L Stat.'!D35</f>
        <v>62.729860276602757</v>
      </c>
      <c r="E69" s="53">
        <f>'P&amp;L Stat.'!E35</f>
        <v>119.87643456000002</v>
      </c>
      <c r="F69" s="53">
        <f>'P&amp;L Stat.'!F35</f>
        <v>119.87643456000002</v>
      </c>
      <c r="G69" s="53">
        <f>'P&amp;L Stat.'!G35</f>
        <v>119.87643456000002</v>
      </c>
      <c r="H69" s="53">
        <f>'P&amp;L Stat.'!H35</f>
        <v>119.87643456000002</v>
      </c>
      <c r="I69" s="53">
        <f>'P&amp;L Stat.'!I35</f>
        <v>119.87643456000002</v>
      </c>
      <c r="J69" s="53">
        <f>'P&amp;L Stat.'!J35</f>
        <v>119.87643456000002</v>
      </c>
      <c r="K69" s="53">
        <f>'P&amp;L Stat.'!K35</f>
        <v>119.87643456000002</v>
      </c>
      <c r="L69" s="53">
        <f>'P&amp;L Stat.'!L35</f>
        <v>119.87643456000002</v>
      </c>
      <c r="M69" s="53">
        <f>'P&amp;L Stat.'!M35</f>
        <v>119.87643456000002</v>
      </c>
      <c r="N69" s="53">
        <f>'P&amp;L Stat.'!N35</f>
        <v>119.87643456000002</v>
      </c>
      <c r="O69" s="53">
        <f>'P&amp;L Stat.'!O35</f>
        <v>119.87643456000002</v>
      </c>
      <c r="P69" s="53">
        <f>'P&amp;L Stat.'!P35</f>
        <v>119.87643456000002</v>
      </c>
      <c r="Q69" s="53">
        <f>'P&amp;L Stat.'!Q35</f>
        <v>119.87643456000002</v>
      </c>
      <c r="R69" s="53">
        <f>'P&amp;L Stat.'!R35</f>
        <v>119.87643456000002</v>
      </c>
      <c r="S69" s="53">
        <f>'P&amp;L Stat.'!S35</f>
        <v>119.87643456000002</v>
      </c>
      <c r="T69" s="53">
        <f>'P&amp;L Stat.'!T35</f>
        <v>119.87643456000002</v>
      </c>
      <c r="U69" s="53">
        <f>'P&amp;L Stat.'!U35</f>
        <v>119.87643456000002</v>
      </c>
      <c r="V69" s="53">
        <f>'P&amp;L Stat.'!V35</f>
        <v>119.87643456000002</v>
      </c>
      <c r="W69" s="53">
        <f>'P&amp;L Stat.'!W35</f>
        <v>119.87643456000002</v>
      </c>
      <c r="X69" s="54">
        <f>'P&amp;L Stat.'!X35</f>
        <v>120.20486314783564</v>
      </c>
      <c r="Y69" s="53">
        <f>'P&amp;L Stat.'!Y35</f>
        <v>119.87643456000002</v>
      </c>
      <c r="Z69" s="53">
        <f>'P&amp;L Stat.'!Z35</f>
        <v>119.87643456000002</v>
      </c>
      <c r="AA69" s="54">
        <f>'P&amp;L Stat.'!AA35</f>
        <v>119.87643456000002</v>
      </c>
      <c r="AB69" s="53">
        <f>'P&amp;L Stat.'!AB35</f>
        <v>119.87643456000002</v>
      </c>
      <c r="AC69" s="53">
        <f>'P&amp;L Stat.'!AC35</f>
        <v>119.87643456000002</v>
      </c>
    </row>
    <row r="70" spans="1:29" s="47" customFormat="1" x14ac:dyDescent="0.25">
      <c r="A70" s="22" t="s">
        <v>48</v>
      </c>
      <c r="B70" s="94" t="s">
        <v>56</v>
      </c>
      <c r="C70" s="40"/>
      <c r="D70" s="53">
        <f>IF('P&amp;L Stat.'!D57&lt;0,-'P&amp;L Stat.'!D57,'P&amp;L Stat.'!D57)</f>
        <v>898.8575513952004</v>
      </c>
      <c r="E70" s="53">
        <f>IF('P&amp;L Stat.'!E57&lt;0,-'P&amp;L Stat.'!E57,'P&amp;L Stat.'!E57)</f>
        <v>160.37199033199255</v>
      </c>
      <c r="F70" s="53">
        <f>IF('P&amp;L Stat.'!F57&lt;0,-'P&amp;L Stat.'!F57,'P&amp;L Stat.'!F57)</f>
        <v>0</v>
      </c>
      <c r="G70" s="53">
        <f>IF('P&amp;L Stat.'!G57&lt;0,-'P&amp;L Stat.'!G57,'P&amp;L Stat.'!G57)</f>
        <v>0</v>
      </c>
      <c r="H70" s="53">
        <f>IF('P&amp;L Stat.'!H57&lt;0,-'P&amp;L Stat.'!H57,'P&amp;L Stat.'!H57)</f>
        <v>0</v>
      </c>
      <c r="I70" s="53">
        <f>IF('P&amp;L Stat.'!I57&lt;0,-'P&amp;L Stat.'!I57,'P&amp;L Stat.'!I57)</f>
        <v>0</v>
      </c>
      <c r="J70" s="53">
        <f>IF('P&amp;L Stat.'!J57&lt;0,-'P&amp;L Stat.'!J57,'P&amp;L Stat.'!J57)</f>
        <v>0</v>
      </c>
      <c r="K70" s="53">
        <f>IF('P&amp;L Stat.'!K57&lt;0,-'P&amp;L Stat.'!K57,'P&amp;L Stat.'!K57)</f>
        <v>0</v>
      </c>
      <c r="L70" s="53">
        <f>IF('P&amp;L Stat.'!L57&lt;0,-'P&amp;L Stat.'!L57,'P&amp;L Stat.'!L57)</f>
        <v>0</v>
      </c>
      <c r="M70" s="53">
        <f>IF('P&amp;L Stat.'!M57&lt;0,-'P&amp;L Stat.'!M57,'P&amp;L Stat.'!M57)</f>
        <v>0</v>
      </c>
      <c r="N70" s="53">
        <f>IF('P&amp;L Stat.'!N57&lt;0,-'P&amp;L Stat.'!N57,'P&amp;L Stat.'!N57)</f>
        <v>0</v>
      </c>
      <c r="O70" s="53">
        <f>IF('P&amp;L Stat.'!O57&lt;0,-'P&amp;L Stat.'!O57,'P&amp;L Stat.'!O57)</f>
        <v>0</v>
      </c>
      <c r="P70" s="53">
        <f>IF('P&amp;L Stat.'!P57&lt;0,-'P&amp;L Stat.'!P57,'P&amp;L Stat.'!P57)</f>
        <v>0</v>
      </c>
      <c r="Q70" s="53">
        <f>IF('P&amp;L Stat.'!Q57&lt;0,-'P&amp;L Stat.'!Q57,'P&amp;L Stat.'!Q57)</f>
        <v>0</v>
      </c>
      <c r="R70" s="53">
        <f>IF('P&amp;L Stat.'!R57&lt;0,-'P&amp;L Stat.'!R57,'P&amp;L Stat.'!R57)</f>
        <v>0</v>
      </c>
      <c r="S70" s="53">
        <f>IF('P&amp;L Stat.'!S57&lt;0,-'P&amp;L Stat.'!S57,'P&amp;L Stat.'!S57)</f>
        <v>0</v>
      </c>
      <c r="T70" s="53">
        <f>IF('P&amp;L Stat.'!T57&lt;0,-'P&amp;L Stat.'!T57,'P&amp;L Stat.'!T57)</f>
        <v>0</v>
      </c>
      <c r="U70" s="53">
        <f>IF('P&amp;L Stat.'!U57&lt;0,-'P&amp;L Stat.'!U57,'P&amp;L Stat.'!U57)</f>
        <v>0</v>
      </c>
      <c r="V70" s="53">
        <f>IF('P&amp;L Stat.'!V57&lt;0,-'P&amp;L Stat.'!V57,'P&amp;L Stat.'!V57)</f>
        <v>0</v>
      </c>
      <c r="W70" s="53">
        <f>IF('P&amp;L Stat.'!W57&lt;0,-'P&amp;L Stat.'!W57,'P&amp;L Stat.'!W57)</f>
        <v>0</v>
      </c>
      <c r="X70" s="54">
        <f>IF('P&amp;L Stat.'!X57&lt;0,-'P&amp;L Stat.'!X57,'P&amp;L Stat.'!X57)</f>
        <v>0</v>
      </c>
      <c r="Y70" s="53">
        <f>IF('P&amp;L Stat.'!Y57&lt;0,-'P&amp;L Stat.'!Y57,'P&amp;L Stat.'!Y57)</f>
        <v>0</v>
      </c>
      <c r="Z70" s="53">
        <f>IF('P&amp;L Stat.'!Z57&lt;0,-'P&amp;L Stat.'!Z57,'P&amp;L Stat.'!Z57)</f>
        <v>0</v>
      </c>
      <c r="AA70" s="54">
        <f>IF('P&amp;L Stat.'!AA57&lt;0,-'P&amp;L Stat.'!AA57,'P&amp;L Stat.'!AA57)</f>
        <v>0</v>
      </c>
      <c r="AB70" s="53">
        <f>IF('P&amp;L Stat.'!AB57&lt;0,-'P&amp;L Stat.'!AB57,'P&amp;L Stat.'!AB57)</f>
        <v>0</v>
      </c>
      <c r="AC70" s="53">
        <f>IF('P&amp;L Stat.'!AC57&lt;0,-'P&amp;L Stat.'!AC57,'P&amp;L Stat.'!AC57)</f>
        <v>0</v>
      </c>
    </row>
    <row r="71" spans="1:29" s="47" customFormat="1" x14ac:dyDescent="0.25">
      <c r="A71" s="22" t="s">
        <v>48</v>
      </c>
      <c r="B71" s="94" t="s">
        <v>57</v>
      </c>
      <c r="C71" s="40"/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4">
        <f>Assumption!C45</f>
        <v>373.88913600000006</v>
      </c>
    </row>
    <row r="72" spans="1:29" s="47" customFormat="1" ht="15.75" thickBot="1" x14ac:dyDescent="0.3">
      <c r="A72" s="22" t="s">
        <v>40</v>
      </c>
      <c r="B72" s="95" t="s">
        <v>79</v>
      </c>
      <c r="C72" s="43"/>
      <c r="D72" s="75">
        <f>D140</f>
        <v>90.752307692307696</v>
      </c>
      <c r="E72" s="75">
        <f t="shared" ref="E72:AC72" si="43">E140</f>
        <v>363.00923076923078</v>
      </c>
      <c r="F72" s="75">
        <f t="shared" si="43"/>
        <v>363.00923076923078</v>
      </c>
      <c r="G72" s="75">
        <f t="shared" si="43"/>
        <v>363.00923076923078</v>
      </c>
      <c r="H72" s="75">
        <f t="shared" si="43"/>
        <v>363.00923076923078</v>
      </c>
      <c r="I72" s="75">
        <f t="shared" si="43"/>
        <v>363.00923076923078</v>
      </c>
      <c r="J72" s="75">
        <f t="shared" si="43"/>
        <v>363.00923076923078</v>
      </c>
      <c r="K72" s="75">
        <f t="shared" si="43"/>
        <v>90.752307692307696</v>
      </c>
      <c r="L72" s="75">
        <f t="shared" si="43"/>
        <v>0</v>
      </c>
      <c r="M72" s="75">
        <f t="shared" si="43"/>
        <v>0</v>
      </c>
      <c r="N72" s="75">
        <f t="shared" si="43"/>
        <v>0</v>
      </c>
      <c r="O72" s="75">
        <f t="shared" si="43"/>
        <v>0</v>
      </c>
      <c r="P72" s="75">
        <f t="shared" si="43"/>
        <v>0</v>
      </c>
      <c r="Q72" s="75">
        <f t="shared" si="43"/>
        <v>0</v>
      </c>
      <c r="R72" s="75">
        <f t="shared" si="43"/>
        <v>0</v>
      </c>
      <c r="S72" s="75">
        <f t="shared" si="43"/>
        <v>0</v>
      </c>
      <c r="T72" s="75">
        <f t="shared" si="43"/>
        <v>0</v>
      </c>
      <c r="U72" s="75">
        <f t="shared" si="43"/>
        <v>0</v>
      </c>
      <c r="V72" s="75">
        <f t="shared" si="43"/>
        <v>0</v>
      </c>
      <c r="W72" s="75">
        <f t="shared" si="43"/>
        <v>0</v>
      </c>
      <c r="X72" s="76">
        <f t="shared" si="43"/>
        <v>0</v>
      </c>
      <c r="Y72" s="75">
        <f t="shared" si="43"/>
        <v>0</v>
      </c>
      <c r="Z72" s="75">
        <f t="shared" si="43"/>
        <v>0</v>
      </c>
      <c r="AA72" s="76">
        <f t="shared" si="43"/>
        <v>0</v>
      </c>
      <c r="AB72" s="75">
        <f t="shared" si="43"/>
        <v>0</v>
      </c>
      <c r="AC72" s="75">
        <f t="shared" si="43"/>
        <v>0</v>
      </c>
    </row>
    <row r="73" spans="1:29" s="47" customFormat="1" ht="15.75" thickBot="1" x14ac:dyDescent="0.3">
      <c r="A73" s="44"/>
      <c r="B73" s="33"/>
      <c r="C73" s="35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</row>
    <row r="74" spans="1:29" s="96" customFormat="1" ht="15.75" thickBot="1" x14ac:dyDescent="0.3">
      <c r="A74" s="55"/>
      <c r="B74" s="194" t="s">
        <v>58</v>
      </c>
      <c r="C74" s="78">
        <f>C65</f>
        <v>-1011.2400000000002</v>
      </c>
      <c r="D74" s="78">
        <f t="shared" ref="D74:AC74" si="44">SUM(D68:D71)-D72</f>
        <v>827.54954393237097</v>
      </c>
      <c r="E74" s="78">
        <f t="shared" si="44"/>
        <v>-141.67418225351526</v>
      </c>
      <c r="F74" s="78">
        <f t="shared" si="44"/>
        <v>-253.39626061000376</v>
      </c>
      <c r="G74" s="78">
        <f t="shared" si="44"/>
        <v>-249.26554327342055</v>
      </c>
      <c r="H74" s="78">
        <f t="shared" si="44"/>
        <v>-221.28938285255657</v>
      </c>
      <c r="I74" s="78">
        <f t="shared" si="44"/>
        <v>-190.22067366048725</v>
      </c>
      <c r="J74" s="78">
        <f t="shared" si="44"/>
        <v>-157.64370101209045</v>
      </c>
      <c r="K74" s="78">
        <f t="shared" si="44"/>
        <v>140.80384887249016</v>
      </c>
      <c r="L74" s="78">
        <f t="shared" si="44"/>
        <v>232.36457467148145</v>
      </c>
      <c r="M74" s="78">
        <f t="shared" si="44"/>
        <v>229.47132870129087</v>
      </c>
      <c r="N74" s="78">
        <f t="shared" si="44"/>
        <v>227.11657875717179</v>
      </c>
      <c r="O74" s="78">
        <f t="shared" si="44"/>
        <v>224.6927806868558</v>
      </c>
      <c r="P74" s="78">
        <f t="shared" si="44"/>
        <v>222.87724401232583</v>
      </c>
      <c r="Q74" s="78">
        <f t="shared" si="44"/>
        <v>287.99074410614219</v>
      </c>
      <c r="R74" s="78">
        <f t="shared" si="44"/>
        <v>284.56341939740878</v>
      </c>
      <c r="S74" s="78">
        <f t="shared" si="44"/>
        <v>213.7224819418181</v>
      </c>
      <c r="T74" s="78">
        <f t="shared" si="44"/>
        <v>211.3458417016364</v>
      </c>
      <c r="U74" s="78">
        <f t="shared" si="44"/>
        <v>207.44772619435258</v>
      </c>
      <c r="V74" s="78">
        <f t="shared" si="44"/>
        <v>203.96796949038003</v>
      </c>
      <c r="W74" s="78">
        <f t="shared" si="44"/>
        <v>200.38576269091141</v>
      </c>
      <c r="X74" s="78">
        <f t="shared" si="44"/>
        <v>197.32708019092735</v>
      </c>
      <c r="Y74" s="78">
        <f t="shared" si="44"/>
        <v>192.75763059101286</v>
      </c>
      <c r="Z74" s="78">
        <f t="shared" si="44"/>
        <v>188.52740345207258</v>
      </c>
      <c r="AA74" s="78">
        <f t="shared" si="44"/>
        <v>184.17264926417573</v>
      </c>
      <c r="AB74" s="78">
        <f t="shared" si="44"/>
        <v>180.28494070940494</v>
      </c>
      <c r="AC74" s="78">
        <f t="shared" si="44"/>
        <v>548.78862918169341</v>
      </c>
    </row>
    <row r="75" spans="1:29" s="47" customFormat="1" x14ac:dyDescent="0.25">
      <c r="A75" s="44"/>
      <c r="B75" s="97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</row>
    <row r="76" spans="1:29" s="100" customFormat="1" ht="15.75" thickBot="1" x14ac:dyDescent="0.3">
      <c r="A76" s="98"/>
      <c r="B76" s="99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</row>
    <row r="77" spans="1:29" s="96" customFormat="1" ht="15.75" thickBot="1" x14ac:dyDescent="0.3">
      <c r="A77" s="101"/>
      <c r="B77" s="194" t="s">
        <v>59</v>
      </c>
      <c r="C77" s="195">
        <f>XIRR(C74:AC74,C6:AC6)</f>
        <v>9.3885770440101615E-2</v>
      </c>
      <c r="D77" s="176"/>
      <c r="E77" s="176"/>
      <c r="F77" s="176"/>
      <c r="G77" s="176"/>
      <c r="H77" s="90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</row>
    <row r="78" spans="1:29" s="96" customFormat="1" x14ac:dyDescent="0.25">
      <c r="A78" s="101"/>
      <c r="B78" s="104"/>
      <c r="C78" s="105"/>
      <c r="D78" s="102"/>
      <c r="E78" s="102"/>
      <c r="F78" s="102"/>
      <c r="G78" s="102"/>
      <c r="H78" s="103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1:29" s="96" customFormat="1" x14ac:dyDescent="0.25">
      <c r="A79" s="101"/>
      <c r="B79" s="104"/>
      <c r="C79" s="105"/>
      <c r="D79" s="102"/>
      <c r="E79" s="102"/>
      <c r="F79" s="102"/>
      <c r="G79" s="102"/>
      <c r="H79" s="103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1:29" x14ac:dyDescent="0.25">
      <c r="B80" s="213" t="s">
        <v>60</v>
      </c>
    </row>
    <row r="81" spans="1:56" x14ac:dyDescent="0.25">
      <c r="B81" s="91"/>
    </row>
    <row r="82" spans="1:56" ht="15.75" thickBot="1" x14ac:dyDescent="0.3">
      <c r="B82" s="91"/>
      <c r="C82" s="106"/>
      <c r="D82" s="106"/>
      <c r="E82" s="106"/>
      <c r="F82" s="106"/>
      <c r="G82" s="106"/>
    </row>
    <row r="83" spans="1:56" s="106" customFormat="1" ht="15.75" thickBot="1" x14ac:dyDescent="0.3">
      <c r="A83" s="107"/>
      <c r="B83" s="193" t="s">
        <v>186</v>
      </c>
      <c r="D83" s="291" t="s">
        <v>166</v>
      </c>
      <c r="E83" s="294">
        <f>Assumption!C21</f>
        <v>35.955199999999998</v>
      </c>
    </row>
    <row r="84" spans="1:56" s="106" customFormat="1" x14ac:dyDescent="0.25">
      <c r="A84" s="107"/>
      <c r="B84" s="289" t="s">
        <v>167</v>
      </c>
      <c r="D84" s="292" t="s">
        <v>167</v>
      </c>
      <c r="E84" s="295">
        <f>Assumption!C23</f>
        <v>0.05</v>
      </c>
    </row>
    <row r="85" spans="1:56" s="106" customFormat="1" ht="15.75" thickBot="1" x14ac:dyDescent="0.3">
      <c r="A85" s="107"/>
      <c r="B85" s="290" t="s">
        <v>168</v>
      </c>
      <c r="D85" s="293" t="s">
        <v>168</v>
      </c>
      <c r="E85" s="296">
        <f>Assumption!C22</f>
        <v>0</v>
      </c>
    </row>
    <row r="86" spans="1:56" s="106" customFormat="1" ht="15.75" thickBot="1" x14ac:dyDescent="0.3">
      <c r="A86" s="107"/>
    </row>
    <row r="87" spans="1:56" s="107" customFormat="1" ht="15.75" thickBot="1" x14ac:dyDescent="0.3">
      <c r="B87" s="121" t="s">
        <v>25</v>
      </c>
      <c r="C87" s="122"/>
      <c r="D87" s="123">
        <f>D90</f>
        <v>42460</v>
      </c>
      <c r="E87" s="466">
        <f>F90</f>
        <v>42825</v>
      </c>
      <c r="F87" s="467"/>
      <c r="G87" s="466">
        <f>H90</f>
        <v>43190</v>
      </c>
      <c r="H87" s="467"/>
      <c r="I87" s="466">
        <f>J90</f>
        <v>43555</v>
      </c>
      <c r="J87" s="467"/>
      <c r="K87" s="466">
        <f>L90</f>
        <v>43921</v>
      </c>
      <c r="L87" s="467"/>
      <c r="M87" s="466">
        <f>N90</f>
        <v>44286</v>
      </c>
      <c r="N87" s="467"/>
      <c r="O87" s="466">
        <f>P90</f>
        <v>44651</v>
      </c>
      <c r="P87" s="467"/>
      <c r="Q87" s="466">
        <f>R90</f>
        <v>45016</v>
      </c>
      <c r="R87" s="467"/>
      <c r="S87" s="466">
        <f>T90</f>
        <v>45382</v>
      </c>
      <c r="T87" s="467"/>
      <c r="U87" s="466">
        <f>V90</f>
        <v>45747</v>
      </c>
      <c r="V87" s="467"/>
      <c r="W87" s="466">
        <f>X90</f>
        <v>46112</v>
      </c>
      <c r="X87" s="467"/>
      <c r="Y87" s="466">
        <f>Z90</f>
        <v>46477</v>
      </c>
      <c r="Z87" s="467"/>
      <c r="AA87" s="466">
        <f>AB90</f>
        <v>46843</v>
      </c>
      <c r="AB87" s="467"/>
      <c r="AC87" s="466">
        <f>AD90</f>
        <v>47208</v>
      </c>
      <c r="AD87" s="467"/>
      <c r="AE87" s="466">
        <f>AF90</f>
        <v>47573</v>
      </c>
      <c r="AF87" s="467"/>
      <c r="AG87" s="466">
        <f>AH90</f>
        <v>47938</v>
      </c>
      <c r="AH87" s="467"/>
      <c r="AI87" s="466">
        <f>AJ90</f>
        <v>48304</v>
      </c>
      <c r="AJ87" s="467"/>
      <c r="AK87" s="466">
        <f>AL90</f>
        <v>48669</v>
      </c>
      <c r="AL87" s="467"/>
      <c r="AM87" s="466">
        <f>AN90</f>
        <v>49034</v>
      </c>
      <c r="AN87" s="467"/>
      <c r="AO87" s="466">
        <f>AP90</f>
        <v>49399</v>
      </c>
      <c r="AP87" s="467"/>
      <c r="AQ87" s="466">
        <f>AR90</f>
        <v>49765</v>
      </c>
      <c r="AR87" s="467"/>
      <c r="AS87" s="466">
        <f>AT90</f>
        <v>50130</v>
      </c>
      <c r="AT87" s="467"/>
      <c r="AU87" s="466">
        <f>AV90</f>
        <v>50495</v>
      </c>
      <c r="AV87" s="467"/>
      <c r="AW87" s="466">
        <f>AX90</f>
        <v>50860</v>
      </c>
      <c r="AX87" s="467"/>
      <c r="AY87" s="466">
        <f>AZ90</f>
        <v>51226</v>
      </c>
      <c r="AZ87" s="467"/>
      <c r="BA87" s="466">
        <f>BB90</f>
        <v>51591</v>
      </c>
      <c r="BB87" s="467"/>
      <c r="BC87" s="466">
        <f>BD90</f>
        <v>51767</v>
      </c>
      <c r="BD87" s="467"/>
    </row>
    <row r="88" spans="1:56" s="107" customFormat="1" ht="15.75" thickBot="1" x14ac:dyDescent="0.3">
      <c r="B88" s="124"/>
      <c r="C88" s="12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</row>
    <row r="89" spans="1:56" s="107" customFormat="1" x14ac:dyDescent="0.25">
      <c r="B89" s="108" t="s">
        <v>61</v>
      </c>
      <c r="C89" s="127"/>
      <c r="D89" s="128">
        <f>$C$6</f>
        <v>42270</v>
      </c>
      <c r="E89" s="129">
        <f>D90</f>
        <v>42460</v>
      </c>
      <c r="F89" s="109">
        <f t="shared" ref="F89:AA89" si="45">DATE(YEAR(D89)+1,MONTH(D89),DAY(D89))</f>
        <v>42636</v>
      </c>
      <c r="G89" s="129">
        <f t="shared" si="45"/>
        <v>42825</v>
      </c>
      <c r="H89" s="109">
        <f t="shared" si="45"/>
        <v>43001</v>
      </c>
      <c r="I89" s="129">
        <f t="shared" si="45"/>
        <v>43190</v>
      </c>
      <c r="J89" s="109">
        <f t="shared" si="45"/>
        <v>43366</v>
      </c>
      <c r="K89" s="129">
        <f t="shared" si="45"/>
        <v>43555</v>
      </c>
      <c r="L89" s="109">
        <f t="shared" si="45"/>
        <v>43731</v>
      </c>
      <c r="M89" s="129">
        <f t="shared" si="45"/>
        <v>43921</v>
      </c>
      <c r="N89" s="109">
        <f t="shared" si="45"/>
        <v>44097</v>
      </c>
      <c r="O89" s="129">
        <f t="shared" si="45"/>
        <v>44286</v>
      </c>
      <c r="P89" s="109">
        <f t="shared" si="45"/>
        <v>44462</v>
      </c>
      <c r="Q89" s="129">
        <f t="shared" si="45"/>
        <v>44651</v>
      </c>
      <c r="R89" s="109">
        <f t="shared" si="45"/>
        <v>44827</v>
      </c>
      <c r="S89" s="129">
        <f t="shared" si="45"/>
        <v>45016</v>
      </c>
      <c r="T89" s="109">
        <f t="shared" si="45"/>
        <v>45192</v>
      </c>
      <c r="U89" s="129">
        <f t="shared" si="45"/>
        <v>45382</v>
      </c>
      <c r="V89" s="109">
        <f t="shared" si="45"/>
        <v>45558</v>
      </c>
      <c r="W89" s="129">
        <f t="shared" si="45"/>
        <v>45747</v>
      </c>
      <c r="X89" s="109">
        <f t="shared" si="45"/>
        <v>45923</v>
      </c>
      <c r="Y89" s="129">
        <f t="shared" si="45"/>
        <v>46112</v>
      </c>
      <c r="Z89" s="109">
        <f t="shared" si="45"/>
        <v>46288</v>
      </c>
      <c r="AA89" s="129">
        <f t="shared" si="45"/>
        <v>46477</v>
      </c>
      <c r="AB89" s="109">
        <f>DATE(YEAR(Z89)+1,MONTH(Z89),DAY(Z89))</f>
        <v>46653</v>
      </c>
      <c r="AC89" s="129">
        <f>DATE(YEAR(AA89)+1,MONTH(AA89),DAY(AA89))</f>
        <v>46843</v>
      </c>
      <c r="AD89" s="109">
        <f t="shared" ref="AD89:AR89" si="46">DATE(YEAR(AB89)+1,MONTH(AB89),DAY(AB89))</f>
        <v>47019</v>
      </c>
      <c r="AE89" s="129">
        <f t="shared" si="46"/>
        <v>47208</v>
      </c>
      <c r="AF89" s="109">
        <f t="shared" si="46"/>
        <v>47384</v>
      </c>
      <c r="AG89" s="129">
        <f t="shared" si="46"/>
        <v>47573</v>
      </c>
      <c r="AH89" s="109">
        <f t="shared" si="46"/>
        <v>47749</v>
      </c>
      <c r="AI89" s="129">
        <f t="shared" si="46"/>
        <v>47938</v>
      </c>
      <c r="AJ89" s="109">
        <f t="shared" si="46"/>
        <v>48114</v>
      </c>
      <c r="AK89" s="129">
        <f t="shared" si="46"/>
        <v>48304</v>
      </c>
      <c r="AL89" s="109">
        <f t="shared" si="46"/>
        <v>48480</v>
      </c>
      <c r="AM89" s="129">
        <f t="shared" si="46"/>
        <v>48669</v>
      </c>
      <c r="AN89" s="109">
        <f t="shared" si="46"/>
        <v>48845</v>
      </c>
      <c r="AO89" s="129">
        <f t="shared" si="46"/>
        <v>49034</v>
      </c>
      <c r="AP89" s="300">
        <f t="shared" si="46"/>
        <v>49210</v>
      </c>
      <c r="AQ89" s="307">
        <f t="shared" si="46"/>
        <v>49399</v>
      </c>
      <c r="AR89" s="307">
        <f t="shared" si="46"/>
        <v>49575</v>
      </c>
      <c r="AS89" s="307">
        <f t="shared" ref="AS89:BD89" si="47">DATE(YEAR(AQ89)+1,MONTH(AQ89),DAY(AQ89))</f>
        <v>49765</v>
      </c>
      <c r="AT89" s="307">
        <f t="shared" si="47"/>
        <v>49941</v>
      </c>
      <c r="AU89" s="307">
        <f t="shared" si="47"/>
        <v>50130</v>
      </c>
      <c r="AV89" s="307">
        <f t="shared" si="47"/>
        <v>50306</v>
      </c>
      <c r="AW89" s="307">
        <f t="shared" si="47"/>
        <v>50495</v>
      </c>
      <c r="AX89" s="307">
        <f t="shared" si="47"/>
        <v>50671</v>
      </c>
      <c r="AY89" s="307">
        <f t="shared" si="47"/>
        <v>50860</v>
      </c>
      <c r="AZ89" s="307">
        <f t="shared" si="47"/>
        <v>51036</v>
      </c>
      <c r="BA89" s="307">
        <f t="shared" si="47"/>
        <v>51226</v>
      </c>
      <c r="BB89" s="307">
        <f t="shared" si="47"/>
        <v>51402</v>
      </c>
      <c r="BC89" s="307">
        <f t="shared" si="47"/>
        <v>51591</v>
      </c>
      <c r="BD89" s="307">
        <f t="shared" si="47"/>
        <v>51767</v>
      </c>
    </row>
    <row r="90" spans="1:56" s="107" customFormat="1" x14ac:dyDescent="0.25">
      <c r="B90" s="110" t="s">
        <v>62</v>
      </c>
      <c r="C90" s="180"/>
      <c r="D90" s="130">
        <f>$D$6</f>
        <v>42460</v>
      </c>
      <c r="E90" s="111">
        <f t="shared" ref="E90:U90" si="48">F89</f>
        <v>42636</v>
      </c>
      <c r="F90" s="201">
        <f t="shared" si="48"/>
        <v>42825</v>
      </c>
      <c r="G90" s="111">
        <f t="shared" si="48"/>
        <v>43001</v>
      </c>
      <c r="H90" s="181">
        <f t="shared" si="48"/>
        <v>43190</v>
      </c>
      <c r="I90" s="111">
        <f t="shared" si="48"/>
        <v>43366</v>
      </c>
      <c r="J90" s="201">
        <f t="shared" si="48"/>
        <v>43555</v>
      </c>
      <c r="K90" s="111">
        <f t="shared" si="48"/>
        <v>43731</v>
      </c>
      <c r="L90" s="201">
        <f t="shared" si="48"/>
        <v>43921</v>
      </c>
      <c r="M90" s="111">
        <f t="shared" si="48"/>
        <v>44097</v>
      </c>
      <c r="N90" s="201">
        <f t="shared" si="48"/>
        <v>44286</v>
      </c>
      <c r="O90" s="111">
        <f t="shared" si="48"/>
        <v>44462</v>
      </c>
      <c r="P90" s="201">
        <f t="shared" si="48"/>
        <v>44651</v>
      </c>
      <c r="Q90" s="111">
        <f t="shared" si="48"/>
        <v>44827</v>
      </c>
      <c r="R90" s="201">
        <f t="shared" si="48"/>
        <v>45016</v>
      </c>
      <c r="S90" s="111">
        <f t="shared" si="48"/>
        <v>45192</v>
      </c>
      <c r="T90" s="201">
        <f t="shared" si="48"/>
        <v>45382</v>
      </c>
      <c r="U90" s="111">
        <f t="shared" si="48"/>
        <v>45558</v>
      </c>
      <c r="V90" s="201">
        <f>W89</f>
        <v>45747</v>
      </c>
      <c r="W90" s="111">
        <f t="shared" ref="W90:AQ90" si="49">X89</f>
        <v>45923</v>
      </c>
      <c r="X90" s="201">
        <f t="shared" si="49"/>
        <v>46112</v>
      </c>
      <c r="Y90" s="111">
        <f t="shared" si="49"/>
        <v>46288</v>
      </c>
      <c r="Z90" s="201">
        <f t="shared" si="49"/>
        <v>46477</v>
      </c>
      <c r="AA90" s="111">
        <f t="shared" si="49"/>
        <v>46653</v>
      </c>
      <c r="AB90" s="201">
        <f t="shared" si="49"/>
        <v>46843</v>
      </c>
      <c r="AC90" s="111">
        <f t="shared" si="49"/>
        <v>47019</v>
      </c>
      <c r="AD90" s="201">
        <f t="shared" si="49"/>
        <v>47208</v>
      </c>
      <c r="AE90" s="111">
        <f t="shared" si="49"/>
        <v>47384</v>
      </c>
      <c r="AF90" s="201">
        <f t="shared" si="49"/>
        <v>47573</v>
      </c>
      <c r="AG90" s="111">
        <f t="shared" si="49"/>
        <v>47749</v>
      </c>
      <c r="AH90" s="201">
        <f t="shared" si="49"/>
        <v>47938</v>
      </c>
      <c r="AI90" s="111">
        <f t="shared" si="49"/>
        <v>48114</v>
      </c>
      <c r="AJ90" s="201">
        <f t="shared" si="49"/>
        <v>48304</v>
      </c>
      <c r="AK90" s="111">
        <f t="shared" si="49"/>
        <v>48480</v>
      </c>
      <c r="AL90" s="201">
        <f t="shared" si="49"/>
        <v>48669</v>
      </c>
      <c r="AM90" s="111">
        <f t="shared" si="49"/>
        <v>48845</v>
      </c>
      <c r="AN90" s="201">
        <f t="shared" si="49"/>
        <v>49034</v>
      </c>
      <c r="AO90" s="111">
        <f t="shared" si="49"/>
        <v>49210</v>
      </c>
      <c r="AP90" s="301">
        <f t="shared" si="49"/>
        <v>49399</v>
      </c>
      <c r="AQ90" s="307">
        <f t="shared" si="49"/>
        <v>49575</v>
      </c>
      <c r="AR90" s="307">
        <f t="shared" ref="AR90:BC90" si="50">AS89</f>
        <v>49765</v>
      </c>
      <c r="AS90" s="307">
        <f t="shared" si="50"/>
        <v>49941</v>
      </c>
      <c r="AT90" s="307">
        <f t="shared" si="50"/>
        <v>50130</v>
      </c>
      <c r="AU90" s="307">
        <f t="shared" si="50"/>
        <v>50306</v>
      </c>
      <c r="AV90" s="307">
        <f t="shared" si="50"/>
        <v>50495</v>
      </c>
      <c r="AW90" s="307">
        <f t="shared" si="50"/>
        <v>50671</v>
      </c>
      <c r="AX90" s="307">
        <f t="shared" si="50"/>
        <v>50860</v>
      </c>
      <c r="AY90" s="307">
        <f t="shared" si="50"/>
        <v>51036</v>
      </c>
      <c r="AZ90" s="307">
        <f t="shared" si="50"/>
        <v>51226</v>
      </c>
      <c r="BA90" s="307">
        <f t="shared" si="50"/>
        <v>51402</v>
      </c>
      <c r="BB90" s="307">
        <f t="shared" si="50"/>
        <v>51591</v>
      </c>
      <c r="BC90" s="307">
        <f t="shared" si="50"/>
        <v>51767</v>
      </c>
      <c r="BD90" s="307">
        <f>BD89</f>
        <v>51767</v>
      </c>
    </row>
    <row r="91" spans="1:56" s="107" customFormat="1" x14ac:dyDescent="0.25">
      <c r="B91" s="110"/>
      <c r="C91" s="182"/>
      <c r="D91" s="130"/>
      <c r="E91" s="111"/>
      <c r="F91" s="201"/>
      <c r="G91" s="111"/>
      <c r="H91" s="181"/>
      <c r="I91" s="111"/>
      <c r="J91" s="201"/>
      <c r="K91" s="111"/>
      <c r="L91" s="201"/>
      <c r="M91" s="111"/>
      <c r="N91" s="201"/>
      <c r="O91" s="111"/>
      <c r="P91" s="201"/>
      <c r="Q91" s="111"/>
      <c r="R91" s="201"/>
      <c r="S91" s="111"/>
      <c r="T91" s="201"/>
      <c r="U91" s="111"/>
      <c r="V91" s="201"/>
      <c r="W91" s="111"/>
      <c r="X91" s="201"/>
      <c r="Y91" s="111"/>
      <c r="Z91" s="201"/>
      <c r="AA91" s="111"/>
      <c r="AB91" s="201"/>
      <c r="AC91" s="111"/>
      <c r="AD91" s="201"/>
      <c r="AE91" s="111"/>
      <c r="AF91" s="201"/>
      <c r="AG91" s="111"/>
      <c r="AH91" s="201"/>
      <c r="AI91" s="111"/>
      <c r="AJ91" s="201"/>
      <c r="AK91" s="111"/>
      <c r="AL91" s="201"/>
      <c r="AM91" s="111"/>
      <c r="AN91" s="201"/>
      <c r="AO91" s="111"/>
      <c r="AP91" s="301"/>
      <c r="AQ91" s="307"/>
      <c r="AR91" s="307"/>
      <c r="AS91" s="308"/>
      <c r="AT91" s="308"/>
      <c r="AU91" s="308"/>
      <c r="AV91" s="308"/>
      <c r="AW91" s="308"/>
      <c r="AX91" s="308"/>
      <c r="AY91" s="308"/>
      <c r="AZ91" s="308"/>
      <c r="BA91" s="308"/>
      <c r="BB91" s="308"/>
      <c r="BC91" s="308"/>
      <c r="BD91" s="308"/>
    </row>
    <row r="92" spans="1:56" s="107" customFormat="1" x14ac:dyDescent="0.25">
      <c r="B92" s="110" t="s">
        <v>63</v>
      </c>
      <c r="C92" s="180"/>
      <c r="D92" s="131">
        <f t="shared" ref="D92:AQ92" si="51">D90-D89</f>
        <v>190</v>
      </c>
      <c r="E92" s="112">
        <f t="shared" si="51"/>
        <v>176</v>
      </c>
      <c r="F92" s="202">
        <f t="shared" si="51"/>
        <v>189</v>
      </c>
      <c r="G92" s="112">
        <f t="shared" si="51"/>
        <v>176</v>
      </c>
      <c r="H92" s="183">
        <f t="shared" si="51"/>
        <v>189</v>
      </c>
      <c r="I92" s="112">
        <f t="shared" si="51"/>
        <v>176</v>
      </c>
      <c r="J92" s="202">
        <f t="shared" si="51"/>
        <v>189</v>
      </c>
      <c r="K92" s="112">
        <f t="shared" si="51"/>
        <v>176</v>
      </c>
      <c r="L92" s="202">
        <f t="shared" si="51"/>
        <v>190</v>
      </c>
      <c r="M92" s="112">
        <f t="shared" si="51"/>
        <v>176</v>
      </c>
      <c r="N92" s="202">
        <f t="shared" si="51"/>
        <v>189</v>
      </c>
      <c r="O92" s="112">
        <f t="shared" si="51"/>
        <v>176</v>
      </c>
      <c r="P92" s="202">
        <f t="shared" si="51"/>
        <v>189</v>
      </c>
      <c r="Q92" s="112">
        <f t="shared" si="51"/>
        <v>176</v>
      </c>
      <c r="R92" s="202">
        <f t="shared" si="51"/>
        <v>189</v>
      </c>
      <c r="S92" s="112">
        <f t="shared" si="51"/>
        <v>176</v>
      </c>
      <c r="T92" s="202">
        <f t="shared" si="51"/>
        <v>190</v>
      </c>
      <c r="U92" s="112">
        <f t="shared" si="51"/>
        <v>176</v>
      </c>
      <c r="V92" s="202">
        <f t="shared" si="51"/>
        <v>189</v>
      </c>
      <c r="W92" s="112">
        <f t="shared" si="51"/>
        <v>176</v>
      </c>
      <c r="X92" s="202">
        <f t="shared" si="51"/>
        <v>189</v>
      </c>
      <c r="Y92" s="112">
        <f t="shared" si="51"/>
        <v>176</v>
      </c>
      <c r="Z92" s="202">
        <f t="shared" si="51"/>
        <v>189</v>
      </c>
      <c r="AA92" s="112">
        <f t="shared" si="51"/>
        <v>176</v>
      </c>
      <c r="AB92" s="202">
        <f t="shared" si="51"/>
        <v>190</v>
      </c>
      <c r="AC92" s="112">
        <f t="shared" si="51"/>
        <v>176</v>
      </c>
      <c r="AD92" s="202">
        <f t="shared" si="51"/>
        <v>189</v>
      </c>
      <c r="AE92" s="112">
        <f t="shared" si="51"/>
        <v>176</v>
      </c>
      <c r="AF92" s="202">
        <f t="shared" si="51"/>
        <v>189</v>
      </c>
      <c r="AG92" s="112">
        <f t="shared" si="51"/>
        <v>176</v>
      </c>
      <c r="AH92" s="202">
        <f t="shared" si="51"/>
        <v>189</v>
      </c>
      <c r="AI92" s="112">
        <f t="shared" si="51"/>
        <v>176</v>
      </c>
      <c r="AJ92" s="202">
        <f t="shared" si="51"/>
        <v>190</v>
      </c>
      <c r="AK92" s="112">
        <f t="shared" si="51"/>
        <v>176</v>
      </c>
      <c r="AL92" s="202">
        <f t="shared" si="51"/>
        <v>189</v>
      </c>
      <c r="AM92" s="112">
        <f t="shared" si="51"/>
        <v>176</v>
      </c>
      <c r="AN92" s="202">
        <f t="shared" si="51"/>
        <v>189</v>
      </c>
      <c r="AO92" s="112">
        <f t="shared" si="51"/>
        <v>176</v>
      </c>
      <c r="AP92" s="302">
        <f t="shared" si="51"/>
        <v>189</v>
      </c>
      <c r="AQ92" s="308">
        <f t="shared" si="51"/>
        <v>176</v>
      </c>
      <c r="AR92" s="308">
        <f t="shared" ref="AR92:BD92" si="52">AR90-AR89</f>
        <v>190</v>
      </c>
      <c r="AS92" s="308">
        <f t="shared" si="52"/>
        <v>176</v>
      </c>
      <c r="AT92" s="308">
        <f t="shared" si="52"/>
        <v>189</v>
      </c>
      <c r="AU92" s="308">
        <f t="shared" si="52"/>
        <v>176</v>
      </c>
      <c r="AV92" s="308">
        <f t="shared" si="52"/>
        <v>189</v>
      </c>
      <c r="AW92" s="308">
        <f t="shared" si="52"/>
        <v>176</v>
      </c>
      <c r="AX92" s="308">
        <f t="shared" si="52"/>
        <v>189</v>
      </c>
      <c r="AY92" s="308">
        <f t="shared" si="52"/>
        <v>176</v>
      </c>
      <c r="AZ92" s="308">
        <f t="shared" si="52"/>
        <v>190</v>
      </c>
      <c r="BA92" s="308">
        <f t="shared" si="52"/>
        <v>176</v>
      </c>
      <c r="BB92" s="308">
        <f t="shared" si="52"/>
        <v>189</v>
      </c>
      <c r="BC92" s="308">
        <f t="shared" si="52"/>
        <v>176</v>
      </c>
      <c r="BD92" s="308">
        <f t="shared" si="52"/>
        <v>0</v>
      </c>
    </row>
    <row r="93" spans="1:56" s="107" customFormat="1" x14ac:dyDescent="0.25">
      <c r="B93" s="110"/>
      <c r="C93" s="180"/>
      <c r="D93" s="131"/>
      <c r="E93" s="112"/>
      <c r="F93" s="202"/>
      <c r="G93" s="112"/>
      <c r="H93" s="183"/>
      <c r="I93" s="112"/>
      <c r="J93" s="202"/>
      <c r="K93" s="112"/>
      <c r="L93" s="202"/>
      <c r="M93" s="112"/>
      <c r="N93" s="202"/>
      <c r="O93" s="112"/>
      <c r="P93" s="202"/>
      <c r="Q93" s="112"/>
      <c r="R93" s="202"/>
      <c r="S93" s="112"/>
      <c r="T93" s="202"/>
      <c r="U93" s="112"/>
      <c r="V93" s="202"/>
      <c r="W93" s="112"/>
      <c r="X93" s="202"/>
      <c r="Y93" s="112"/>
      <c r="Z93" s="202"/>
      <c r="AA93" s="112"/>
      <c r="AB93" s="202"/>
      <c r="AC93" s="112"/>
      <c r="AD93" s="202"/>
      <c r="AE93" s="112"/>
      <c r="AF93" s="202"/>
      <c r="AG93" s="112"/>
      <c r="AH93" s="202"/>
      <c r="AI93" s="112"/>
      <c r="AJ93" s="202"/>
      <c r="AK93" s="112"/>
      <c r="AL93" s="202"/>
      <c r="AM93" s="112"/>
      <c r="AN93" s="202"/>
      <c r="AO93" s="112"/>
      <c r="AP93" s="302"/>
      <c r="AQ93" s="308"/>
      <c r="AR93" s="308"/>
      <c r="AS93" s="308"/>
      <c r="AT93" s="308"/>
      <c r="AU93" s="308"/>
      <c r="AV93" s="308"/>
      <c r="AW93" s="308"/>
      <c r="AX93" s="308"/>
      <c r="AY93" s="308"/>
      <c r="AZ93" s="308"/>
      <c r="BA93" s="308"/>
      <c r="BB93" s="308"/>
      <c r="BC93" s="308"/>
      <c r="BD93" s="308"/>
    </row>
    <row r="94" spans="1:56" s="107" customFormat="1" x14ac:dyDescent="0.25">
      <c r="B94" s="110" t="s">
        <v>64</v>
      </c>
      <c r="C94" s="182"/>
      <c r="D94" s="131"/>
      <c r="E94" s="113">
        <f>E92+D92</f>
        <v>366</v>
      </c>
      <c r="F94" s="201"/>
      <c r="G94" s="113">
        <f>G92+F92</f>
        <v>365</v>
      </c>
      <c r="H94" s="181"/>
      <c r="I94" s="113">
        <f>I92+H92</f>
        <v>365</v>
      </c>
      <c r="J94" s="201"/>
      <c r="K94" s="113">
        <f>K92+J92</f>
        <v>365</v>
      </c>
      <c r="L94" s="201"/>
      <c r="M94" s="113">
        <f>M92+L92</f>
        <v>366</v>
      </c>
      <c r="N94" s="201"/>
      <c r="O94" s="113">
        <f>O92+N92</f>
        <v>365</v>
      </c>
      <c r="P94" s="201"/>
      <c r="Q94" s="113">
        <f>Q92+P92</f>
        <v>365</v>
      </c>
      <c r="R94" s="201"/>
      <c r="S94" s="113">
        <f>S92+R92</f>
        <v>365</v>
      </c>
      <c r="T94" s="201"/>
      <c r="U94" s="113">
        <f>U92+T92</f>
        <v>366</v>
      </c>
      <c r="V94" s="201"/>
      <c r="W94" s="113">
        <f>W92+V92</f>
        <v>365</v>
      </c>
      <c r="X94" s="201"/>
      <c r="Y94" s="113">
        <f>Y92+X92</f>
        <v>365</v>
      </c>
      <c r="Z94" s="201"/>
      <c r="AA94" s="113">
        <f>AA92+Z92</f>
        <v>365</v>
      </c>
      <c r="AB94" s="201"/>
      <c r="AC94" s="113">
        <f>AC92+AB92</f>
        <v>366</v>
      </c>
      <c r="AD94" s="201"/>
      <c r="AE94" s="113">
        <f>AE92+AD92</f>
        <v>365</v>
      </c>
      <c r="AF94" s="201"/>
      <c r="AG94" s="113">
        <f>AG92+AF92</f>
        <v>365</v>
      </c>
      <c r="AH94" s="201"/>
      <c r="AI94" s="113">
        <f>AI92+AH92</f>
        <v>365</v>
      </c>
      <c r="AJ94" s="201"/>
      <c r="AK94" s="113">
        <f>AK92+AJ92</f>
        <v>366</v>
      </c>
      <c r="AL94" s="201"/>
      <c r="AM94" s="113">
        <f>AM92+AL92</f>
        <v>365</v>
      </c>
      <c r="AN94" s="201"/>
      <c r="AO94" s="113">
        <f>AO92+AN92</f>
        <v>365</v>
      </c>
      <c r="AP94" s="301"/>
      <c r="AQ94" s="309">
        <f>AQ92+AP92</f>
        <v>365</v>
      </c>
      <c r="AR94" s="307"/>
      <c r="AS94" s="308">
        <f>AS92+AR92</f>
        <v>366</v>
      </c>
      <c r="AT94" s="308"/>
      <c r="AU94" s="308">
        <f>AU92+AT92</f>
        <v>365</v>
      </c>
      <c r="AV94" s="308"/>
      <c r="AW94" s="308">
        <f>AW92+AV92</f>
        <v>365</v>
      </c>
      <c r="AX94" s="308"/>
      <c r="AY94" s="308">
        <f>AY92+AX92</f>
        <v>365</v>
      </c>
      <c r="AZ94" s="308"/>
      <c r="BA94" s="308">
        <f>BA92+AZ92</f>
        <v>366</v>
      </c>
      <c r="BB94" s="308"/>
      <c r="BC94" s="308">
        <f>BC92+BB92</f>
        <v>365</v>
      </c>
      <c r="BD94" s="308"/>
    </row>
    <row r="95" spans="1:56" s="107" customFormat="1" x14ac:dyDescent="0.25">
      <c r="B95" s="114"/>
      <c r="C95" s="184"/>
      <c r="D95" s="132"/>
      <c r="E95" s="113"/>
      <c r="F95" s="203"/>
      <c r="G95" s="113"/>
      <c r="H95" s="185"/>
      <c r="I95" s="113"/>
      <c r="J95" s="203"/>
      <c r="K95" s="113"/>
      <c r="L95" s="203"/>
      <c r="M95" s="113"/>
      <c r="N95" s="203"/>
      <c r="O95" s="113"/>
      <c r="P95" s="203"/>
      <c r="Q95" s="113"/>
      <c r="R95" s="203"/>
      <c r="S95" s="113"/>
      <c r="T95" s="203"/>
      <c r="U95" s="113"/>
      <c r="V95" s="203"/>
      <c r="W95" s="113"/>
      <c r="X95" s="203"/>
      <c r="Y95" s="113"/>
      <c r="Z95" s="203"/>
      <c r="AA95" s="113"/>
      <c r="AB95" s="203"/>
      <c r="AC95" s="113"/>
      <c r="AD95" s="203"/>
      <c r="AE95" s="113"/>
      <c r="AF95" s="203"/>
      <c r="AG95" s="113"/>
      <c r="AH95" s="203"/>
      <c r="AI95" s="113"/>
      <c r="AJ95" s="203"/>
      <c r="AK95" s="113"/>
      <c r="AL95" s="203"/>
      <c r="AM95" s="113"/>
      <c r="AN95" s="203"/>
      <c r="AO95" s="113"/>
      <c r="AP95" s="303"/>
      <c r="AQ95" s="309"/>
      <c r="AR95" s="309"/>
      <c r="AS95" s="308"/>
      <c r="AT95" s="308"/>
      <c r="AU95" s="308"/>
      <c r="AV95" s="308"/>
      <c r="AW95" s="308"/>
      <c r="AX95" s="308"/>
      <c r="AY95" s="308"/>
      <c r="AZ95" s="308"/>
      <c r="BA95" s="308"/>
      <c r="BB95" s="308"/>
      <c r="BC95" s="308"/>
      <c r="BD95" s="308"/>
    </row>
    <row r="96" spans="1:56" s="107" customFormat="1" x14ac:dyDescent="0.25">
      <c r="B96" s="114" t="s">
        <v>65</v>
      </c>
      <c r="C96" s="184"/>
      <c r="D96" s="133">
        <f>E98*D92/E94</f>
        <v>18.665267759562841</v>
      </c>
      <c r="E96" s="115">
        <f>E98*E92/E94</f>
        <v>17.289932240437157</v>
      </c>
      <c r="F96" s="204">
        <f>G98*F92/G94</f>
        <v>19.548792986301368</v>
      </c>
      <c r="G96" s="115">
        <f t="shared" ref="G96" si="53">G98*G92/G94</f>
        <v>18.20416701369863</v>
      </c>
      <c r="H96" s="204">
        <f t="shared" ref="H96" si="54">I98*H92/I94</f>
        <v>20.526232635616438</v>
      </c>
      <c r="I96" s="115">
        <f t="shared" ref="I96" si="55">I98*I92/I94</f>
        <v>19.114375364383562</v>
      </c>
      <c r="J96" s="204">
        <f t="shared" ref="J96" si="56">K98*J92/K94</f>
        <v>21.552544267397259</v>
      </c>
      <c r="K96" s="115">
        <f t="shared" ref="K96" si="57">K98*K92/K94</f>
        <v>20.070094132602737</v>
      </c>
      <c r="L96" s="204">
        <f t="shared" ref="L96" si="58">M98*L92/M94</f>
        <v>22.687749619672132</v>
      </c>
      <c r="M96" s="115">
        <f t="shared" ref="M96" si="59">M98*M92/M94</f>
        <v>21.016020700327871</v>
      </c>
      <c r="N96" s="204">
        <f t="shared" ref="N96" si="60">O98*N92/O94</f>
        <v>23.761680054805481</v>
      </c>
      <c r="O96" s="115">
        <f t="shared" ref="O96" si="61">O98*O92/O94</f>
        <v>22.127278781194523</v>
      </c>
      <c r="P96" s="204">
        <f t="shared" ref="P96" si="62">Q98*P92/Q94</f>
        <v>24.94976405754576</v>
      </c>
      <c r="Q96" s="115">
        <f t="shared" ref="Q96" si="63">Q98*Q92/Q94</f>
        <v>23.233642720254249</v>
      </c>
      <c r="R96" s="204">
        <f t="shared" ref="R96" si="64">S98*R92/S94</f>
        <v>26.197252260423049</v>
      </c>
      <c r="S96" s="115">
        <f t="shared" ref="S96" si="65">S98*S92/S94</f>
        <v>24.39532485626696</v>
      </c>
      <c r="T96" s="204">
        <f t="shared" ref="T96" si="66">U98*T92/U94</f>
        <v>27.577101461146608</v>
      </c>
      <c r="U96" s="115">
        <f t="shared" ref="U96" si="67">U98*U92/U94</f>
        <v>25.545104511377907</v>
      </c>
      <c r="V96" s="204">
        <f>W98*V92/W94</f>
        <v>28.882470617116415</v>
      </c>
      <c r="W96" s="115">
        <f t="shared" ref="W96" si="68">W98*W92/W94</f>
        <v>26.895845654034332</v>
      </c>
      <c r="X96" s="204">
        <f t="shared" ref="X96" si="69">Y98*X92/Y94</f>
        <v>30.32659414797223</v>
      </c>
      <c r="Y96" s="115">
        <f t="shared" ref="Y96" si="70">Y98*Y92/Y94</f>
        <v>28.240637936736046</v>
      </c>
      <c r="Z96" s="204">
        <f t="shared" ref="Z96" si="71">AA98*Z92/AA94</f>
        <v>31.842923855370849</v>
      </c>
      <c r="AA96" s="115">
        <f t="shared" ref="AA96" si="72">AA98*AA92/AA94</f>
        <v>29.652669833572851</v>
      </c>
      <c r="AB96" s="204">
        <f t="shared" ref="AB96" si="73">AC98*AB92/AC94</f>
        <v>33.52013918290784</v>
      </c>
      <c r="AC96" s="115">
        <f t="shared" ref="AC96" si="74">AC98*AC92/AC94</f>
        <v>31.050234190483053</v>
      </c>
      <c r="AD96" s="204">
        <f t="shared" ref="AD96" si="75">AE98*AD92/AE94</f>
        <v>35.106823550546366</v>
      </c>
      <c r="AE96" s="115">
        <f t="shared" ref="AE96" si="76">AE98*AE92/AE94</f>
        <v>32.692068491514078</v>
      </c>
      <c r="AF96" s="204">
        <f t="shared" ref="AF96" si="77">AG98*AF92/AG94</f>
        <v>36.862164728073687</v>
      </c>
      <c r="AG96" s="115">
        <f t="shared" ref="AG96" si="78">AG98*AG92/AG94</f>
        <v>34.326671916089779</v>
      </c>
      <c r="AH96" s="204">
        <f t="shared" ref="AH96" si="79">AI98*AH92/AI94</f>
        <v>38.705272964477381</v>
      </c>
      <c r="AI96" s="115">
        <f t="shared" ref="AI96" si="80">AI98*AI92/AI94</f>
        <v>36.043005511894272</v>
      </c>
      <c r="AJ96" s="204">
        <f t="shared" ref="AJ96" si="81">AK98*AJ92/AK94</f>
        <v>40.743938677694381</v>
      </c>
      <c r="AK96" s="115">
        <f t="shared" ref="AK96:AM96" si="82">AK98*AK92/AK94</f>
        <v>37.741753722495851</v>
      </c>
      <c r="AL96" s="204">
        <f t="shared" ref="AL96" si="83">AM98*AL92/AM94</f>
        <v>42.672563443336308</v>
      </c>
      <c r="AM96" s="115">
        <f t="shared" si="82"/>
        <v>39.737413576863439</v>
      </c>
      <c r="AN96" s="204">
        <f t="shared" ref="AN96" si="84">AO98*AN92/AO94</f>
        <v>44.806191615503124</v>
      </c>
      <c r="AO96" s="115">
        <f t="shared" ref="AO96" si="85">AO98*AO92/AO94</f>
        <v>41.724284255706614</v>
      </c>
      <c r="AP96" s="304">
        <f t="shared" ref="AP96" si="86">AQ98*AP92/AQ94</f>
        <v>47.046501196278285</v>
      </c>
      <c r="AQ96" s="310">
        <f t="shared" ref="AQ96" si="87">AQ98*AQ92/AQ94</f>
        <v>43.81049846849195</v>
      </c>
      <c r="AR96" s="310">
        <f>AS98*AR92/AS94</f>
        <v>49.524512112354273</v>
      </c>
      <c r="AS96" s="310">
        <f>AS98*AS92/AS94</f>
        <v>45.875337535654488</v>
      </c>
      <c r="AT96" s="310">
        <f>AU98*AT92/AU94</f>
        <v>51.868767568896814</v>
      </c>
      <c r="AU96" s="310">
        <f>AU98*AU92/AU94</f>
        <v>48.30107456151238</v>
      </c>
      <c r="AV96" s="310">
        <f>AW98*AV92/AW94</f>
        <v>54.462205947341651</v>
      </c>
      <c r="AW96" s="310">
        <f>AW98*AW92/AW94</f>
        <v>50.716128289588006</v>
      </c>
      <c r="AX96" s="310">
        <f>AY98*AX92/AY94</f>
        <v>57.185316244708737</v>
      </c>
      <c r="AY96" s="310">
        <f>AY98*AY92/AY94</f>
        <v>53.251934704067402</v>
      </c>
      <c r="AZ96" s="310">
        <f>BA98*AZ92/BA94</f>
        <v>60.197354000767326</v>
      </c>
      <c r="BA96" s="310">
        <f>BA98*BA92/BA94</f>
        <v>55.761759495447627</v>
      </c>
      <c r="BB96" s="310">
        <f>BC98*BB92/BC94</f>
        <v>63.046811159791396</v>
      </c>
      <c r="BC96" s="310">
        <f>BC98*BC92/BC94</f>
        <v>58.710258011234309</v>
      </c>
      <c r="BD96" s="310">
        <v>0</v>
      </c>
    </row>
    <row r="97" spans="2:56" s="107" customFormat="1" x14ac:dyDescent="0.25">
      <c r="B97" s="114"/>
      <c r="C97" s="184"/>
      <c r="D97" s="133"/>
      <c r="E97" s="115"/>
      <c r="F97" s="204"/>
      <c r="G97" s="115"/>
      <c r="H97" s="186"/>
      <c r="I97" s="115"/>
      <c r="J97" s="204"/>
      <c r="K97" s="115"/>
      <c r="L97" s="204"/>
      <c r="M97" s="115"/>
      <c r="N97" s="204"/>
      <c r="O97" s="115"/>
      <c r="P97" s="204"/>
      <c r="Q97" s="115"/>
      <c r="R97" s="204"/>
      <c r="S97" s="115"/>
      <c r="T97" s="204"/>
      <c r="U97" s="115"/>
      <c r="V97" s="204"/>
      <c r="W97" s="115"/>
      <c r="X97" s="204"/>
      <c r="Y97" s="115"/>
      <c r="Z97" s="204"/>
      <c r="AA97" s="115"/>
      <c r="AB97" s="204"/>
      <c r="AC97" s="115"/>
      <c r="AD97" s="204"/>
      <c r="AE97" s="115"/>
      <c r="AF97" s="204"/>
      <c r="AG97" s="115"/>
      <c r="AH97" s="204"/>
      <c r="AI97" s="115"/>
      <c r="AJ97" s="204"/>
      <c r="AK97" s="115"/>
      <c r="AL97" s="204"/>
      <c r="AM97" s="115"/>
      <c r="AN97" s="204"/>
      <c r="AO97" s="115"/>
      <c r="AP97" s="304"/>
      <c r="AQ97" s="310"/>
      <c r="AR97" s="310"/>
      <c r="AS97" s="308"/>
      <c r="AT97" s="308"/>
      <c r="AU97" s="308"/>
      <c r="AV97" s="308"/>
      <c r="AW97" s="308"/>
      <c r="AX97" s="308"/>
      <c r="AY97" s="308"/>
      <c r="AZ97" s="308"/>
      <c r="BA97" s="308"/>
      <c r="BB97" s="308"/>
      <c r="BC97" s="308"/>
      <c r="BD97" s="308"/>
    </row>
    <row r="98" spans="2:56" s="107" customFormat="1" x14ac:dyDescent="0.25">
      <c r="B98" s="114"/>
      <c r="C98" s="184"/>
      <c r="D98" s="133"/>
      <c r="E98" s="134">
        <f>IF(E85=0,E83,0)</f>
        <v>35.955199999999998</v>
      </c>
      <c r="F98" s="228"/>
      <c r="G98" s="134">
        <f>IF(E85=0,E98*(1+E84),IF(E85=1,E83,0))</f>
        <v>37.752960000000002</v>
      </c>
      <c r="H98" s="229"/>
      <c r="I98" s="134">
        <f>IF(OR(E85=0,E85=1),G98*(1+E84),IF(E85=2,E83,0))</f>
        <v>39.640608</v>
      </c>
      <c r="J98" s="230"/>
      <c r="K98" s="134">
        <f>IF(OR(E85=0,E85=1,E85=2),I98*(1+E84),IF(E85=3,E83,0))</f>
        <v>41.6226384</v>
      </c>
      <c r="L98" s="230"/>
      <c r="M98" s="134">
        <f>K98*(1+Assumption!C23)</f>
        <v>43.703770320000004</v>
      </c>
      <c r="N98" s="230"/>
      <c r="O98" s="134">
        <f>M98*(1+Assumption!$C$23)</f>
        <v>45.888958836000008</v>
      </c>
      <c r="P98" s="230"/>
      <c r="Q98" s="134">
        <f>O98*(1+Assumption!$C$23)</f>
        <v>48.183406777800009</v>
      </c>
      <c r="R98" s="134">
        <f>P98*(1+Assumption!$C$23)</f>
        <v>0</v>
      </c>
      <c r="S98" s="134">
        <f>Q98*(1+Assumption!$C$23)</f>
        <v>50.592577116690009</v>
      </c>
      <c r="T98" s="134">
        <f>R98*(1+Assumption!$C$23)</f>
        <v>0</v>
      </c>
      <c r="U98" s="134">
        <f>S98*(1+Assumption!$C$23)</f>
        <v>53.122205972524512</v>
      </c>
      <c r="V98" s="134">
        <f>T98*(1+Assumption!$C$23)</f>
        <v>0</v>
      </c>
      <c r="W98" s="134">
        <f>U98*(1+Assumption!$C$23)</f>
        <v>55.778316271150743</v>
      </c>
      <c r="X98" s="134">
        <f>V98*(1+Assumption!$C$23)</f>
        <v>0</v>
      </c>
      <c r="Y98" s="134">
        <f>W98*(1+Assumption!$C$23)</f>
        <v>58.56723208470828</v>
      </c>
      <c r="Z98" s="134">
        <f>X98*(1+Assumption!$C$23)</f>
        <v>0</v>
      </c>
      <c r="AA98" s="134">
        <f>Y98*(1+Assumption!$C$23)</f>
        <v>61.4955936889437</v>
      </c>
      <c r="AB98" s="134">
        <f>Z98*(1+Assumption!$C$23)</f>
        <v>0</v>
      </c>
      <c r="AC98" s="134">
        <f>AA98*(1+Assumption!$C$23)</f>
        <v>64.570373373390893</v>
      </c>
      <c r="AD98" s="134">
        <f>AB98*(1+Assumption!$C$23)</f>
        <v>0</v>
      </c>
      <c r="AE98" s="134">
        <f>AC98*(1+Assumption!$C$23)</f>
        <v>67.798892042060444</v>
      </c>
      <c r="AF98" s="134">
        <f>AD98*(1+Assumption!$C$23)</f>
        <v>0</v>
      </c>
      <c r="AG98" s="134">
        <f>AE98*(1+Assumption!$C$23)</f>
        <v>71.188836644163473</v>
      </c>
      <c r="AH98" s="134">
        <f>AF98*(1+Assumption!$C$23)</f>
        <v>0</v>
      </c>
      <c r="AI98" s="134">
        <f>AG98*(1+Assumption!$C$23)</f>
        <v>74.748278476371652</v>
      </c>
      <c r="AJ98" s="134">
        <f>AH98*(1+Assumption!$C$23)</f>
        <v>0</v>
      </c>
      <c r="AK98" s="134">
        <f>AI98*(1+Assumption!$C$23)</f>
        <v>78.485692400190231</v>
      </c>
      <c r="AL98" s="134">
        <f>AJ98*(1+Assumption!$C$23)</f>
        <v>0</v>
      </c>
      <c r="AM98" s="134">
        <f>AK98*(1+Assumption!$C$23)</f>
        <v>82.409977020199747</v>
      </c>
      <c r="AN98" s="134">
        <f>AL98*(1+Assumption!$C$23)</f>
        <v>0</v>
      </c>
      <c r="AO98" s="134">
        <f>AM98*(1+Assumption!$C$23)</f>
        <v>86.530475871209745</v>
      </c>
      <c r="AP98" s="305">
        <f>AN98*(1+Assumption!$C$23)</f>
        <v>0</v>
      </c>
      <c r="AQ98" s="311">
        <f>AO98*(1+Assumption!$C$23)</f>
        <v>90.856999664770242</v>
      </c>
      <c r="AR98" s="311">
        <f>AP98*(1+Assumption!$C$23)</f>
        <v>0</v>
      </c>
      <c r="AS98" s="311">
        <f>AQ98*(1+Assumption!$C$23)</f>
        <v>95.399849648008754</v>
      </c>
      <c r="AT98" s="308"/>
      <c r="AU98" s="311">
        <f>AS98*(1+Assumption!$C$23)</f>
        <v>100.16984213040919</v>
      </c>
      <c r="AV98" s="308"/>
      <c r="AW98" s="311">
        <f>AU98*(1+Assumption!$C$23)</f>
        <v>105.17833423692966</v>
      </c>
      <c r="AX98" s="308"/>
      <c r="AY98" s="311">
        <f>AW98*(1+Assumption!$C$23)</f>
        <v>110.43725094877614</v>
      </c>
      <c r="AZ98" s="308"/>
      <c r="BA98" s="311">
        <f>AY98*(1+Assumption!$C$23)</f>
        <v>115.95911349621495</v>
      </c>
      <c r="BB98" s="308"/>
      <c r="BC98" s="311">
        <f>BA98*(1+Assumption!$C$23)</f>
        <v>121.75706917102571</v>
      </c>
      <c r="BD98" s="308"/>
    </row>
    <row r="99" spans="2:56" s="107" customFormat="1" ht="15.75" thickBot="1" x14ac:dyDescent="0.3">
      <c r="B99" s="116" t="s">
        <v>66</v>
      </c>
      <c r="C99" s="135"/>
      <c r="D99" s="117">
        <f>D96</f>
        <v>18.665267759562841</v>
      </c>
      <c r="E99" s="118"/>
      <c r="F99" s="119">
        <f>E96+F96</f>
        <v>36.838725226738525</v>
      </c>
      <c r="G99" s="118"/>
      <c r="H99" s="120">
        <f>G96+H96</f>
        <v>38.730399649315068</v>
      </c>
      <c r="I99" s="118"/>
      <c r="J99" s="119">
        <f>I96+J96</f>
        <v>40.666919631780821</v>
      </c>
      <c r="K99" s="118"/>
      <c r="L99" s="119">
        <f>K96+L96</f>
        <v>42.757843752274866</v>
      </c>
      <c r="M99" s="118"/>
      <c r="N99" s="119">
        <f>M96+N96</f>
        <v>44.777700755133353</v>
      </c>
      <c r="O99" s="118"/>
      <c r="P99" s="119">
        <f>O96+P96</f>
        <v>47.077042838740283</v>
      </c>
      <c r="Q99" s="118"/>
      <c r="R99" s="119">
        <f>Q96+R96</f>
        <v>49.430894980677294</v>
      </c>
      <c r="S99" s="118"/>
      <c r="T99" s="119">
        <f>S96+T96</f>
        <v>51.972426317413564</v>
      </c>
      <c r="U99" s="118"/>
      <c r="V99" s="119">
        <f>U96+V96</f>
        <v>54.427575128494325</v>
      </c>
      <c r="W99" s="118"/>
      <c r="X99" s="119">
        <f>W96+X96</f>
        <v>57.222439802006562</v>
      </c>
      <c r="Y99" s="118"/>
      <c r="Z99" s="119">
        <f>Y96+Z96</f>
        <v>60.083561792106892</v>
      </c>
      <c r="AA99" s="118"/>
      <c r="AB99" s="119">
        <f>AA96+AB96</f>
        <v>63.172809016480691</v>
      </c>
      <c r="AC99" s="118"/>
      <c r="AD99" s="119">
        <f>AC96+AD96</f>
        <v>66.157057741029419</v>
      </c>
      <c r="AE99" s="118"/>
      <c r="AF99" s="119">
        <f>AE96+AF96</f>
        <v>69.554233219587758</v>
      </c>
      <c r="AG99" s="118"/>
      <c r="AH99" s="119">
        <f>AG96+AH96</f>
        <v>73.031944880567153</v>
      </c>
      <c r="AI99" s="118"/>
      <c r="AJ99" s="119">
        <f>AI96+AJ96</f>
        <v>76.786944189588652</v>
      </c>
      <c r="AK99" s="118"/>
      <c r="AL99" s="119">
        <f>AK96+AL96</f>
        <v>80.414317165832159</v>
      </c>
      <c r="AM99" s="118"/>
      <c r="AN99" s="119">
        <f>AM96+AN96</f>
        <v>84.543605192366556</v>
      </c>
      <c r="AO99" s="118"/>
      <c r="AP99" s="306">
        <f>AO96+AP96</f>
        <v>88.770785451984892</v>
      </c>
      <c r="AQ99" s="310"/>
      <c r="AR99" s="310">
        <f>AQ96+AR96</f>
        <v>93.335010580846216</v>
      </c>
      <c r="AS99" s="308"/>
      <c r="AT99" s="310">
        <f>AS96+AT96</f>
        <v>97.744105104551295</v>
      </c>
      <c r="AU99" s="308"/>
      <c r="AV99" s="310">
        <f>AU96+AV96</f>
        <v>102.76328050885402</v>
      </c>
      <c r="AW99" s="308"/>
      <c r="AX99" s="310">
        <f>AW96+AX96</f>
        <v>107.90144453429674</v>
      </c>
      <c r="AY99" s="308"/>
      <c r="AZ99" s="310">
        <f>AY96+AZ96</f>
        <v>113.44928870483473</v>
      </c>
      <c r="BA99" s="308"/>
      <c r="BB99" s="310">
        <f>BA96+BB96</f>
        <v>118.80857065523902</v>
      </c>
      <c r="BC99" s="308"/>
      <c r="BD99" s="310">
        <f>BC96+BD96</f>
        <v>58.710258011234309</v>
      </c>
    </row>
    <row r="100" spans="2:56" x14ac:dyDescent="0.25">
      <c r="B100" s="91"/>
    </row>
    <row r="101" spans="2:56" x14ac:dyDescent="0.25">
      <c r="B101" s="91"/>
    </row>
    <row r="102" spans="2:56" x14ac:dyDescent="0.25">
      <c r="B102" s="471" t="s">
        <v>123</v>
      </c>
      <c r="C102" s="472"/>
    </row>
    <row r="103" spans="2:56" ht="15.75" thickBot="1" x14ac:dyDescent="0.3"/>
    <row r="104" spans="2:56" x14ac:dyDescent="0.25">
      <c r="B104" s="235" t="s">
        <v>124</v>
      </c>
      <c r="C104" s="49" t="s">
        <v>35</v>
      </c>
      <c r="D104" s="236">
        <f>Assumption!C32</f>
        <v>2359.56</v>
      </c>
    </row>
    <row r="105" spans="2:56" x14ac:dyDescent="0.25">
      <c r="B105" s="237" t="s">
        <v>125</v>
      </c>
      <c r="C105" s="238" t="s">
        <v>126</v>
      </c>
      <c r="D105" s="239">
        <f>Assumption!C33</f>
        <v>0.14499999999999999</v>
      </c>
    </row>
    <row r="106" spans="2:56" x14ac:dyDescent="0.25">
      <c r="B106" s="237"/>
      <c r="C106" s="238" t="s">
        <v>127</v>
      </c>
      <c r="D106" s="240">
        <f>D105/4</f>
        <v>3.6249999999999998E-2</v>
      </c>
    </row>
    <row r="107" spans="2:56" x14ac:dyDescent="0.25">
      <c r="B107" s="237" t="s">
        <v>128</v>
      </c>
      <c r="C107" s="238" t="s">
        <v>129</v>
      </c>
      <c r="D107" s="241">
        <f>Assumption!C34</f>
        <v>28</v>
      </c>
    </row>
    <row r="108" spans="2:56" x14ac:dyDescent="0.25">
      <c r="B108" s="237" t="s">
        <v>130</v>
      </c>
      <c r="C108" s="238" t="s">
        <v>129</v>
      </c>
      <c r="D108" s="241">
        <f>Assumption!C35</f>
        <v>2</v>
      </c>
    </row>
    <row r="109" spans="2:56" x14ac:dyDescent="0.25">
      <c r="B109" s="237" t="s">
        <v>131</v>
      </c>
      <c r="C109" s="238" t="s">
        <v>129</v>
      </c>
      <c r="D109" s="241">
        <f>Assumption!C36</f>
        <v>26</v>
      </c>
    </row>
    <row r="110" spans="2:56" x14ac:dyDescent="0.25">
      <c r="B110" s="237" t="s">
        <v>132</v>
      </c>
      <c r="C110" s="238"/>
      <c r="D110" s="242">
        <f>Assumption!C10</f>
        <v>42270</v>
      </c>
    </row>
    <row r="111" spans="2:56" x14ac:dyDescent="0.25">
      <c r="B111" s="237" t="s">
        <v>133</v>
      </c>
      <c r="C111" s="238" t="s">
        <v>35</v>
      </c>
      <c r="D111" s="243">
        <f>Assumption!C37</f>
        <v>90.752307692307696</v>
      </c>
    </row>
    <row r="112" spans="2:56" ht="15.75" thickBot="1" x14ac:dyDescent="0.3">
      <c r="B112" s="244" t="s">
        <v>134</v>
      </c>
      <c r="C112" s="43"/>
      <c r="D112" s="245">
        <f>Assumption!C38</f>
        <v>42460</v>
      </c>
    </row>
    <row r="113" spans="2:15" ht="15.75" thickBot="1" x14ac:dyDescent="0.3">
      <c r="B113" s="47"/>
      <c r="C113" s="47"/>
      <c r="D113" s="246"/>
    </row>
    <row r="114" spans="2:15" ht="15.75" thickBot="1" x14ac:dyDescent="0.3">
      <c r="B114" s="247" t="s">
        <v>135</v>
      </c>
      <c r="C114" s="248"/>
      <c r="D114" s="18"/>
    </row>
    <row r="115" spans="2:15" x14ac:dyDescent="0.25">
      <c r="B115" s="249" t="s">
        <v>136</v>
      </c>
      <c r="C115" s="250"/>
      <c r="D115" s="251">
        <f>DATE(YEAR(D6)-1,6,30)</f>
        <v>42185</v>
      </c>
      <c r="E115" s="251">
        <f t="shared" ref="E115:O115" si="88">DATE(YEAR(E6)-1,6,30)</f>
        <v>42551</v>
      </c>
      <c r="F115" s="251">
        <f t="shared" si="88"/>
        <v>42916</v>
      </c>
      <c r="G115" s="251">
        <f t="shared" si="88"/>
        <v>43281</v>
      </c>
      <c r="H115" s="251">
        <f t="shared" si="88"/>
        <v>43646</v>
      </c>
      <c r="I115" s="251">
        <f t="shared" si="88"/>
        <v>44012</v>
      </c>
      <c r="J115" s="251">
        <f t="shared" si="88"/>
        <v>44377</v>
      </c>
      <c r="K115" s="251">
        <f t="shared" si="88"/>
        <v>44742</v>
      </c>
      <c r="L115" s="251">
        <f t="shared" si="88"/>
        <v>45107</v>
      </c>
      <c r="M115" s="251">
        <f t="shared" si="88"/>
        <v>45473</v>
      </c>
      <c r="N115" s="251">
        <f t="shared" si="88"/>
        <v>45838</v>
      </c>
      <c r="O115" s="252">
        <f t="shared" si="88"/>
        <v>46203</v>
      </c>
    </row>
    <row r="116" spans="2:15" x14ac:dyDescent="0.25">
      <c r="B116" s="94" t="s">
        <v>137</v>
      </c>
      <c r="C116" s="253"/>
      <c r="D116" s="53">
        <f>IF(AND(OR(MONTH($D$110)=5,MONTH($D$110)=4,MONTH($D$110)=3),YEAR(D115)=YEAR($D$110)),$D$104,0)</f>
        <v>0</v>
      </c>
      <c r="E116" s="53">
        <f>IF(AND(OR(MONTH($D$110)=5,MONTH($D$110)=4,MONTH($D$110)=3),YEAR(E115)=YEAR($D$110)),$D$104,D136)</f>
        <v>2268.8076923076924</v>
      </c>
      <c r="F116" s="53">
        <f t="shared" ref="F116:J116" si="89">E136</f>
        <v>1905.7984615384617</v>
      </c>
      <c r="G116" s="53">
        <f t="shared" si="89"/>
        <v>1542.7892307692305</v>
      </c>
      <c r="H116" s="53">
        <f t="shared" si="89"/>
        <v>1179.7799999999993</v>
      </c>
      <c r="I116" s="53">
        <f t="shared" si="89"/>
        <v>816.77076923076845</v>
      </c>
      <c r="J116" s="53">
        <f t="shared" si="89"/>
        <v>453.76153846153773</v>
      </c>
      <c r="K116" s="53">
        <f>J136</f>
        <v>90.752307692306985</v>
      </c>
      <c r="L116" s="53">
        <f>K136</f>
        <v>0</v>
      </c>
      <c r="M116" s="53">
        <f>L136</f>
        <v>0</v>
      </c>
      <c r="N116" s="53">
        <f>M136</f>
        <v>0</v>
      </c>
      <c r="O116" s="274">
        <f>N136</f>
        <v>0</v>
      </c>
    </row>
    <row r="117" spans="2:15" x14ac:dyDescent="0.25">
      <c r="B117" s="94" t="s">
        <v>138</v>
      </c>
      <c r="C117" s="253"/>
      <c r="D117" s="53">
        <f>IF(D116&lt;=0,0,IF(AND(MONTH(D115)=MONTH($D$112),YEAR(D115)=YEAR($D$112)),$D$111,0))</f>
        <v>0</v>
      </c>
      <c r="E117" s="53">
        <f>IF(E116&lt;=0,0,IF(AND(MONTH(E115)=MONTH($D$112),YEAR(E115)=YEAR($D$112)),$D$111,D135))</f>
        <v>90.752307692307696</v>
      </c>
      <c r="F117" s="53">
        <f t="shared" ref="F117:M117" si="90">IF(TRUNC(F116,2)&gt;=TRUNC(E135,1),E135,0)</f>
        <v>90.752307692307696</v>
      </c>
      <c r="G117" s="53">
        <f t="shared" si="90"/>
        <v>90.752307692307696</v>
      </c>
      <c r="H117" s="53">
        <f t="shared" si="90"/>
        <v>90.752307692307696</v>
      </c>
      <c r="I117" s="53">
        <f t="shared" si="90"/>
        <v>90.752307692307696</v>
      </c>
      <c r="J117" s="53">
        <f t="shared" si="90"/>
        <v>90.752307692307696</v>
      </c>
      <c r="K117" s="53">
        <f t="shared" si="90"/>
        <v>90.752307692307696</v>
      </c>
      <c r="L117" s="53">
        <f t="shared" si="90"/>
        <v>0</v>
      </c>
      <c r="M117" s="53">
        <f t="shared" si="90"/>
        <v>0</v>
      </c>
      <c r="N117" s="53">
        <f>IF(TRUNC(N116,2)&gt;=TRUNC(M135,1),M135,0)</f>
        <v>0</v>
      </c>
      <c r="O117" s="274">
        <f t="shared" ref="O117" si="91">IF(TRUNC(O116,2)&gt;=TRUNC(N135,2),N135,0)</f>
        <v>0</v>
      </c>
    </row>
    <row r="118" spans="2:15" x14ac:dyDescent="0.25">
      <c r="B118" s="94" t="s">
        <v>139</v>
      </c>
      <c r="C118" s="253"/>
      <c r="D118" s="53">
        <f t="shared" ref="D118:E118" si="92">IF(TRUNC((D116-D117),2)&lt;TRUNC($D$111,2),0,D116-D117)</f>
        <v>0</v>
      </c>
      <c r="E118" s="53">
        <f t="shared" si="92"/>
        <v>2178.0553846153848</v>
      </c>
      <c r="F118" s="53">
        <f t="shared" ref="F118:M118" si="93">IF(TRUNC((F116-F117),2)&lt;TRUNC($D$111,1),0,F116-F117)</f>
        <v>1815.0461538461539</v>
      </c>
      <c r="G118" s="53">
        <f t="shared" si="93"/>
        <v>1452.0369230769227</v>
      </c>
      <c r="H118" s="53">
        <f t="shared" si="93"/>
        <v>1089.0276923076915</v>
      </c>
      <c r="I118" s="53">
        <f t="shared" si="93"/>
        <v>726.01846153846077</v>
      </c>
      <c r="J118" s="53">
        <f t="shared" si="93"/>
        <v>363.00923076923004</v>
      </c>
      <c r="K118" s="53">
        <f t="shared" si="93"/>
        <v>0</v>
      </c>
      <c r="L118" s="53">
        <f t="shared" si="93"/>
        <v>0</v>
      </c>
      <c r="M118" s="53">
        <f t="shared" si="93"/>
        <v>0</v>
      </c>
      <c r="N118" s="53">
        <f>IF(TRUNC((N116-N117),2)&lt;TRUNC($D$111,1),0,N116-N117)</f>
        <v>0</v>
      </c>
      <c r="O118" s="274">
        <f>IF(TRUNC((O116-O117),2)&lt;TRUNC($D$111,2),0,O116-O117)</f>
        <v>0</v>
      </c>
    </row>
    <row r="119" spans="2:15" x14ac:dyDescent="0.25">
      <c r="B119" s="94" t="s">
        <v>140</v>
      </c>
      <c r="C119" s="253"/>
      <c r="D119" s="53">
        <f>IF(D116&lt;=0,0,D116*$D$105*3/12)</f>
        <v>0</v>
      </c>
      <c r="E119" s="53">
        <f t="shared" ref="E119:O119" si="94">IF(E116&lt;=0,0,E116*$D$105*3/12)</f>
        <v>82.244278846153847</v>
      </c>
      <c r="F119" s="53">
        <f t="shared" si="94"/>
        <v>69.085194230769233</v>
      </c>
      <c r="G119" s="53">
        <f t="shared" si="94"/>
        <v>55.926109615384604</v>
      </c>
      <c r="H119" s="53">
        <f t="shared" si="94"/>
        <v>42.767024999999968</v>
      </c>
      <c r="I119" s="53">
        <f t="shared" si="94"/>
        <v>29.607940384615357</v>
      </c>
      <c r="J119" s="53">
        <f t="shared" si="94"/>
        <v>16.448855769230743</v>
      </c>
      <c r="K119" s="53">
        <f t="shared" si="94"/>
        <v>3.2897711538461274</v>
      </c>
      <c r="L119" s="53">
        <f t="shared" si="94"/>
        <v>0</v>
      </c>
      <c r="M119" s="53">
        <f t="shared" si="94"/>
        <v>0</v>
      </c>
      <c r="N119" s="53">
        <f t="shared" si="94"/>
        <v>0</v>
      </c>
      <c r="O119" s="274">
        <f t="shared" si="94"/>
        <v>0</v>
      </c>
    </row>
    <row r="120" spans="2:15" x14ac:dyDescent="0.25">
      <c r="B120" s="94"/>
      <c r="C120" s="253"/>
      <c r="D120" s="254"/>
      <c r="E120" s="254"/>
      <c r="F120" s="254"/>
      <c r="G120" s="254"/>
      <c r="H120" s="254"/>
      <c r="I120" s="254"/>
      <c r="J120" s="254"/>
      <c r="K120" s="254"/>
      <c r="L120" s="254"/>
      <c r="M120" s="254"/>
      <c r="N120" s="254"/>
      <c r="O120" s="54"/>
    </row>
    <row r="121" spans="2:15" x14ac:dyDescent="0.25">
      <c r="B121" s="255" t="s">
        <v>141</v>
      </c>
      <c r="C121" s="256"/>
      <c r="D121" s="257">
        <f t="shared" ref="D121:O121" si="95">DATE(YEAR(D6)-1,9,30)</f>
        <v>42277</v>
      </c>
      <c r="E121" s="257">
        <f t="shared" si="95"/>
        <v>42643</v>
      </c>
      <c r="F121" s="257">
        <f t="shared" si="95"/>
        <v>43008</v>
      </c>
      <c r="G121" s="257">
        <f t="shared" si="95"/>
        <v>43373</v>
      </c>
      <c r="H121" s="257">
        <f t="shared" si="95"/>
        <v>43738</v>
      </c>
      <c r="I121" s="257">
        <f t="shared" si="95"/>
        <v>44104</v>
      </c>
      <c r="J121" s="257">
        <f t="shared" si="95"/>
        <v>44469</v>
      </c>
      <c r="K121" s="257">
        <f t="shared" si="95"/>
        <v>44834</v>
      </c>
      <c r="L121" s="257">
        <f t="shared" si="95"/>
        <v>45199</v>
      </c>
      <c r="M121" s="257">
        <f t="shared" si="95"/>
        <v>45565</v>
      </c>
      <c r="N121" s="257">
        <f t="shared" si="95"/>
        <v>45930</v>
      </c>
      <c r="O121" s="258">
        <f t="shared" si="95"/>
        <v>46295</v>
      </c>
    </row>
    <row r="122" spans="2:15" x14ac:dyDescent="0.25">
      <c r="B122" s="94" t="s">
        <v>137</v>
      </c>
      <c r="C122" s="253"/>
      <c r="D122" s="53">
        <f>IF(AND(OR(MONTH($D$110)=8,MONTH($D$110)=7,MONTH($D$110)=6),YEAR(D121)=YEAR($D$110)),$D$104,D118)</f>
        <v>0</v>
      </c>
      <c r="E122" s="254">
        <f>IF(AND(OR(MONTH($D$110)=8,MONTH($D$110)=7,MONTH($D$110)=6),YEAR(E121)=YEAR($D$110)),$D$104,E118)</f>
        <v>2178.0553846153848</v>
      </c>
      <c r="F122" s="254">
        <f t="shared" ref="F122:M122" si="96">F118</f>
        <v>1815.0461538461539</v>
      </c>
      <c r="G122" s="254">
        <f t="shared" si="96"/>
        <v>1452.0369230769227</v>
      </c>
      <c r="H122" s="254">
        <f t="shared" si="96"/>
        <v>1089.0276923076915</v>
      </c>
      <c r="I122" s="254">
        <f t="shared" si="96"/>
        <v>726.01846153846077</v>
      </c>
      <c r="J122" s="254">
        <f t="shared" si="96"/>
        <v>363.00923076923004</v>
      </c>
      <c r="K122" s="254">
        <f t="shared" si="96"/>
        <v>0</v>
      </c>
      <c r="L122" s="254">
        <f t="shared" si="96"/>
        <v>0</v>
      </c>
      <c r="M122" s="254">
        <f t="shared" si="96"/>
        <v>0</v>
      </c>
      <c r="N122" s="254">
        <f>N118</f>
        <v>0</v>
      </c>
      <c r="O122" s="54">
        <f>O118</f>
        <v>0</v>
      </c>
    </row>
    <row r="123" spans="2:15" x14ac:dyDescent="0.25">
      <c r="B123" s="94" t="s">
        <v>138</v>
      </c>
      <c r="C123" s="253"/>
      <c r="D123" s="53">
        <f>IF(D122&lt;=0,0,IF(AND(MONTH(D121)=MONTH($D$112),YEAR(D121)=YEAR($D$112)),$D$111,D117))</f>
        <v>0</v>
      </c>
      <c r="E123" s="254">
        <f>IF(E122&lt;=0,0,IF(AND(MONTH(E121)=MONTH($D$112),YEAR(E121)=YEAR($D$112)),$D$111,E117))</f>
        <v>90.752307692307696</v>
      </c>
      <c r="F123" s="254">
        <f t="shared" ref="F123:M123" si="97">IF(TRUNC(F122,2)&gt;=TRUNC(F117,1),F117,0)</f>
        <v>90.752307692307696</v>
      </c>
      <c r="G123" s="254">
        <f t="shared" si="97"/>
        <v>90.752307692307696</v>
      </c>
      <c r="H123" s="254">
        <f t="shared" si="97"/>
        <v>90.752307692307696</v>
      </c>
      <c r="I123" s="254">
        <f t="shared" si="97"/>
        <v>90.752307692307696</v>
      </c>
      <c r="J123" s="254">
        <f t="shared" si="97"/>
        <v>90.752307692307696</v>
      </c>
      <c r="K123" s="254">
        <f t="shared" si="97"/>
        <v>0</v>
      </c>
      <c r="L123" s="254">
        <f t="shared" si="97"/>
        <v>0</v>
      </c>
      <c r="M123" s="254">
        <f t="shared" si="97"/>
        <v>0</v>
      </c>
      <c r="N123" s="254">
        <f>IF(TRUNC(N122,2)&gt;=TRUNC(N117,1),N117,0)</f>
        <v>0</v>
      </c>
      <c r="O123" s="54">
        <f>IF(TRUNC(O122,2)&gt;=TRUNC(O117,1),O117,0)</f>
        <v>0</v>
      </c>
    </row>
    <row r="124" spans="2:15" x14ac:dyDescent="0.25">
      <c r="B124" s="94" t="s">
        <v>139</v>
      </c>
      <c r="C124" s="253"/>
      <c r="D124" s="53">
        <f t="shared" ref="D124:E124" si="98">IF(TRUNC((D122-D123),2)&lt;TRUNC($D$111,2),0,D122-D123)</f>
        <v>0</v>
      </c>
      <c r="E124" s="254">
        <f t="shared" si="98"/>
        <v>2087.3030769230772</v>
      </c>
      <c r="F124" s="254">
        <f t="shared" ref="F124:M124" si="99">IF(TRUNC((F122-F123),2)&lt;TRUNC($D$111,1),0,F122-F123)</f>
        <v>1724.2938461538461</v>
      </c>
      <c r="G124" s="254">
        <f t="shared" si="99"/>
        <v>1361.2846153846149</v>
      </c>
      <c r="H124" s="254">
        <f t="shared" si="99"/>
        <v>998.27538461538381</v>
      </c>
      <c r="I124" s="254">
        <f t="shared" si="99"/>
        <v>635.26615384615309</v>
      </c>
      <c r="J124" s="254">
        <f t="shared" si="99"/>
        <v>272.25692307692236</v>
      </c>
      <c r="K124" s="254">
        <f t="shared" si="99"/>
        <v>0</v>
      </c>
      <c r="L124" s="254">
        <f t="shared" si="99"/>
        <v>0</v>
      </c>
      <c r="M124" s="254">
        <f t="shared" si="99"/>
        <v>0</v>
      </c>
      <c r="N124" s="254">
        <f>IF(TRUNC((N122-N123),2)&lt;TRUNC($D$111,1),0,N122-N123)</f>
        <v>0</v>
      </c>
      <c r="O124" s="54">
        <f>IF(TRUNC((O122-O123),2)&lt;TRUNC($D$111,1),0,O122-O123)</f>
        <v>0</v>
      </c>
    </row>
    <row r="125" spans="2:15" x14ac:dyDescent="0.25">
      <c r="B125" s="94" t="s">
        <v>140</v>
      </c>
      <c r="C125" s="253"/>
      <c r="D125" s="53">
        <f>IF(D122&lt;=0,0,D122*$D$105*3/12)</f>
        <v>0</v>
      </c>
      <c r="E125" s="254">
        <f t="shared" ref="E125:O125" si="100">IF(E122&lt;=0,0,E122*$D$105*3/12)</f>
        <v>78.9545076923077</v>
      </c>
      <c r="F125" s="254">
        <f t="shared" si="100"/>
        <v>65.795423076923072</v>
      </c>
      <c r="G125" s="254">
        <f t="shared" si="100"/>
        <v>52.636338461538436</v>
      </c>
      <c r="H125" s="254">
        <f t="shared" si="100"/>
        <v>39.477253846153815</v>
      </c>
      <c r="I125" s="254">
        <f t="shared" si="100"/>
        <v>26.3181692307692</v>
      </c>
      <c r="J125" s="254">
        <f t="shared" si="100"/>
        <v>13.159084615384588</v>
      </c>
      <c r="K125" s="254">
        <f t="shared" si="100"/>
        <v>0</v>
      </c>
      <c r="L125" s="254">
        <f t="shared" si="100"/>
        <v>0</v>
      </c>
      <c r="M125" s="254">
        <f t="shared" si="100"/>
        <v>0</v>
      </c>
      <c r="N125" s="254">
        <f t="shared" si="100"/>
        <v>0</v>
      </c>
      <c r="O125" s="54">
        <f t="shared" si="100"/>
        <v>0</v>
      </c>
    </row>
    <row r="126" spans="2:15" x14ac:dyDescent="0.25">
      <c r="B126" s="94"/>
      <c r="C126" s="253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54"/>
    </row>
    <row r="127" spans="2:15" x14ac:dyDescent="0.25">
      <c r="B127" s="255" t="s">
        <v>142</v>
      </c>
      <c r="C127" s="256"/>
      <c r="D127" s="257">
        <f t="shared" ref="D127:O127" si="101">DATE(YEAR(D6)-1,12,31)</f>
        <v>42369</v>
      </c>
      <c r="E127" s="257">
        <f t="shared" si="101"/>
        <v>42735</v>
      </c>
      <c r="F127" s="257">
        <f t="shared" si="101"/>
        <v>43100</v>
      </c>
      <c r="G127" s="257">
        <f t="shared" si="101"/>
        <v>43465</v>
      </c>
      <c r="H127" s="257">
        <f t="shared" si="101"/>
        <v>43830</v>
      </c>
      <c r="I127" s="257">
        <f t="shared" si="101"/>
        <v>44196</v>
      </c>
      <c r="J127" s="257">
        <f t="shared" si="101"/>
        <v>44561</v>
      </c>
      <c r="K127" s="257">
        <f t="shared" si="101"/>
        <v>44926</v>
      </c>
      <c r="L127" s="257">
        <f t="shared" si="101"/>
        <v>45291</v>
      </c>
      <c r="M127" s="257">
        <f t="shared" si="101"/>
        <v>45657</v>
      </c>
      <c r="N127" s="257">
        <f t="shared" si="101"/>
        <v>46022</v>
      </c>
      <c r="O127" s="258">
        <f t="shared" si="101"/>
        <v>46387</v>
      </c>
    </row>
    <row r="128" spans="2:15" x14ac:dyDescent="0.25">
      <c r="B128" s="94" t="s">
        <v>137</v>
      </c>
      <c r="C128" s="253"/>
      <c r="D128" s="53">
        <f>IF(AND(OR(MONTH($D$110)=11,MONTH($D$110)=10,MONTH($D$110)=9),YEAR(D127)=YEAR($D$110)),$D$104,D124)</f>
        <v>2359.56</v>
      </c>
      <c r="E128" s="254">
        <f>IF(AND(OR(MONTH($D$110)=11,MONTH($D$110)=10,MONTH($D$110)=9),YEAR(E127)=YEAR($D$110)),$D$104,E124)</f>
        <v>2087.3030769230772</v>
      </c>
      <c r="F128" s="254">
        <f t="shared" ref="F128:M128" si="102">F124</f>
        <v>1724.2938461538461</v>
      </c>
      <c r="G128" s="254">
        <f t="shared" si="102"/>
        <v>1361.2846153846149</v>
      </c>
      <c r="H128" s="254">
        <f t="shared" si="102"/>
        <v>998.27538461538381</v>
      </c>
      <c r="I128" s="254">
        <f t="shared" si="102"/>
        <v>635.26615384615309</v>
      </c>
      <c r="J128" s="254">
        <f t="shared" si="102"/>
        <v>272.25692307692236</v>
      </c>
      <c r="K128" s="254">
        <f t="shared" si="102"/>
        <v>0</v>
      </c>
      <c r="L128" s="254">
        <f t="shared" si="102"/>
        <v>0</v>
      </c>
      <c r="M128" s="254">
        <f t="shared" si="102"/>
        <v>0</v>
      </c>
      <c r="N128" s="254">
        <f>N124</f>
        <v>0</v>
      </c>
      <c r="O128" s="54">
        <f>O124</f>
        <v>0</v>
      </c>
    </row>
    <row r="129" spans="1:18" x14ac:dyDescent="0.25">
      <c r="B129" s="94" t="s">
        <v>138</v>
      </c>
      <c r="C129" s="253"/>
      <c r="D129" s="53">
        <f>IF(D128&lt;=0,0,IF(AND(MONTH(D127)=MONTH($D$112),YEAR(D127)=YEAR($D$112)),$D$111,D123))</f>
        <v>0</v>
      </c>
      <c r="E129" s="254">
        <f>IF(E128&lt;=0,0,IF(AND(MONTH(E127)=MONTH($D$112),YEAR(E127)=YEAR($D$112)),$D$111,E123))</f>
        <v>90.752307692307696</v>
      </c>
      <c r="F129" s="254">
        <f t="shared" ref="F129:M129" si="103">IF(TRUNC(F128,2)&gt;=TRUNC(F123,1),F123,0)</f>
        <v>90.752307692307696</v>
      </c>
      <c r="G129" s="254">
        <f t="shared" si="103"/>
        <v>90.752307692307696</v>
      </c>
      <c r="H129" s="254">
        <f t="shared" si="103"/>
        <v>90.752307692307696</v>
      </c>
      <c r="I129" s="254">
        <f t="shared" si="103"/>
        <v>90.752307692307696</v>
      </c>
      <c r="J129" s="254">
        <f t="shared" si="103"/>
        <v>90.752307692307696</v>
      </c>
      <c r="K129" s="254">
        <f t="shared" si="103"/>
        <v>0</v>
      </c>
      <c r="L129" s="254">
        <f t="shared" si="103"/>
        <v>0</v>
      </c>
      <c r="M129" s="254">
        <f t="shared" si="103"/>
        <v>0</v>
      </c>
      <c r="N129" s="254">
        <f>IF(TRUNC(N128,2)&gt;=TRUNC(N123,1),N123,0)</f>
        <v>0</v>
      </c>
      <c r="O129" s="54">
        <f>IF(TRUNC(O128,2)&gt;=TRUNC(O123,1),O123,0)</f>
        <v>0</v>
      </c>
      <c r="R129" s="259"/>
    </row>
    <row r="130" spans="1:18" x14ac:dyDescent="0.25">
      <c r="B130" s="94" t="s">
        <v>139</v>
      </c>
      <c r="C130" s="253"/>
      <c r="D130" s="53">
        <f t="shared" ref="D130:E130" si="104">IF(TRUNC((D128-D129),2)&lt;TRUNC($D$111,2),0,D128-D129)</f>
        <v>2359.56</v>
      </c>
      <c r="E130" s="254">
        <f t="shared" si="104"/>
        <v>1996.5507692307694</v>
      </c>
      <c r="F130" s="254">
        <f t="shared" ref="F130:M130" si="105">IF(TRUNC((F128-F129),2)&lt;TRUNC($D$111,1),0,F128-F129)</f>
        <v>1633.5415384615383</v>
      </c>
      <c r="G130" s="254">
        <f t="shared" si="105"/>
        <v>1270.5323076923071</v>
      </c>
      <c r="H130" s="254">
        <f t="shared" si="105"/>
        <v>907.52307692307613</v>
      </c>
      <c r="I130" s="254">
        <f t="shared" si="105"/>
        <v>544.51384615384541</v>
      </c>
      <c r="J130" s="254">
        <f t="shared" si="105"/>
        <v>181.50461538461468</v>
      </c>
      <c r="K130" s="254">
        <f t="shared" si="105"/>
        <v>0</v>
      </c>
      <c r="L130" s="254">
        <f t="shared" si="105"/>
        <v>0</v>
      </c>
      <c r="M130" s="254">
        <f t="shared" si="105"/>
        <v>0</v>
      </c>
      <c r="N130" s="254">
        <f>IF(TRUNC((N128-N129),2)&lt;TRUNC($D$111,1),0,N128-N129)</f>
        <v>0</v>
      </c>
      <c r="O130" s="54">
        <f>IF(TRUNC((O128-O129),2)&lt;TRUNC($D$111,1),0,O128-O129)</f>
        <v>0</v>
      </c>
      <c r="R130" s="259"/>
    </row>
    <row r="131" spans="1:18" x14ac:dyDescent="0.25">
      <c r="B131" s="94" t="s">
        <v>140</v>
      </c>
      <c r="C131" s="253"/>
      <c r="D131" s="53">
        <f>IF(D128&lt;=0,0,D128*$D$105*3/12)</f>
        <v>85.534049999999993</v>
      </c>
      <c r="E131" s="254">
        <f t="shared" ref="E131:O131" si="106">IF(E128&lt;=0,0,E128*$D$105*3/12)</f>
        <v>75.66473653846154</v>
      </c>
      <c r="F131" s="254">
        <f t="shared" si="106"/>
        <v>62.505651923076918</v>
      </c>
      <c r="G131" s="254">
        <f t="shared" si="106"/>
        <v>49.346567307692283</v>
      </c>
      <c r="H131" s="254">
        <f t="shared" si="106"/>
        <v>36.187482692307661</v>
      </c>
      <c r="I131" s="254">
        <f t="shared" si="106"/>
        <v>23.028398076923043</v>
      </c>
      <c r="J131" s="254">
        <f t="shared" si="106"/>
        <v>9.8693134615384341</v>
      </c>
      <c r="K131" s="254">
        <f t="shared" si="106"/>
        <v>0</v>
      </c>
      <c r="L131" s="254">
        <f t="shared" si="106"/>
        <v>0</v>
      </c>
      <c r="M131" s="254">
        <f t="shared" si="106"/>
        <v>0</v>
      </c>
      <c r="N131" s="254">
        <f t="shared" si="106"/>
        <v>0</v>
      </c>
      <c r="O131" s="54">
        <f t="shared" si="106"/>
        <v>0</v>
      </c>
    </row>
    <row r="132" spans="1:18" x14ac:dyDescent="0.25">
      <c r="B132" s="94"/>
      <c r="C132" s="253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54"/>
    </row>
    <row r="133" spans="1:18" x14ac:dyDescent="0.25">
      <c r="B133" s="255" t="s">
        <v>143</v>
      </c>
      <c r="C133" s="256"/>
      <c r="D133" s="257">
        <f t="shared" ref="D133:O133" si="107">DATE(YEAR(D6),3,31)</f>
        <v>42460</v>
      </c>
      <c r="E133" s="257">
        <f t="shared" si="107"/>
        <v>42825</v>
      </c>
      <c r="F133" s="257">
        <f t="shared" si="107"/>
        <v>43190</v>
      </c>
      <c r="G133" s="257">
        <f t="shared" si="107"/>
        <v>43555</v>
      </c>
      <c r="H133" s="257">
        <f t="shared" si="107"/>
        <v>43921</v>
      </c>
      <c r="I133" s="257">
        <f t="shared" si="107"/>
        <v>44286</v>
      </c>
      <c r="J133" s="257">
        <f t="shared" si="107"/>
        <v>44651</v>
      </c>
      <c r="K133" s="257">
        <f t="shared" si="107"/>
        <v>45016</v>
      </c>
      <c r="L133" s="257">
        <f t="shared" si="107"/>
        <v>45382</v>
      </c>
      <c r="M133" s="257">
        <f t="shared" si="107"/>
        <v>45747</v>
      </c>
      <c r="N133" s="257">
        <f t="shared" si="107"/>
        <v>46112</v>
      </c>
      <c r="O133" s="258">
        <f t="shared" si="107"/>
        <v>46477</v>
      </c>
    </row>
    <row r="134" spans="1:18" x14ac:dyDescent="0.25">
      <c r="B134" s="94" t="s">
        <v>137</v>
      </c>
      <c r="C134" s="253"/>
      <c r="D134" s="53">
        <f>IF(OR(AND(MONTH($D$110)=12,YEAR(D133)-1=YEAR($D$110)),AND(MONTH($D$110)=1,YEAR(D133)=YEAR($D$110)),AND(MONTH($D$110)=2,YEAR(D133)=YEAR($D$110))),$D$104,D130)</f>
        <v>2359.56</v>
      </c>
      <c r="E134" s="254">
        <f>IF(OR(AND(MONTH($D$110)=12,YEAR(E133)-1=YEAR($D$110)),AND(MONTH($D$110)=1,YEAR(E133)=YEAR($D$110)),AND(MONTH($D$110)=2,YEAR(E133)=YEAR($D$110))),$D$104,E130)</f>
        <v>1996.5507692307694</v>
      </c>
      <c r="F134" s="254">
        <f t="shared" ref="F134:M134" si="108">F130</f>
        <v>1633.5415384615383</v>
      </c>
      <c r="G134" s="254">
        <f t="shared" si="108"/>
        <v>1270.5323076923071</v>
      </c>
      <c r="H134" s="254">
        <f t="shared" si="108"/>
        <v>907.52307692307613</v>
      </c>
      <c r="I134" s="254">
        <f t="shared" si="108"/>
        <v>544.51384615384541</v>
      </c>
      <c r="J134" s="254">
        <f t="shared" si="108"/>
        <v>181.50461538461468</v>
      </c>
      <c r="K134" s="254">
        <f t="shared" si="108"/>
        <v>0</v>
      </c>
      <c r="L134" s="254">
        <f t="shared" si="108"/>
        <v>0</v>
      </c>
      <c r="M134" s="254">
        <f t="shared" si="108"/>
        <v>0</v>
      </c>
      <c r="N134" s="254">
        <f>N130</f>
        <v>0</v>
      </c>
      <c r="O134" s="54">
        <f>O130</f>
        <v>0</v>
      </c>
    </row>
    <row r="135" spans="1:18" x14ac:dyDescent="0.25">
      <c r="B135" s="94" t="s">
        <v>138</v>
      </c>
      <c r="C135" s="253"/>
      <c r="D135" s="53">
        <f>IF(D134&lt;=0,0,IF(AND(MONTH(D133)=MONTH($D$112),YEAR(D133)=YEAR($D$112)),$D$111,D129))</f>
        <v>90.752307692307696</v>
      </c>
      <c r="E135" s="254">
        <f>IF(E134&lt;=0,0,IF(AND(MONTH(E133)=MONTH($D$112),YEAR(E133)=YEAR($D$112)),$D$111,E129))</f>
        <v>90.752307692307696</v>
      </c>
      <c r="F135" s="254">
        <f t="shared" ref="F135:M135" si="109">IF(TRUNC(F134,2)&gt;=TRUNC(F129,1),F129,0)</f>
        <v>90.752307692307696</v>
      </c>
      <c r="G135" s="254">
        <f t="shared" si="109"/>
        <v>90.752307692307696</v>
      </c>
      <c r="H135" s="254">
        <f t="shared" si="109"/>
        <v>90.752307692307696</v>
      </c>
      <c r="I135" s="254">
        <f t="shared" si="109"/>
        <v>90.752307692307696</v>
      </c>
      <c r="J135" s="254">
        <f t="shared" si="109"/>
        <v>90.752307692307696</v>
      </c>
      <c r="K135" s="254">
        <f t="shared" si="109"/>
        <v>0</v>
      </c>
      <c r="L135" s="254">
        <f t="shared" si="109"/>
        <v>0</v>
      </c>
      <c r="M135" s="254">
        <f t="shared" si="109"/>
        <v>0</v>
      </c>
      <c r="N135" s="254">
        <f>IF(TRUNC(N134,2)&gt;=TRUNC(N129,1),N129,0)</f>
        <v>0</v>
      </c>
      <c r="O135" s="54">
        <f>IF(TRUNC(O134,2)&gt;=TRUNC(O129,1),O129,0)</f>
        <v>0</v>
      </c>
    </row>
    <row r="136" spans="1:18" x14ac:dyDescent="0.25">
      <c r="B136" s="94" t="s">
        <v>139</v>
      </c>
      <c r="C136" s="253"/>
      <c r="D136" s="53">
        <f t="shared" ref="D136:E136" si="110">IF(TRUNC((D134-D135),2)&lt;TRUNC($D$111,2),0,D134-D135)</f>
        <v>2268.8076923076924</v>
      </c>
      <c r="E136" s="254">
        <f t="shared" si="110"/>
        <v>1905.7984615384617</v>
      </c>
      <c r="F136" s="254">
        <f t="shared" ref="F136:M136" si="111">IF(TRUNC((F134-F135),2)&lt;TRUNC($D$111,1),0,F134-F135)</f>
        <v>1542.7892307692305</v>
      </c>
      <c r="G136" s="254">
        <f t="shared" si="111"/>
        <v>1179.7799999999993</v>
      </c>
      <c r="H136" s="254">
        <f t="shared" si="111"/>
        <v>816.77076923076845</v>
      </c>
      <c r="I136" s="254">
        <f t="shared" si="111"/>
        <v>453.76153846153773</v>
      </c>
      <c r="J136" s="254">
        <f t="shared" si="111"/>
        <v>90.752307692306985</v>
      </c>
      <c r="K136" s="254">
        <f t="shared" si="111"/>
        <v>0</v>
      </c>
      <c r="L136" s="254">
        <f t="shared" si="111"/>
        <v>0</v>
      </c>
      <c r="M136" s="254">
        <f t="shared" si="111"/>
        <v>0</v>
      </c>
      <c r="N136" s="254">
        <f>IF(TRUNC((N134-N135),2)&lt;TRUNC($D$111,1),0,N134-N135)</f>
        <v>0</v>
      </c>
      <c r="O136" s="54">
        <f>IF(TRUNC((O134-O135),2)&lt;TRUNC($D$111,1),0,O134-O135)</f>
        <v>0</v>
      </c>
    </row>
    <row r="137" spans="1:18" ht="15.75" thickBot="1" x14ac:dyDescent="0.3">
      <c r="B137" s="95" t="s">
        <v>140</v>
      </c>
      <c r="C137" s="260"/>
      <c r="D137" s="273">
        <f>IF(D134&lt;=0,0,D134*$D$105*3/12)</f>
        <v>85.534049999999993</v>
      </c>
      <c r="E137" s="75">
        <f t="shared" ref="E137:O137" si="112">IF(E134&lt;=0,0,E134*$D$105*3/12)</f>
        <v>72.374965384615393</v>
      </c>
      <c r="F137" s="75">
        <f t="shared" si="112"/>
        <v>59.215880769230758</v>
      </c>
      <c r="G137" s="75">
        <f t="shared" si="112"/>
        <v>46.056796153846129</v>
      </c>
      <c r="H137" s="75">
        <f t="shared" si="112"/>
        <v>32.897711538461508</v>
      </c>
      <c r="I137" s="75">
        <f t="shared" si="112"/>
        <v>19.738626923076893</v>
      </c>
      <c r="J137" s="75">
        <f t="shared" si="112"/>
        <v>6.5795423076922814</v>
      </c>
      <c r="K137" s="75">
        <f t="shared" si="112"/>
        <v>0</v>
      </c>
      <c r="L137" s="75">
        <f t="shared" si="112"/>
        <v>0</v>
      </c>
      <c r="M137" s="75">
        <f t="shared" si="112"/>
        <v>0</v>
      </c>
      <c r="N137" s="75">
        <f t="shared" si="112"/>
        <v>0</v>
      </c>
      <c r="O137" s="76">
        <f t="shared" si="112"/>
        <v>0</v>
      </c>
    </row>
    <row r="138" spans="1:18" ht="15.75" thickBot="1" x14ac:dyDescent="0.3">
      <c r="B138" s="33"/>
      <c r="C138" s="33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</row>
    <row r="139" spans="1:18" s="20" customFormat="1" x14ac:dyDescent="0.25">
      <c r="A139" s="261"/>
      <c r="B139" s="249" t="s">
        <v>144</v>
      </c>
      <c r="C139" s="250"/>
      <c r="D139" s="68">
        <f t="shared" ref="D139:O139" si="113">D119+D125+D131+D137</f>
        <v>171.06809999999999</v>
      </c>
      <c r="E139" s="68">
        <f t="shared" si="113"/>
        <v>309.23848846153851</v>
      </c>
      <c r="F139" s="68">
        <f t="shared" si="113"/>
        <v>256.60214999999999</v>
      </c>
      <c r="G139" s="68">
        <f t="shared" si="113"/>
        <v>203.96581153846145</v>
      </c>
      <c r="H139" s="68">
        <f t="shared" si="113"/>
        <v>151.32947307692297</v>
      </c>
      <c r="I139" s="68">
        <f t="shared" si="113"/>
        <v>98.693134615384494</v>
      </c>
      <c r="J139" s="68">
        <f t="shared" si="113"/>
        <v>46.056796153846044</v>
      </c>
      <c r="K139" s="68">
        <f t="shared" si="113"/>
        <v>3.2897711538461274</v>
      </c>
      <c r="L139" s="68">
        <f t="shared" si="113"/>
        <v>0</v>
      </c>
      <c r="M139" s="68">
        <f t="shared" si="113"/>
        <v>0</v>
      </c>
      <c r="N139" s="68">
        <f t="shared" si="113"/>
        <v>0</v>
      </c>
      <c r="O139" s="69">
        <f t="shared" si="113"/>
        <v>0</v>
      </c>
    </row>
    <row r="140" spans="1:18" s="20" customFormat="1" ht="16.5" customHeight="1" thickBot="1" x14ac:dyDescent="0.3">
      <c r="A140" s="261"/>
      <c r="B140" s="262" t="s">
        <v>145</v>
      </c>
      <c r="C140" s="263"/>
      <c r="D140" s="57">
        <f t="shared" ref="D140:O140" si="114">D117+D123+D129+D135</f>
        <v>90.752307692307696</v>
      </c>
      <c r="E140" s="57">
        <f t="shared" si="114"/>
        <v>363.00923076923078</v>
      </c>
      <c r="F140" s="57">
        <f t="shared" si="114"/>
        <v>363.00923076923078</v>
      </c>
      <c r="G140" s="57">
        <f t="shared" si="114"/>
        <v>363.00923076923078</v>
      </c>
      <c r="H140" s="57">
        <f t="shared" si="114"/>
        <v>363.00923076923078</v>
      </c>
      <c r="I140" s="57">
        <f t="shared" si="114"/>
        <v>363.00923076923078</v>
      </c>
      <c r="J140" s="57">
        <f t="shared" si="114"/>
        <v>363.00923076923078</v>
      </c>
      <c r="K140" s="57">
        <f t="shared" si="114"/>
        <v>90.752307692307696</v>
      </c>
      <c r="L140" s="57">
        <f t="shared" si="114"/>
        <v>0</v>
      </c>
      <c r="M140" s="57">
        <f t="shared" si="114"/>
        <v>0</v>
      </c>
      <c r="N140" s="57">
        <f t="shared" si="114"/>
        <v>0</v>
      </c>
      <c r="O140" s="58">
        <f t="shared" si="114"/>
        <v>0</v>
      </c>
    </row>
  </sheetData>
  <mergeCells count="30">
    <mergeCell ref="AU87:AV87"/>
    <mergeCell ref="AW87:AX87"/>
    <mergeCell ref="AY87:AZ87"/>
    <mergeCell ref="BA87:BB87"/>
    <mergeCell ref="BC87:BD87"/>
    <mergeCell ref="AQ87:AR87"/>
    <mergeCell ref="AK87:AL87"/>
    <mergeCell ref="AM87:AN87"/>
    <mergeCell ref="AI87:AJ87"/>
    <mergeCell ref="Y87:Z87"/>
    <mergeCell ref="AA87:AB87"/>
    <mergeCell ref="AC87:AD87"/>
    <mergeCell ref="AE87:AF87"/>
    <mergeCell ref="AG87:AH87"/>
    <mergeCell ref="AS87:AT87"/>
    <mergeCell ref="C2:L2"/>
    <mergeCell ref="B102:C102"/>
    <mergeCell ref="W87:X87"/>
    <mergeCell ref="B4:C4"/>
    <mergeCell ref="E87:F87"/>
    <mergeCell ref="G87:H87"/>
    <mergeCell ref="I87:J87"/>
    <mergeCell ref="K87:L87"/>
    <mergeCell ref="B62:C62"/>
    <mergeCell ref="M87:N87"/>
    <mergeCell ref="O87:P87"/>
    <mergeCell ref="Q87:R87"/>
    <mergeCell ref="S87:T87"/>
    <mergeCell ref="U87:V87"/>
    <mergeCell ref="AO87:AP87"/>
  </mergeCells>
  <pageMargins left="0.7" right="0.7" top="0.75" bottom="0.75" header="0.3" footer="0.3"/>
  <pageSetup orientation="portrait" r:id="rId1"/>
  <ignoredErrors>
    <ignoredError sqref="E96 G96 I96 K96 M96 O96 Q96 S96 U96 W96 Y96 AA96 AC96 AF96 AH96 AJ96 AL96 AN96 AP9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0"/>
  <sheetViews>
    <sheetView showGridLines="0" topLeftCell="A4" workbookViewId="0">
      <selection activeCell="I16" sqref="I16"/>
    </sheetView>
  </sheetViews>
  <sheetFormatPr defaultColWidth="9.140625" defaultRowHeight="15" x14ac:dyDescent="0.25"/>
  <cols>
    <col min="1" max="1" width="9.140625" style="1"/>
    <col min="2" max="2" width="23.42578125" style="1" customWidth="1"/>
    <col min="3" max="5" width="12.7109375" style="1" customWidth="1"/>
    <col min="6" max="6" width="16.28515625" style="1" bestFit="1" customWidth="1"/>
    <col min="7" max="7" width="9.7109375" style="1" bestFit="1" customWidth="1"/>
    <col min="8" max="8" width="18.28515625" style="1" bestFit="1" customWidth="1"/>
    <col min="9" max="10" width="12.28515625" style="1" customWidth="1"/>
    <col min="11" max="11" width="11.5703125" style="1" customWidth="1"/>
    <col min="12" max="12" width="15.5703125" style="1" bestFit="1" customWidth="1"/>
    <col min="13" max="16384" width="9.140625" style="1"/>
  </cols>
  <sheetData>
    <row r="2" spans="1:23" s="138" customFormat="1" ht="24.75" customHeight="1" x14ac:dyDescent="0.25">
      <c r="A2" s="136"/>
      <c r="B2" s="137" t="s">
        <v>23</v>
      </c>
      <c r="C2" s="473" t="str">
        <f>'Project Cost'!C4</f>
        <v>Giriraj Enterprises</v>
      </c>
      <c r="D2" s="473"/>
      <c r="E2" s="473"/>
      <c r="F2" s="473"/>
      <c r="G2" s="473"/>
      <c r="H2" s="473"/>
      <c r="I2" s="473"/>
      <c r="J2" s="473"/>
      <c r="K2" s="473"/>
      <c r="L2" s="473"/>
      <c r="S2" s="139"/>
      <c r="T2" s="140"/>
      <c r="V2" s="141"/>
      <c r="W2" s="141"/>
    </row>
    <row r="3" spans="1:23" x14ac:dyDescent="0.25">
      <c r="J3" s="142">
        <v>0</v>
      </c>
    </row>
    <row r="4" spans="1:23" x14ac:dyDescent="0.25">
      <c r="B4" s="474" t="s">
        <v>67</v>
      </c>
      <c r="C4" s="474"/>
      <c r="J4" s="142"/>
    </row>
    <row r="5" spans="1:23" ht="15.75" thickBot="1" x14ac:dyDescent="0.3"/>
    <row r="6" spans="1:23" s="143" customFormat="1" ht="15.75" thickBot="1" x14ac:dyDescent="0.3">
      <c r="B6" s="198" t="s">
        <v>68</v>
      </c>
      <c r="C6" s="8"/>
      <c r="D6" s="9"/>
      <c r="E6" s="9"/>
      <c r="F6" s="9"/>
    </row>
    <row r="7" spans="1:23" x14ac:dyDescent="0.25">
      <c r="B7" s="144" t="s">
        <v>29</v>
      </c>
      <c r="C7" s="145"/>
      <c r="D7" s="145"/>
      <c r="E7" s="145"/>
      <c r="F7" s="146">
        <v>0</v>
      </c>
      <c r="G7" s="147"/>
    </row>
    <row r="8" spans="1:23" x14ac:dyDescent="0.25">
      <c r="B8" s="148" t="s">
        <v>69</v>
      </c>
      <c r="C8" s="149"/>
      <c r="D8" s="149"/>
      <c r="E8" s="149"/>
      <c r="F8" s="150">
        <v>0</v>
      </c>
      <c r="G8" s="147"/>
    </row>
    <row r="9" spans="1:23" x14ac:dyDescent="0.25">
      <c r="B9" s="148" t="s">
        <v>70</v>
      </c>
      <c r="C9" s="149"/>
      <c r="D9" s="149"/>
      <c r="E9" s="149"/>
      <c r="F9" s="150">
        <v>0</v>
      </c>
      <c r="G9" s="147"/>
    </row>
    <row r="10" spans="1:23" ht="15.75" thickBot="1" x14ac:dyDescent="0.3">
      <c r="B10" s="151" t="s">
        <v>33</v>
      </c>
      <c r="C10" s="152"/>
      <c r="D10" s="152"/>
      <c r="E10" s="152"/>
      <c r="F10" s="153">
        <v>0</v>
      </c>
      <c r="G10" s="147"/>
    </row>
    <row r="11" spans="1:23" s="143" customFormat="1" ht="15.75" thickBot="1" x14ac:dyDescent="0.3">
      <c r="B11" s="10"/>
      <c r="C11" s="10"/>
      <c r="D11" s="10"/>
      <c r="E11" s="10"/>
      <c r="G11" s="154"/>
    </row>
    <row r="12" spans="1:23" s="143" customFormat="1" x14ac:dyDescent="0.25">
      <c r="B12" s="1"/>
      <c r="C12" s="478" t="s">
        <v>8</v>
      </c>
      <c r="D12" s="479"/>
      <c r="E12" s="479" t="s">
        <v>9</v>
      </c>
      <c r="F12" s="480"/>
      <c r="G12" s="154"/>
    </row>
    <row r="13" spans="1:23" s="143" customFormat="1" ht="15.75" thickBot="1" x14ac:dyDescent="0.3">
      <c r="B13" s="9" t="s">
        <v>71</v>
      </c>
      <c r="C13" s="481">
        <f>'P&amp;L Stat.'!C77</f>
        <v>9.3885770440101615E-2</v>
      </c>
      <c r="D13" s="482"/>
      <c r="E13" s="482">
        <f>Benchmark!C12</f>
        <v>0.15996499999999991</v>
      </c>
      <c r="F13" s="483"/>
      <c r="G13" s="154"/>
    </row>
    <row r="14" spans="1:23" s="143" customFormat="1" ht="15.75" thickBot="1" x14ac:dyDescent="0.3">
      <c r="C14" s="9"/>
      <c r="D14" s="9"/>
      <c r="E14" s="9"/>
      <c r="F14" s="9"/>
    </row>
    <row r="15" spans="1:23" ht="15.75" thickBot="1" x14ac:dyDescent="0.3">
      <c r="B15" s="199" t="s">
        <v>72</v>
      </c>
      <c r="C15" s="475" t="s">
        <v>59</v>
      </c>
      <c r="D15" s="476"/>
      <c r="E15" s="476"/>
      <c r="F15" s="477"/>
    </row>
    <row r="16" spans="1:23" s="143" customFormat="1" ht="15.75" thickBot="1" x14ac:dyDescent="0.3">
      <c r="B16" s="8"/>
      <c r="C16" s="157"/>
      <c r="D16" s="157"/>
      <c r="E16" s="157"/>
      <c r="F16" s="157"/>
    </row>
    <row r="17" spans="2:14" ht="15.75" thickBot="1" x14ac:dyDescent="0.3">
      <c r="B17" s="158" t="s">
        <v>73</v>
      </c>
      <c r="C17" s="159">
        <v>-0.1</v>
      </c>
      <c r="D17" s="160" t="s">
        <v>74</v>
      </c>
      <c r="E17" s="159">
        <v>0.1</v>
      </c>
      <c r="F17" s="161" t="s">
        <v>75</v>
      </c>
    </row>
    <row r="18" spans="2:14" x14ac:dyDescent="0.25">
      <c r="B18" s="162" t="s">
        <v>76</v>
      </c>
      <c r="C18" s="163">
        <v>6.6900000000000001E-2</v>
      </c>
      <c r="D18" s="163">
        <f>C13</f>
        <v>9.3885770440101615E-2</v>
      </c>
      <c r="E18" s="163">
        <v>0.1211</v>
      </c>
      <c r="F18" s="164">
        <v>0.23330000000000001</v>
      </c>
    </row>
    <row r="19" spans="2:14" x14ac:dyDescent="0.25">
      <c r="B19" s="166" t="s">
        <v>69</v>
      </c>
      <c r="C19" s="167">
        <v>9.7000000000000003E-2</v>
      </c>
      <c r="D19" s="167">
        <f>D18</f>
        <v>9.3885770440101615E-2</v>
      </c>
      <c r="E19" s="167">
        <v>9.0300000000000005E-2</v>
      </c>
      <c r="F19" s="211">
        <v>-2.036</v>
      </c>
    </row>
    <row r="20" spans="2:14" ht="15.75" thickBot="1" x14ac:dyDescent="0.3">
      <c r="B20" s="168" t="s">
        <v>70</v>
      </c>
      <c r="C20" s="169">
        <v>0.1191</v>
      </c>
      <c r="D20" s="167">
        <f>D18</f>
        <v>9.3885770440101615E-2</v>
      </c>
      <c r="E20" s="169">
        <v>7.3099999999999998E-2</v>
      </c>
      <c r="F20" s="212">
        <v>-0.217</v>
      </c>
    </row>
    <row r="21" spans="2:14" ht="15.75" thickBot="1" x14ac:dyDescent="0.3">
      <c r="B21" s="170" t="s">
        <v>33</v>
      </c>
      <c r="C21" s="171">
        <v>6.6900000000000001E-2</v>
      </c>
      <c r="D21" s="171">
        <f>D18</f>
        <v>9.3885770440101615E-2</v>
      </c>
      <c r="E21" s="171">
        <v>0.1211</v>
      </c>
      <c r="F21" s="164">
        <v>0.23330000000000001</v>
      </c>
    </row>
    <row r="23" spans="2:14" s="143" customFormat="1" x14ac:dyDescent="0.25">
      <c r="G23" s="154"/>
    </row>
    <row r="24" spans="2:14" s="143" customFormat="1" x14ac:dyDescent="0.25">
      <c r="G24" s="154"/>
    </row>
    <row r="25" spans="2:14" s="143" customFormat="1" x14ac:dyDescent="0.25"/>
    <row r="27" spans="2:14" s="143" customFormat="1" x14ac:dyDescent="0.25">
      <c r="G27" s="200"/>
    </row>
    <row r="28" spans="2:14" x14ac:dyDescent="0.25">
      <c r="K28" s="143"/>
      <c r="L28" s="155"/>
      <c r="M28" s="143"/>
      <c r="N28" s="156"/>
    </row>
    <row r="29" spans="2:14" x14ac:dyDescent="0.25">
      <c r="K29" s="143"/>
      <c r="L29" s="10"/>
      <c r="M29" s="143"/>
      <c r="N29" s="165"/>
    </row>
    <row r="30" spans="2:14" x14ac:dyDescent="0.25">
      <c r="K30" s="143"/>
      <c r="L30" s="143"/>
      <c r="M30" s="143"/>
      <c r="N30" s="143"/>
    </row>
  </sheetData>
  <mergeCells count="7">
    <mergeCell ref="C2:L2"/>
    <mergeCell ref="B4:C4"/>
    <mergeCell ref="C15:F15"/>
    <mergeCell ref="C12:D12"/>
    <mergeCell ref="E12:F12"/>
    <mergeCell ref="C13:D13"/>
    <mergeCell ref="E13:F13"/>
  </mergeCells>
  <pageMargins left="0.7" right="0.7" top="0.75" bottom="0.75" header="0.3" footer="0.3"/>
  <pageSetup paperSize="9"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showGridLines="0" workbookViewId="0">
      <selection activeCell="C11" sqref="C11"/>
    </sheetView>
  </sheetViews>
  <sheetFormatPr defaultRowHeight="15" x14ac:dyDescent="0.25"/>
  <cols>
    <col min="1" max="1" width="1.85546875" customWidth="1"/>
    <col min="2" max="2" width="39.5703125" customWidth="1"/>
    <col min="3" max="3" width="8.28515625" customWidth="1"/>
    <col min="4" max="4" width="53.7109375" customWidth="1"/>
    <col min="5" max="5" width="17.28515625" customWidth="1"/>
    <col min="7" max="7" width="13.140625" customWidth="1"/>
  </cols>
  <sheetData>
    <row r="2" spans="2:7" ht="18.75" x14ac:dyDescent="0.25">
      <c r="B2" s="287" t="s">
        <v>164</v>
      </c>
      <c r="C2" s="214"/>
      <c r="D2" s="214"/>
      <c r="E2" s="2"/>
      <c r="F2" s="2"/>
      <c r="G2" s="2"/>
    </row>
    <row r="3" spans="2:7" x14ac:dyDescent="0.25">
      <c r="B3" s="489" t="s">
        <v>199</v>
      </c>
      <c r="C3" s="489"/>
      <c r="D3" s="214"/>
      <c r="E3" s="2"/>
      <c r="F3" s="2"/>
      <c r="G3" s="2"/>
    </row>
    <row r="4" spans="2:7" ht="15.75" thickBot="1" x14ac:dyDescent="0.3">
      <c r="B4" s="288"/>
      <c r="C4" s="288"/>
      <c r="D4" s="1"/>
      <c r="E4" s="1"/>
      <c r="F4" s="1"/>
      <c r="G4" s="1"/>
    </row>
    <row r="5" spans="2:7" x14ac:dyDescent="0.25">
      <c r="B5" s="486" t="s">
        <v>200</v>
      </c>
      <c r="C5" s="487"/>
      <c r="D5" s="488"/>
    </row>
    <row r="6" spans="2:7" ht="31.5" x14ac:dyDescent="0.5">
      <c r="B6" s="484" t="s">
        <v>163</v>
      </c>
      <c r="C6" s="485"/>
      <c r="D6" s="286">
        <f>C12</f>
        <v>0.15996499999999991</v>
      </c>
    </row>
    <row r="7" spans="2:7" ht="15.75" thickBot="1" x14ac:dyDescent="0.3"/>
    <row r="8" spans="2:7" x14ac:dyDescent="0.25">
      <c r="B8" s="264" t="s">
        <v>146</v>
      </c>
      <c r="C8" s="265" t="s">
        <v>147</v>
      </c>
      <c r="D8" s="266" t="s">
        <v>148</v>
      </c>
      <c r="E8" s="272" t="s">
        <v>149</v>
      </c>
      <c r="G8" s="418" t="s">
        <v>210</v>
      </c>
    </row>
    <row r="9" spans="2:7" ht="30" x14ac:dyDescent="0.25">
      <c r="B9" s="269" t="s">
        <v>150</v>
      </c>
      <c r="C9" s="268">
        <v>0.11749999999999999</v>
      </c>
      <c r="D9" s="284" t="s">
        <v>201</v>
      </c>
      <c r="E9" s="405">
        <v>40739</v>
      </c>
      <c r="G9" s="420">
        <v>42160</v>
      </c>
    </row>
    <row r="10" spans="2:7" ht="15" customHeight="1" x14ac:dyDescent="0.25">
      <c r="B10" s="269" t="s">
        <v>182</v>
      </c>
      <c r="C10" s="401">
        <v>3.7999999999999999E-2</v>
      </c>
      <c r="D10" s="404" t="s">
        <v>202</v>
      </c>
      <c r="E10" s="405">
        <v>42158</v>
      </c>
    </row>
    <row r="11" spans="2:7" x14ac:dyDescent="0.25">
      <c r="B11" s="267" t="s">
        <v>151</v>
      </c>
      <c r="C11" s="282">
        <f>((1+$C$9)*(1+C10))-1</f>
        <v>0.15996499999999991</v>
      </c>
      <c r="D11" s="285" t="s">
        <v>162</v>
      </c>
      <c r="E11" s="406"/>
    </row>
    <row r="12" spans="2:7" x14ac:dyDescent="0.25">
      <c r="B12" s="270" t="s">
        <v>175</v>
      </c>
      <c r="C12" s="283">
        <f>C11</f>
        <v>0.15996499999999991</v>
      </c>
      <c r="D12" s="285" t="s">
        <v>162</v>
      </c>
      <c r="E12" s="407"/>
    </row>
    <row r="13" spans="2:7" ht="15.75" thickBot="1" x14ac:dyDescent="0.3">
      <c r="B13" s="271"/>
      <c r="C13" s="275"/>
      <c r="D13" s="275"/>
      <c r="E13" s="408"/>
    </row>
  </sheetData>
  <mergeCells count="3">
    <mergeCell ref="B6:C6"/>
    <mergeCell ref="B5:D5"/>
    <mergeCell ref="B3:C3"/>
  </mergeCells>
  <hyperlinks>
    <hyperlink ref="D9" r:id="rId1" display="http://cdm.unfccc.int/Reference/Guidclarif/reg/reg_guid03.pdf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Cost</vt:lpstr>
      <vt:lpstr>Assumption</vt:lpstr>
      <vt:lpstr>P&amp;L Stat.</vt:lpstr>
      <vt:lpstr>Sensitivity</vt:lpstr>
      <vt:lpstr>Benchmark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Jain</dc:creator>
  <cp:lastModifiedBy>EKI</cp:lastModifiedBy>
  <dcterms:created xsi:type="dcterms:W3CDTF">2011-11-30T11:45:26Z</dcterms:created>
  <dcterms:modified xsi:type="dcterms:W3CDTF">2017-03-30T10:01:15Z</dcterms:modified>
</cp:coreProperties>
</file>