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VCS\1856\New Verification\Issuance_1st May 2024 to 28th Feb 2025\"/>
    </mc:Choice>
  </mc:AlternateContent>
  <xr:revisionPtr revIDLastSave="0" documentId="13_ncr:1_{CE7DF015-E602-4B74-8432-DA57C5E99B24}" xr6:coauthVersionLast="47" xr6:coauthVersionMax="47" xr10:uidLastSave="{00000000-0000-0000-0000-000000000000}"/>
  <bookViews>
    <workbookView xWindow="-120" yWindow="-120" windowWidth="20730" windowHeight="11040" tabRatio="806" activeTab="3" xr2:uid="{00000000-000D-0000-FFFF-FFFF00000000}"/>
  </bookViews>
  <sheets>
    <sheet name="Summary" sheetId="2" r:id="rId1"/>
    <sheet name="Emission Reductions" sheetId="1" r:id="rId2"/>
    <sheet name="Comparison of ER" sheetId="3" r:id="rId3"/>
    <sheet name="Total ERs &amp; EGpj,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J41" i="1"/>
  <c r="L27" i="1"/>
  <c r="L13" i="1"/>
  <c r="L5" i="3"/>
  <c r="L3" i="3"/>
  <c r="L4" i="3"/>
  <c r="G4" i="1" l="1"/>
  <c r="G5" i="1"/>
  <c r="G6" i="1"/>
  <c r="G7" i="1"/>
  <c r="G8" i="1"/>
  <c r="G9" i="1"/>
  <c r="G10" i="1"/>
  <c r="G11" i="1"/>
  <c r="G12" i="1"/>
  <c r="G3" i="1"/>
  <c r="F13" i="1"/>
  <c r="F4" i="1"/>
  <c r="F5" i="1"/>
  <c r="F6" i="1"/>
  <c r="F7" i="1"/>
  <c r="F8" i="1"/>
  <c r="F9" i="1"/>
  <c r="F10" i="1"/>
  <c r="F11" i="1"/>
  <c r="F12" i="1"/>
  <c r="F3" i="1"/>
  <c r="D13" i="1"/>
  <c r="D5" i="1"/>
  <c r="D6" i="1"/>
  <c r="D7" i="1"/>
  <c r="D8" i="1"/>
  <c r="D9" i="1"/>
  <c r="D10" i="1"/>
  <c r="D11" i="1"/>
  <c r="D12" i="1"/>
  <c r="D4" i="1"/>
  <c r="D3" i="1"/>
  <c r="E39" i="1" l="1"/>
  <c r="G39" i="1"/>
  <c r="J39" i="1" s="1"/>
  <c r="E38" i="1"/>
  <c r="G38" i="1"/>
  <c r="J38" i="1" s="1"/>
  <c r="D41" i="1"/>
  <c r="E12" i="1" l="1"/>
  <c r="C12" i="1"/>
  <c r="I11" i="1"/>
  <c r="L11" i="1" s="1"/>
  <c r="E11" i="1"/>
  <c r="C11" i="1"/>
  <c r="E9" i="1"/>
  <c r="C9" i="1"/>
  <c r="I10" i="1"/>
  <c r="L10" i="1" s="1"/>
  <c r="E10" i="1"/>
  <c r="C10" i="1"/>
  <c r="E8" i="1"/>
  <c r="C8" i="1"/>
  <c r="E7" i="1"/>
  <c r="C7" i="1"/>
  <c r="E6" i="1"/>
  <c r="C6" i="1"/>
  <c r="E5" i="1"/>
  <c r="C5" i="1"/>
  <c r="E4" i="1"/>
  <c r="C4" i="1"/>
  <c r="E3" i="1"/>
  <c r="C3" i="1"/>
  <c r="E26" i="1"/>
  <c r="F26" i="1" s="1"/>
  <c r="C26" i="1"/>
  <c r="D26" i="1" s="1"/>
  <c r="G26" i="1" s="1"/>
  <c r="E25" i="1"/>
  <c r="F25" i="1" s="1"/>
  <c r="C25" i="1"/>
  <c r="D25" i="1" s="1"/>
  <c r="G25" i="1" s="1"/>
  <c r="I25" i="1" s="1"/>
  <c r="L25" i="1" s="1"/>
  <c r="E24" i="1"/>
  <c r="F24" i="1" s="1"/>
  <c r="C24" i="1"/>
  <c r="D24" i="1" s="1"/>
  <c r="G24" i="1" s="1"/>
  <c r="I24" i="1" s="1"/>
  <c r="L24" i="1" s="1"/>
  <c r="E23" i="1"/>
  <c r="F23" i="1" s="1"/>
  <c r="C23" i="1"/>
  <c r="D23" i="1" s="1"/>
  <c r="G23" i="1" s="1"/>
  <c r="E22" i="1"/>
  <c r="F22" i="1" s="1"/>
  <c r="C22" i="1"/>
  <c r="D22" i="1" s="1"/>
  <c r="G22" i="1" s="1"/>
  <c r="E21" i="1"/>
  <c r="F21" i="1" s="1"/>
  <c r="C21" i="1"/>
  <c r="D21" i="1" s="1"/>
  <c r="E20" i="1"/>
  <c r="F20" i="1" s="1"/>
  <c r="C20" i="1"/>
  <c r="D20" i="1" s="1"/>
  <c r="G20" i="1" s="1"/>
  <c r="E19" i="1"/>
  <c r="F19" i="1" s="1"/>
  <c r="C19" i="1"/>
  <c r="D19" i="1" s="1"/>
  <c r="G19" i="1" s="1"/>
  <c r="E18" i="1"/>
  <c r="F18" i="1" s="1"/>
  <c r="C18" i="1"/>
  <c r="D18" i="1" s="1"/>
  <c r="G18" i="1" s="1"/>
  <c r="E17" i="1"/>
  <c r="F17" i="1" s="1"/>
  <c r="C17" i="1"/>
  <c r="D17" i="1" s="1"/>
  <c r="H41" i="1"/>
  <c r="I41" i="1"/>
  <c r="J27" i="1"/>
  <c r="K27" i="1"/>
  <c r="D27" i="1" l="1"/>
  <c r="G17" i="1"/>
  <c r="G21" i="1"/>
  <c r="F27" i="1"/>
  <c r="J4" i="3"/>
  <c r="K4" i="3" s="1"/>
  <c r="J3" i="3"/>
  <c r="K3" i="3" s="1"/>
  <c r="B3" i="3"/>
  <c r="B5" i="3" s="1"/>
  <c r="K5" i="3" l="1"/>
  <c r="J5" i="3"/>
  <c r="E32" i="1" l="1"/>
  <c r="G32" i="1" s="1"/>
  <c r="J32" i="1" s="1"/>
  <c r="E33" i="1"/>
  <c r="G33" i="1" s="1"/>
  <c r="J33" i="1" s="1"/>
  <c r="E34" i="1"/>
  <c r="G34" i="1" s="1"/>
  <c r="J34" i="1" s="1"/>
  <c r="E35" i="1"/>
  <c r="G35" i="1" s="1"/>
  <c r="J35" i="1" s="1"/>
  <c r="E36" i="1"/>
  <c r="G36" i="1" s="1"/>
  <c r="J36" i="1" s="1"/>
  <c r="E37" i="1"/>
  <c r="G37" i="1" s="1"/>
  <c r="J37" i="1" s="1"/>
  <c r="E40" i="1"/>
  <c r="G40" i="1" s="1"/>
  <c r="J40" i="1" s="1"/>
  <c r="E31" i="1"/>
  <c r="G31" i="1" s="1"/>
  <c r="J31" i="1" s="1"/>
  <c r="C41" i="1"/>
  <c r="I26" i="1"/>
  <c r="L26" i="1" s="1"/>
  <c r="I12" i="1"/>
  <c r="L12" i="1" s="1"/>
  <c r="I18" i="1" l="1"/>
  <c r="L18" i="1" s="1"/>
  <c r="I23" i="1"/>
  <c r="L23" i="1" s="1"/>
  <c r="I6" i="1"/>
  <c r="L6" i="1" s="1"/>
  <c r="I20" i="1"/>
  <c r="L20" i="1" s="1"/>
  <c r="I8" i="1"/>
  <c r="L8" i="1" s="1"/>
  <c r="I22" i="1"/>
  <c r="L22" i="1" s="1"/>
  <c r="I17" i="1"/>
  <c r="L17" i="1" s="1"/>
  <c r="I7" i="1"/>
  <c r="L7" i="1" s="1"/>
  <c r="I21" i="1"/>
  <c r="L21" i="1" s="1"/>
  <c r="E27" i="1"/>
  <c r="I19" i="1"/>
  <c r="L19" i="1" s="1"/>
  <c r="C27" i="1"/>
  <c r="I4" i="1"/>
  <c r="L4" i="1" s="1"/>
  <c r="I5" i="1"/>
  <c r="L5" i="1" s="1"/>
  <c r="I9" i="1"/>
  <c r="L9" i="1" s="1"/>
  <c r="C13" i="1"/>
  <c r="E13" i="1"/>
  <c r="I3" i="1"/>
  <c r="L3" i="1" s="1"/>
  <c r="G41" i="1"/>
  <c r="E41" i="1"/>
  <c r="M4" i="3" l="1"/>
  <c r="G27" i="1"/>
  <c r="I27" i="1"/>
  <c r="G13" i="1"/>
  <c r="E8" i="4" l="1"/>
  <c r="D9" i="4"/>
  <c r="I13" i="1"/>
  <c r="M3" i="3" l="1"/>
  <c r="M5" i="3" l="1"/>
  <c r="E9" i="4"/>
</calcChain>
</file>

<file path=xl/sharedStrings.xml><?xml version="1.0" encoding="utf-8"?>
<sst xmlns="http://schemas.openxmlformats.org/spreadsheetml/2006/main" count="61" uniqueCount="44">
  <si>
    <t>Green Infra Wind Energy Limited</t>
  </si>
  <si>
    <t>Green Infra Wind Solutions Limited</t>
  </si>
  <si>
    <t>BUNDLED WIND POWER PROJECT BY 
SEMBCORP GREEN INFRA LIMITED IN 
INDIA</t>
  </si>
  <si>
    <t>TOTAL</t>
  </si>
  <si>
    <t>Project: 1- 22 MW</t>
  </si>
  <si>
    <t>Project: 3- 49.5 MW</t>
  </si>
  <si>
    <t>Project: 2- 24 MW</t>
  </si>
  <si>
    <t>Energy-Export (KWH)</t>
  </si>
  <si>
    <t>Energy-Import (KWH)</t>
  </si>
  <si>
    <t>Monitoring Period</t>
  </si>
  <si>
    <t>From</t>
  </si>
  <si>
    <t>To</t>
  </si>
  <si>
    <t>No. of Days of current monitoring period</t>
  </si>
  <si>
    <t>Annual estimated emission reduction as per as PDD for 365 Days</t>
  </si>
  <si>
    <t>Version:</t>
  </si>
  <si>
    <t>Completion Date:</t>
  </si>
  <si>
    <t>Annual estimated emission reduction as per as PDD for 396 Days</t>
  </si>
  <si>
    <t>Total</t>
  </si>
  <si>
    <t>Energy-Export (MWH)</t>
  </si>
  <si>
    <t>Energy-Import (MWH)</t>
  </si>
  <si>
    <t>Net electricity (MWH)</t>
  </si>
  <si>
    <t>Vintage Year</t>
  </si>
  <si>
    <t>Duration Start</t>
  </si>
  <si>
    <t>Duration End</t>
  </si>
  <si>
    <t>Days</t>
  </si>
  <si>
    <t>Ex-ante Ers as per VCS PD</t>
  </si>
  <si>
    <t>% difference</t>
  </si>
  <si>
    <t>MP</t>
  </si>
  <si>
    <t>MP Start Date</t>
  </si>
  <si>
    <t>MP End Date</t>
  </si>
  <si>
    <t>ER</t>
  </si>
  <si>
    <r>
      <t>EG</t>
    </r>
    <r>
      <rPr>
        <b/>
        <vertAlign val="subscript"/>
        <sz val="11"/>
        <color theme="1"/>
        <rFont val="Calibri"/>
        <family val="2"/>
        <scheme val="minor"/>
      </rPr>
      <t>PJ,y</t>
    </r>
  </si>
  <si>
    <t>Project Title:</t>
  </si>
  <si>
    <t>VCS ID:</t>
  </si>
  <si>
    <t>Crediting Period</t>
  </si>
  <si>
    <t>02/03/2017 to 01/03/2027</t>
  </si>
  <si>
    <r>
      <rPr>
        <sz val="10"/>
        <color theme="0"/>
        <rFont val="Franklin Gothic Book"/>
        <family val="2"/>
      </rPr>
      <t>PEy
tCO</t>
    </r>
    <r>
      <rPr>
        <vertAlign val="subscript"/>
        <sz val="10"/>
        <color theme="0"/>
        <rFont val="Franklin Gothic Book"/>
        <family val="2"/>
      </rPr>
      <t>2</t>
    </r>
  </si>
  <si>
    <r>
      <rPr>
        <sz val="10"/>
        <color theme="0"/>
        <rFont val="Franklin Gothic Book"/>
        <family val="2"/>
      </rPr>
      <t>LEy
tCO</t>
    </r>
    <r>
      <rPr>
        <vertAlign val="subscript"/>
        <sz val="10"/>
        <color theme="0"/>
        <rFont val="Franklin Gothic Book"/>
        <family val="2"/>
      </rPr>
      <t>2</t>
    </r>
  </si>
  <si>
    <r>
      <rPr>
        <sz val="10"/>
        <color theme="0"/>
        <rFont val="Franklin Gothic Book"/>
        <family val="2"/>
      </rPr>
      <t>ERy
tCO</t>
    </r>
    <r>
      <rPr>
        <vertAlign val="subscript"/>
        <sz val="10"/>
        <color theme="0"/>
        <rFont val="Franklin Gothic Book"/>
        <family val="2"/>
      </rPr>
      <t>2</t>
    </r>
  </si>
  <si>
    <t>Actual ERs achieved</t>
  </si>
  <si>
    <t>01/05/2024 to 28/02/2025</t>
  </si>
  <si>
    <t>Energy Export (MWH) with EF*</t>
  </si>
  <si>
    <t>Energy Import (MWH) with EF*</t>
  </si>
  <si>
    <t xml:space="preserve">*As the calibration certificate for the check meters is not available, the project owner has taken a conservative approach for the emission reduction calculation and has applied 0.2% error factor throughout the monitoring period wherein 0.2% is substracted from export and 0.2% is added in the import values.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</si>
</sst>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#,##0.0000"/>
    <numFmt numFmtId="168" formatCode="[$-14009]dd/mm/yyyy;@"/>
    <numFmt numFmtId="169" formatCode="0.0%"/>
    <numFmt numFmtId="170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entury Gothic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0"/>
      <color theme="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6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0" fillId="0" borderId="10" xfId="0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0" fontId="0" fillId="0" borderId="12" xfId="0" applyBorder="1"/>
    <xf numFmtId="0" fontId="0" fillId="2" borderId="1" xfId="0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8" fontId="7" fillId="4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70" fontId="0" fillId="0" borderId="1" xfId="5" applyNumberFormat="1" applyFont="1" applyBorder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166" fontId="2" fillId="5" borderId="0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top" wrapText="1"/>
    </xf>
    <xf numFmtId="170" fontId="0" fillId="0" borderId="12" xfId="5" applyNumberFormat="1" applyFont="1" applyBorder="1"/>
    <xf numFmtId="170" fontId="0" fillId="0" borderId="1" xfId="0" applyNumberFormat="1" applyBorder="1"/>
    <xf numFmtId="17" fontId="3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0" fontId="0" fillId="2" borderId="1" xfId="5" applyNumberFormat="1" applyFont="1" applyFill="1" applyBorder="1"/>
    <xf numFmtId="169" fontId="0" fillId="2" borderId="11" xfId="2" applyNumberFormat="1" applyFont="1" applyFill="1" applyBorder="1"/>
    <xf numFmtId="170" fontId="0" fillId="2" borderId="12" xfId="5" applyNumberFormat="1" applyFont="1" applyFill="1" applyBorder="1"/>
    <xf numFmtId="169" fontId="0" fillId="2" borderId="13" xfId="2" applyNumberFormat="1" applyFont="1" applyFill="1" applyBorder="1"/>
    <xf numFmtId="1" fontId="3" fillId="2" borderId="0" xfId="0" applyNumberFormat="1" applyFont="1" applyFill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70" fontId="3" fillId="2" borderId="4" xfId="5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0" fillId="2" borderId="14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70" fontId="3" fillId="2" borderId="4" xfId="5" applyNumberFormat="1" applyFont="1" applyFill="1" applyBorder="1" applyAlignment="1">
      <alignment vertical="center" wrapText="1"/>
    </xf>
  </cellXfs>
  <cellStyles count="6">
    <cellStyle name="Comma" xfId="5" builtinId="3"/>
    <cellStyle name="Comma 10" xfId="1" xr:uid="{54C3DBBC-2E4A-460F-8088-8F8842919069}"/>
    <cellStyle name="Comma 2 2" xfId="3" xr:uid="{CE898A39-CACE-4D11-90CB-57964B169A98}"/>
    <cellStyle name="Normal" xfId="0" builtinId="0"/>
    <cellStyle name="Percent" xfId="2" builtinId="5"/>
    <cellStyle name="Percent 2" xfId="4" xr:uid="{29846554-B3BD-4218-A4D1-C2277737E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176212</xdr:rowOff>
    </xdr:from>
    <xdr:ext cx="645818" cy="4589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1312656-BD7F-8F51-F58E-8ED79E97CAEF}"/>
                </a:ext>
              </a:extLst>
            </xdr:cNvPr>
            <xdr:cNvSpPr txBox="1"/>
          </xdr:nvSpPr>
          <xdr:spPr>
            <a:xfrm>
              <a:off x="4479925" y="449262"/>
              <a:ext cx="645818" cy="4589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i="0">
                  <a:solidFill>
                    <a:schemeClr val="bg1"/>
                  </a:solidFill>
                  <a:latin typeface="Franklin Gothic Book" panose="020B0503020102020204" pitchFamily="34" charset="0"/>
                </a:rPr>
                <a:t>tCO2/MWH</a:t>
              </a:r>
            </a:p>
            <a:p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1312656-BD7F-8F51-F58E-8ED79E97CAEF}"/>
                </a:ext>
              </a:extLst>
            </xdr:cNvPr>
            <xdr:cNvSpPr txBox="1"/>
          </xdr:nvSpPr>
          <xdr:spPr>
            <a:xfrm>
              <a:off x="4479925" y="449262"/>
              <a:ext cx="645818" cy="4589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i="0">
                  <a:solidFill>
                    <a:schemeClr val="bg1"/>
                  </a:solidFill>
                  <a:latin typeface="Franklin Gothic Book" panose="020B0503020102020204" pitchFamily="34" charset="0"/>
                </a:rPr>
                <a:t>tCO2/MWH</a:t>
              </a:r>
            </a:p>
            <a:p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0</xdr:row>
      <xdr:rowOff>167230</xdr:rowOff>
    </xdr:from>
    <xdr:ext cx="300595" cy="31861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C642CF1-6739-5E79-FE27-172A76A5A2B0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C642CF1-6739-5E79-FE27-172A76A5A2B0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123825</xdr:colOff>
      <xdr:row>14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4FFCCA-F218-4033-9972-7E7C392DD571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04FFCCA-F218-4033-9972-7E7C392DD571}"/>
                </a:ext>
              </a:extLst>
            </xdr:cNvPr>
            <xdr:cNvSpPr txBox="1"/>
          </xdr:nvSpPr>
          <xdr:spPr>
            <a:xfrm>
              <a:off x="5095875" y="4524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14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8F9BBE-8BD9-4E76-992B-7A16543155C2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8F9BBE-8BD9-4E76-992B-7A16543155C2}"/>
                </a:ext>
              </a:extLst>
            </xdr:cNvPr>
            <xdr:cNvSpPr txBox="1"/>
          </xdr:nvSpPr>
          <xdr:spPr>
            <a:xfrm>
              <a:off x="6101995" y="4434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123825</xdr:colOff>
      <xdr:row>28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C62843-6036-4F29-83BC-D50D8E2717AA}"/>
                </a:ext>
              </a:extLst>
            </xdr:cNvPr>
            <xdr:cNvSpPr txBox="1"/>
          </xdr:nvSpPr>
          <xdr:spPr>
            <a:xfrm>
              <a:off x="5095875" y="37290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C62843-6036-4F29-83BC-D50D8E2717AA}"/>
                </a:ext>
              </a:extLst>
            </xdr:cNvPr>
            <xdr:cNvSpPr txBox="1"/>
          </xdr:nvSpPr>
          <xdr:spPr>
            <a:xfrm>
              <a:off x="5095875" y="3729037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291745</xdr:colOff>
      <xdr:row>28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34B43F-DF3B-4D4C-BE00-5096C67818F8}"/>
                </a:ext>
              </a:extLst>
            </xdr:cNvPr>
            <xdr:cNvSpPr txBox="1"/>
          </xdr:nvSpPr>
          <xdr:spPr>
            <a:xfrm>
              <a:off x="6101995" y="37200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34B43F-DF3B-4D4C-BE00-5096C67818F8}"/>
                </a:ext>
              </a:extLst>
            </xdr:cNvPr>
            <xdr:cNvSpPr txBox="1"/>
          </xdr:nvSpPr>
          <xdr:spPr>
            <a:xfrm>
              <a:off x="6101995" y="3720055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8</xdr:col>
      <xdr:colOff>291745</xdr:colOff>
      <xdr:row>14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0BB6C7F-D33B-4DEF-B08B-34778F08BBBC}"/>
                </a:ext>
              </a:extLst>
            </xdr:cNvPr>
            <xdr:cNvSpPr txBox="1"/>
          </xdr:nvSpPr>
          <xdr:spPr>
            <a:xfrm>
              <a:off x="5524145" y="440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0BB6C7F-D33B-4DEF-B08B-34778F08BBBC}"/>
                </a:ext>
              </a:extLst>
            </xdr:cNvPr>
            <xdr:cNvSpPr txBox="1"/>
          </xdr:nvSpPr>
          <xdr:spPr>
            <a:xfrm>
              <a:off x="5524145" y="440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123825</xdr:colOff>
      <xdr:row>28</xdr:row>
      <xdr:rowOff>176212</xdr:rowOff>
    </xdr:from>
    <xdr:ext cx="698781" cy="318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2CD41AE-8ABE-41F8-9ADA-6C9453F058D2}"/>
                </a:ext>
              </a:extLst>
            </xdr:cNvPr>
            <xdr:cNvSpPr txBox="1"/>
          </xdr:nvSpPr>
          <xdr:spPr>
            <a:xfrm>
              <a:off x="4479925" y="2862262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EF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Grid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CM</m:t>
                        </m:r>
                        <m: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y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IN" sz="1000" b="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MWH</m:t>
                        </m:r>
                      </m:num>
                      <m:den>
                        <m:sSub>
                          <m:sSubPr>
                            <m:ctrlPr>
                              <a:rPr lang="en-IN" sz="10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tCO</m:t>
                            </m:r>
                          </m:e>
                          <m:sub>
                            <m:r>
                              <a:rPr lang="en-IN" sz="1000" b="0" i="0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2CD41AE-8ABE-41F8-9ADA-6C9453F058D2}"/>
                </a:ext>
              </a:extLst>
            </xdr:cNvPr>
            <xdr:cNvSpPr txBox="1"/>
          </xdr:nvSpPr>
          <xdr:spPr>
            <a:xfrm>
              <a:off x="4479925" y="2862262"/>
              <a:ext cx="698781" cy="318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EF_(Grid,CM,y)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  <a:p>
              <a:pPr/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MWH∕tCO_2 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291745</xdr:colOff>
      <xdr:row>28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24BD17C-6001-4086-BD72-3C3678A25BAF}"/>
                </a:ext>
              </a:extLst>
            </xdr:cNvPr>
            <xdr:cNvSpPr txBox="1"/>
          </xdr:nvSpPr>
          <xdr:spPr>
            <a:xfrm>
              <a:off x="5524145" y="2853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24BD17C-6001-4086-BD72-3C3678A25BAF}"/>
                </a:ext>
              </a:extLst>
            </xdr:cNvPr>
            <xdr:cNvSpPr txBox="1"/>
          </xdr:nvSpPr>
          <xdr:spPr>
            <a:xfrm>
              <a:off x="5524145" y="2853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291745</xdr:colOff>
      <xdr:row>28</xdr:row>
      <xdr:rowOff>167230</xdr:rowOff>
    </xdr:from>
    <xdr:ext cx="300595" cy="3186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7E65BCC-B0DB-499F-9D61-84FDFC174B3F}"/>
                </a:ext>
              </a:extLst>
            </xdr:cNvPr>
            <xdr:cNvSpPr txBox="1"/>
          </xdr:nvSpPr>
          <xdr:spPr>
            <a:xfrm>
              <a:off x="5524145" y="2853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IN" sz="10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BE</m:t>
                      </m:r>
                    </m:e>
                    <m:sub>
                      <m:r>
                        <m:rPr>
                          <m:sty m:val="p"/>
                        </m:rPr>
                        <a:rPr lang="en-IN" sz="1000" b="0" i="0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</a:rPr>
                        <m:t>y</m:t>
                      </m:r>
                    </m:sub>
                  </m:sSub>
                </m:oMath>
              </a14:m>
              <a:endParaRPr lang="en-IN" sz="1000">
                <a:solidFill>
                  <a:schemeClr val="bg1"/>
                </a:solidFill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IN" sz="10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𝑡𝐶𝑂</m:t>
                        </m:r>
                      </m:e>
                      <m:sub>
                        <m:r>
                          <a:rPr lang="en-IN" sz="10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7E65BCC-B0DB-499F-9D61-84FDFC174B3F}"/>
                </a:ext>
              </a:extLst>
            </xdr:cNvPr>
            <xdr:cNvSpPr txBox="1"/>
          </xdr:nvSpPr>
          <xdr:spPr>
            <a:xfrm>
              <a:off x="5524145" y="2853280"/>
              <a:ext cx="300595" cy="3186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IN" sz="1000" i="0" baseline="0">
                  <a:solidFill>
                    <a:schemeClr val="bg1"/>
                  </a:solidFill>
                  <a:latin typeface="+mn-lt"/>
                </a:rPr>
                <a:t> 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BE_y</a:t>
              </a:r>
              <a:endParaRPr lang="en-IN" sz="1000">
                <a:solidFill>
                  <a:schemeClr val="bg1"/>
                </a:solidFill>
              </a:endParaRPr>
            </a:p>
            <a:p>
              <a:pPr algn="ctr"/>
              <a:r>
                <a:rPr lang="en-IN" sz="1000" i="0">
                  <a:solidFill>
                    <a:schemeClr val="bg1"/>
                  </a:solidFill>
                  <a:latin typeface="Cambria Math" panose="02040503050406030204" pitchFamily="18" charset="0"/>
                </a:rPr>
                <a:t>〖</a:t>
              </a:r>
              <a:r>
                <a:rPr lang="en-IN" sz="10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𝑡𝐶𝑂〗_2</a:t>
              </a:r>
              <a:endParaRPr lang="en-IN" sz="1000" i="0">
                <a:solidFill>
                  <a:schemeClr val="bg1"/>
                </a:solidFill>
                <a:latin typeface="Franklin Gothic Book" panose="020B050302010202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6FBA-369E-42FB-87FF-DA434AB489D0}">
  <dimension ref="A1:H20"/>
  <sheetViews>
    <sheetView showGridLines="0" workbookViewId="0">
      <selection activeCell="C7" sqref="C7"/>
    </sheetView>
  </sheetViews>
  <sheetFormatPr defaultColWidth="9.140625" defaultRowHeight="15" x14ac:dyDescent="0.25"/>
  <cols>
    <col min="1" max="1" width="16" style="11" bestFit="1" customWidth="1"/>
    <col min="2" max="2" width="74.5703125" style="11" bestFit="1" customWidth="1"/>
    <col min="3" max="3" width="15.85546875" style="11" customWidth="1"/>
    <col min="4" max="4" width="10.7109375" style="11" bestFit="1" customWidth="1"/>
    <col min="5" max="5" width="11.42578125" style="11" bestFit="1" customWidth="1"/>
    <col min="6" max="6" width="12.85546875" style="11" bestFit="1" customWidth="1"/>
    <col min="7" max="7" width="11.85546875" style="11" bestFit="1" customWidth="1"/>
    <col min="8" max="8" width="9.140625" style="11"/>
    <col min="9" max="9" width="22.42578125" style="11" bestFit="1" customWidth="1"/>
    <col min="10" max="10" width="17.5703125" style="11" bestFit="1" customWidth="1"/>
    <col min="11" max="16384" width="9.140625" style="11"/>
  </cols>
  <sheetData>
    <row r="1" spans="1:8" x14ac:dyDescent="0.25">
      <c r="A1" s="28" t="s">
        <v>32</v>
      </c>
      <c r="B1" s="26" t="s">
        <v>2</v>
      </c>
      <c r="C1" s="24"/>
      <c r="D1" s="24"/>
      <c r="E1" s="24"/>
      <c r="F1" s="24"/>
      <c r="G1"/>
      <c r="H1"/>
    </row>
    <row r="2" spans="1:8" s="10" customFormat="1" x14ac:dyDescent="0.25">
      <c r="A2" s="28" t="s">
        <v>14</v>
      </c>
      <c r="B2" s="26">
        <v>1.1000000000000001</v>
      </c>
      <c r="C2" s="25"/>
      <c r="D2" s="25"/>
      <c r="E2" s="25"/>
      <c r="F2" s="25"/>
      <c r="G2"/>
      <c r="H2"/>
    </row>
    <row r="3" spans="1:8" s="10" customFormat="1" x14ac:dyDescent="0.25">
      <c r="A3" s="28" t="s">
        <v>15</v>
      </c>
      <c r="B3" s="27">
        <v>45736</v>
      </c>
      <c r="C3" s="25"/>
      <c r="D3" s="25"/>
      <c r="E3" s="25"/>
      <c r="F3" s="25"/>
      <c r="G3"/>
      <c r="H3"/>
    </row>
    <row r="4" spans="1:8" s="10" customFormat="1" x14ac:dyDescent="0.25">
      <c r="A4" s="28" t="s">
        <v>33</v>
      </c>
      <c r="B4" s="26">
        <v>1856</v>
      </c>
      <c r="C4" s="25"/>
      <c r="D4" s="25"/>
      <c r="E4" s="25"/>
      <c r="F4" s="25"/>
      <c r="G4"/>
      <c r="H4"/>
    </row>
    <row r="5" spans="1:8" s="10" customFormat="1" x14ac:dyDescent="0.25">
      <c r="A5" s="29" t="s">
        <v>34</v>
      </c>
      <c r="B5" s="21" t="s">
        <v>35</v>
      </c>
    </row>
    <row r="6" spans="1:8" s="10" customFormat="1" x14ac:dyDescent="0.25">
      <c r="A6" s="29" t="s">
        <v>9</v>
      </c>
      <c r="B6" s="21" t="s">
        <v>40</v>
      </c>
    </row>
    <row r="7" spans="1:8" s="10" customFormat="1" x14ac:dyDescent="0.25"/>
    <row r="8" spans="1:8" s="10" customFormat="1" x14ac:dyDescent="0.25"/>
    <row r="9" spans="1:8" x14ac:dyDescent="0.25">
      <c r="A9"/>
      <c r="B9"/>
      <c r="C9"/>
      <c r="D9"/>
    </row>
    <row r="10" spans="1:8" x14ac:dyDescent="0.25">
      <c r="A10"/>
      <c r="B10"/>
      <c r="C10"/>
      <c r="D10"/>
    </row>
    <row r="11" spans="1:8" x14ac:dyDescent="0.25">
      <c r="A11"/>
      <c r="B11"/>
      <c r="C11"/>
      <c r="D11"/>
    </row>
    <row r="12" spans="1:8" x14ac:dyDescent="0.25">
      <c r="A12"/>
      <c r="B12"/>
      <c r="C12"/>
      <c r="D12"/>
    </row>
    <row r="13" spans="1:8" x14ac:dyDescent="0.25">
      <c r="A13"/>
      <c r="B13"/>
      <c r="C13"/>
      <c r="D13"/>
    </row>
    <row r="20" spans="3:3" x14ac:dyDescent="0.25">
      <c r="C20" s="12"/>
    </row>
  </sheetData>
  <pageMargins left="0.7" right="0.7" top="0.75" bottom="0.75" header="0.3" footer="0.3"/>
  <pageSetup orientation="portrait" horizontalDpi="4294967293" verticalDpi="4294967293" r:id="rId1"/>
  <headerFooter>
    <oddHeader>&amp;C&amp;"Calibri"&amp;10&amp;K000000 SC-Restricted&amp;1#_x000D_</oddHeader>
    <oddFooter>&amp;C_x000D_&amp;1#&amp;"Calibri"&amp;10&amp;K000000 SC-Restricted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topLeftCell="A7" zoomScale="80" zoomScaleNormal="80" workbookViewId="0">
      <selection activeCell="P17" sqref="P17"/>
    </sheetView>
  </sheetViews>
  <sheetFormatPr defaultColWidth="9.140625" defaultRowHeight="13.5" x14ac:dyDescent="0.25"/>
  <cols>
    <col min="1" max="1" width="1.5703125" style="1" customWidth="1"/>
    <col min="2" max="2" width="14.7109375" style="1" customWidth="1"/>
    <col min="3" max="3" width="12.5703125" style="1" bestFit="1" customWidth="1"/>
    <col min="4" max="4" width="11.85546875" style="1" customWidth="1"/>
    <col min="5" max="5" width="12.5703125" style="1" bestFit="1" customWidth="1"/>
    <col min="6" max="6" width="12.5703125" style="1" customWidth="1"/>
    <col min="7" max="7" width="13.85546875" style="1" bestFit="1" customWidth="1"/>
    <col min="8" max="8" width="9.140625" style="1"/>
    <col min="9" max="9" width="11" style="1" bestFit="1" customWidth="1"/>
    <col min="10" max="10" width="11.5703125" style="1" bestFit="1" customWidth="1"/>
    <col min="11" max="11" width="9.140625" style="1"/>
    <col min="12" max="12" width="11" style="1" bestFit="1" customWidth="1"/>
    <col min="13" max="16384" width="9.140625" style="1"/>
  </cols>
  <sheetData>
    <row r="1" spans="2:12" ht="14.25" x14ac:dyDescent="0.25">
      <c r="B1" s="8" t="s">
        <v>4</v>
      </c>
      <c r="C1" s="5"/>
      <c r="D1" s="5"/>
    </row>
    <row r="2" spans="2:12" ht="54" x14ac:dyDescent="0.25">
      <c r="B2" s="37" t="s">
        <v>0</v>
      </c>
      <c r="C2" s="38" t="s">
        <v>18</v>
      </c>
      <c r="D2" s="38" t="s">
        <v>41</v>
      </c>
      <c r="E2" s="37" t="s">
        <v>19</v>
      </c>
      <c r="F2" s="38" t="s">
        <v>42</v>
      </c>
      <c r="G2" s="37" t="s">
        <v>20</v>
      </c>
      <c r="H2" s="37"/>
      <c r="I2" s="37"/>
      <c r="J2" s="39" t="s">
        <v>36</v>
      </c>
      <c r="K2" s="39" t="s">
        <v>37</v>
      </c>
      <c r="L2" s="39" t="s">
        <v>38</v>
      </c>
    </row>
    <row r="3" spans="2:12" x14ac:dyDescent="0.25">
      <c r="B3" s="4">
        <v>45413</v>
      </c>
      <c r="C3" s="2">
        <f>(3026694+454857+1648351)/1000</f>
        <v>5129.902</v>
      </c>
      <c r="D3" s="49">
        <f>C3-(C3*0.2%)</f>
        <v>5119.6421959999998</v>
      </c>
      <c r="E3" s="2">
        <f>(1136+121+611)/1000</f>
        <v>1.8680000000000001</v>
      </c>
      <c r="F3" s="49">
        <f>E3+(E3*0.2%)</f>
        <v>1.8717360000000001</v>
      </c>
      <c r="G3" s="2">
        <f>D3-F3</f>
        <v>5117.7704599999997</v>
      </c>
      <c r="H3" s="7">
        <v>0.94750000000000001</v>
      </c>
      <c r="I3" s="7">
        <f>G3*H3</f>
        <v>4849.0875108499995</v>
      </c>
      <c r="J3" s="1">
        <v>0</v>
      </c>
      <c r="K3" s="1">
        <v>0</v>
      </c>
      <c r="L3" s="7">
        <f>I3-J3-K3</f>
        <v>4849.0875108499995</v>
      </c>
    </row>
    <row r="4" spans="2:12" x14ac:dyDescent="0.25">
      <c r="B4" s="4">
        <v>45444</v>
      </c>
      <c r="C4" s="2">
        <f>(2256115+309369+1253981)/1000</f>
        <v>3819.4650000000001</v>
      </c>
      <c r="D4" s="49">
        <f>C4-(C4*0.2%)</f>
        <v>3811.8260700000001</v>
      </c>
      <c r="E4" s="2">
        <f>(757+81+407)/1000</f>
        <v>1.2450000000000001</v>
      </c>
      <c r="F4" s="49">
        <f t="shared" ref="F4:F12" si="0">E4+(E4*0.2%)</f>
        <v>1.2474900000000002</v>
      </c>
      <c r="G4" s="2">
        <f t="shared" ref="G4:G12" si="1">D4-F4</f>
        <v>3810.5785799999999</v>
      </c>
      <c r="H4" s="7">
        <v>0.94750000000000001</v>
      </c>
      <c r="I4" s="7">
        <f>G4*H4</f>
        <v>3610.5232045499997</v>
      </c>
      <c r="J4" s="1">
        <v>0</v>
      </c>
      <c r="K4" s="1">
        <v>0</v>
      </c>
      <c r="L4" s="7">
        <f>I4-J4-K4</f>
        <v>3610.5232045499997</v>
      </c>
    </row>
    <row r="5" spans="2:12" x14ac:dyDescent="0.25">
      <c r="B5" s="4">
        <v>45474</v>
      </c>
      <c r="C5" s="2">
        <f>(3086245+418356+1709742)/1000</f>
        <v>5214.3429999999998</v>
      </c>
      <c r="D5" s="49">
        <f t="shared" ref="D5:D12" si="2">C5-(C5*0.2%)</f>
        <v>5203.9143139999996</v>
      </c>
      <c r="E5" s="2">
        <f>(7346+805+3646)/1000</f>
        <v>11.797000000000001</v>
      </c>
      <c r="F5" s="49">
        <f t="shared" si="0"/>
        <v>11.820594</v>
      </c>
      <c r="G5" s="2">
        <f t="shared" si="1"/>
        <v>5192.0937199999998</v>
      </c>
      <c r="H5" s="7">
        <v>0.94750000000000001</v>
      </c>
      <c r="I5" s="7">
        <f>G5*H5</f>
        <v>4919.5087997000001</v>
      </c>
      <c r="J5" s="1">
        <v>0</v>
      </c>
      <c r="K5" s="1">
        <v>0</v>
      </c>
      <c r="L5" s="7">
        <f>I5-J5-K5</f>
        <v>4919.5087997000001</v>
      </c>
    </row>
    <row r="6" spans="2:12" x14ac:dyDescent="0.25">
      <c r="B6" s="4">
        <v>45505</v>
      </c>
      <c r="C6" s="2">
        <f>(3333.509+524.751+2010.077)</f>
        <v>5868.3370000000004</v>
      </c>
      <c r="D6" s="49">
        <f t="shared" si="2"/>
        <v>5856.6003260000007</v>
      </c>
      <c r="E6" s="2">
        <f>(11.07+1.523+5.495)</f>
        <v>18.088000000000001</v>
      </c>
      <c r="F6" s="49">
        <f t="shared" si="0"/>
        <v>18.124176000000002</v>
      </c>
      <c r="G6" s="2">
        <f t="shared" si="1"/>
        <v>5838.4761500000004</v>
      </c>
      <c r="H6" s="7">
        <v>0.94750000000000001</v>
      </c>
      <c r="I6" s="7">
        <f>G6*H6</f>
        <v>5531.9561521250007</v>
      </c>
      <c r="J6" s="1">
        <v>0</v>
      </c>
      <c r="K6" s="1">
        <v>0</v>
      </c>
      <c r="L6" s="7">
        <f>I6-J6-K6</f>
        <v>5531.9561521250007</v>
      </c>
    </row>
    <row r="7" spans="2:12" x14ac:dyDescent="0.25">
      <c r="B7" s="4">
        <v>45536</v>
      </c>
      <c r="C7" s="2">
        <f>(1709.821+258.688+870.043)</f>
        <v>2838.5520000000001</v>
      </c>
      <c r="D7" s="49">
        <f t="shared" si="2"/>
        <v>2832.8748960000003</v>
      </c>
      <c r="E7" s="2">
        <f>(0.796+0.132+0.395)</f>
        <v>1.323</v>
      </c>
      <c r="F7" s="49">
        <f t="shared" si="0"/>
        <v>1.3256459999999999</v>
      </c>
      <c r="G7" s="2">
        <f t="shared" si="1"/>
        <v>2831.5492500000005</v>
      </c>
      <c r="H7" s="7">
        <v>0.94750000000000001</v>
      </c>
      <c r="I7" s="7">
        <f>G7*H7</f>
        <v>2682.8929143750006</v>
      </c>
      <c r="J7" s="1">
        <v>0</v>
      </c>
      <c r="K7" s="1">
        <v>0</v>
      </c>
      <c r="L7" s="7">
        <f>I7-J7-K7</f>
        <v>2682.8929143750006</v>
      </c>
    </row>
    <row r="8" spans="2:12" x14ac:dyDescent="0.25">
      <c r="B8" s="4">
        <v>45566</v>
      </c>
      <c r="C8" s="2">
        <f>(764622+119736+387372)/1000</f>
        <v>1271.73</v>
      </c>
      <c r="D8" s="49">
        <f t="shared" si="2"/>
        <v>1269.1865399999999</v>
      </c>
      <c r="E8" s="2">
        <f>(1697+222+935)/1000</f>
        <v>2.8540000000000001</v>
      </c>
      <c r="F8" s="49">
        <f t="shared" si="0"/>
        <v>2.8597079999999999</v>
      </c>
      <c r="G8" s="2">
        <f t="shared" si="1"/>
        <v>1266.326832</v>
      </c>
      <c r="H8" s="7">
        <v>0.94750000000000001</v>
      </c>
      <c r="I8" s="7">
        <f>G8*H8</f>
        <v>1199.8446733200001</v>
      </c>
      <c r="J8" s="1">
        <v>0</v>
      </c>
      <c r="K8" s="1">
        <v>0</v>
      </c>
      <c r="L8" s="7">
        <f>I8-J8-K8</f>
        <v>1199.8446733200001</v>
      </c>
    </row>
    <row r="9" spans="2:12" x14ac:dyDescent="0.25">
      <c r="B9" s="4">
        <v>45597</v>
      </c>
      <c r="C9" s="2">
        <f>(883.055+130.412+487.819)</f>
        <v>1501.2860000000001</v>
      </c>
      <c r="D9" s="49">
        <f t="shared" si="2"/>
        <v>1498.283428</v>
      </c>
      <c r="E9" s="2">
        <f>(2.34+0.306+1.29)</f>
        <v>3.9359999999999999</v>
      </c>
      <c r="F9" s="49">
        <f t="shared" si="0"/>
        <v>3.9438719999999998</v>
      </c>
      <c r="G9" s="2">
        <f t="shared" si="1"/>
        <v>1494.3395559999999</v>
      </c>
      <c r="H9" s="7">
        <v>0.94750000000000001</v>
      </c>
      <c r="I9" s="7">
        <f>G9*H9</f>
        <v>1415.88672931</v>
      </c>
      <c r="J9" s="1">
        <v>0</v>
      </c>
      <c r="K9" s="1">
        <v>0</v>
      </c>
      <c r="L9" s="7">
        <f>I9-J9-K9</f>
        <v>1415.88672931</v>
      </c>
    </row>
    <row r="10" spans="2:12" x14ac:dyDescent="0.25">
      <c r="B10" s="4">
        <v>45627</v>
      </c>
      <c r="C10" s="2">
        <f>(2532369+355212+1402497)/1000</f>
        <v>4290.0780000000004</v>
      </c>
      <c r="D10" s="49">
        <f t="shared" si="2"/>
        <v>4281.4978440000004</v>
      </c>
      <c r="E10" s="2">
        <f>(1745+231+824)/1000</f>
        <v>2.8</v>
      </c>
      <c r="F10" s="49">
        <f t="shared" si="0"/>
        <v>2.8055999999999996</v>
      </c>
      <c r="G10" s="2">
        <f t="shared" si="1"/>
        <v>4278.6922440000008</v>
      </c>
      <c r="H10" s="7">
        <v>0.94750000000000001</v>
      </c>
      <c r="I10" s="7">
        <f>G10*H10</f>
        <v>4054.0609011900005</v>
      </c>
      <c r="J10" s="1">
        <v>0</v>
      </c>
      <c r="K10" s="1">
        <v>0</v>
      </c>
      <c r="L10" s="7">
        <f>I10-J10-K10</f>
        <v>4054.0609011900005</v>
      </c>
    </row>
    <row r="11" spans="2:12" x14ac:dyDescent="0.25">
      <c r="B11" s="4">
        <v>45658</v>
      </c>
      <c r="C11" s="2">
        <f>(1701935+249950+1032464)/1000</f>
        <v>2984.3490000000002</v>
      </c>
      <c r="D11" s="49">
        <f t="shared" si="2"/>
        <v>2978.380302</v>
      </c>
      <c r="E11" s="2">
        <f>(2955+398+1418)/1000</f>
        <v>4.7709999999999999</v>
      </c>
      <c r="F11" s="49">
        <f t="shared" si="0"/>
        <v>4.7805419999999996</v>
      </c>
      <c r="G11" s="2">
        <f t="shared" si="1"/>
        <v>2973.5997600000001</v>
      </c>
      <c r="H11" s="7">
        <v>0.94750000000000001</v>
      </c>
      <c r="I11" s="7">
        <f>G11*H11</f>
        <v>2817.4857726</v>
      </c>
      <c r="J11" s="1">
        <v>0</v>
      </c>
      <c r="K11" s="1">
        <v>0</v>
      </c>
      <c r="L11" s="7">
        <f>I11-J11-K11</f>
        <v>2817.4857726</v>
      </c>
    </row>
    <row r="12" spans="2:12" x14ac:dyDescent="0.25">
      <c r="B12" s="4">
        <v>45689</v>
      </c>
      <c r="C12" s="2">
        <f>(1798.262+209.557+742.619)</f>
        <v>2750.4380000000001</v>
      </c>
      <c r="D12" s="49">
        <f t="shared" si="2"/>
        <v>2744.937124</v>
      </c>
      <c r="E12" s="2">
        <f>(4.076+0.603+1.876)</f>
        <v>6.5549999999999997</v>
      </c>
      <c r="F12" s="49">
        <f t="shared" si="0"/>
        <v>6.5681099999999999</v>
      </c>
      <c r="G12" s="2">
        <f t="shared" si="1"/>
        <v>2738.3690139999999</v>
      </c>
      <c r="H12" s="7">
        <v>0.94750000000000001</v>
      </c>
      <c r="I12" s="7">
        <f>G12*H12</f>
        <v>2594.6046407650001</v>
      </c>
      <c r="J12" s="1">
        <v>0</v>
      </c>
      <c r="K12" s="1">
        <v>0</v>
      </c>
      <c r="L12" s="7">
        <f>I12-J12-K12</f>
        <v>2594.6046407650001</v>
      </c>
    </row>
    <row r="13" spans="2:12" x14ac:dyDescent="0.25">
      <c r="B13" s="42" t="s">
        <v>3</v>
      </c>
      <c r="C13" s="43">
        <f>SUM(C3:C12)</f>
        <v>35668.480000000003</v>
      </c>
      <c r="D13" s="71">
        <f>SUM(D3:D12)</f>
        <v>35597.143039999995</v>
      </c>
      <c r="E13" s="43">
        <f>SUM(E3:E12)</f>
        <v>55.237000000000002</v>
      </c>
      <c r="F13" s="51">
        <f>SUM(F3:F12)</f>
        <v>55.347473999999991</v>
      </c>
      <c r="G13" s="43">
        <f>SUM(G3:G12)</f>
        <v>35541.795566000001</v>
      </c>
      <c r="H13" s="43"/>
      <c r="I13" s="43">
        <f>SUM(I3:I12)</f>
        <v>33675.851298785004</v>
      </c>
      <c r="J13" s="44">
        <v>0</v>
      </c>
      <c r="K13" s="44">
        <v>0</v>
      </c>
      <c r="L13" s="43">
        <f>SUM(L3:L12)</f>
        <v>33675.851298785004</v>
      </c>
    </row>
    <row r="14" spans="2:12" x14ac:dyDescent="0.25">
      <c r="G14" s="9"/>
    </row>
    <row r="15" spans="2:12" ht="14.25" x14ac:dyDescent="0.25">
      <c r="B15" s="8" t="s">
        <v>6</v>
      </c>
      <c r="C15" s="6"/>
      <c r="D15" s="5"/>
    </row>
    <row r="16" spans="2:12" ht="54" x14ac:dyDescent="0.25">
      <c r="B16" s="37" t="s">
        <v>0</v>
      </c>
      <c r="C16" s="38" t="s">
        <v>18</v>
      </c>
      <c r="D16" s="38" t="s">
        <v>41</v>
      </c>
      <c r="E16" s="37" t="s">
        <v>19</v>
      </c>
      <c r="F16" s="38" t="s">
        <v>42</v>
      </c>
      <c r="G16" s="37" t="s">
        <v>20</v>
      </c>
      <c r="H16" s="37"/>
      <c r="I16" s="37"/>
      <c r="J16" s="39" t="s">
        <v>36</v>
      </c>
      <c r="K16" s="39" t="s">
        <v>37</v>
      </c>
      <c r="L16" s="39" t="s">
        <v>38</v>
      </c>
    </row>
    <row r="17" spans="2:12" x14ac:dyDescent="0.25">
      <c r="B17" s="4">
        <v>45413</v>
      </c>
      <c r="C17" s="2">
        <f>(3339425+2598954)/1000</f>
        <v>5938.3789999999999</v>
      </c>
      <c r="D17" s="49">
        <f t="shared" ref="D17:D26" si="3">C17-(C17*0.2%)</f>
        <v>5926.5022419999996</v>
      </c>
      <c r="E17" s="2">
        <f>(21624+17797)/1000</f>
        <v>39.420999999999999</v>
      </c>
      <c r="F17" s="49">
        <f>E17+(E17*0.2%)</f>
        <v>39.499842000000001</v>
      </c>
      <c r="G17" s="2">
        <f>D17-F17</f>
        <v>5887.0023999999994</v>
      </c>
      <c r="H17" s="7">
        <v>0.94750000000000001</v>
      </c>
      <c r="I17" s="7">
        <f>G17*H17</f>
        <v>5577.9347739999994</v>
      </c>
      <c r="J17" s="1">
        <v>0</v>
      </c>
      <c r="K17" s="1">
        <v>0</v>
      </c>
      <c r="L17" s="7">
        <f>I17-J17-K17</f>
        <v>5577.9347739999994</v>
      </c>
    </row>
    <row r="18" spans="2:12" x14ac:dyDescent="0.25">
      <c r="B18" s="4">
        <v>45444</v>
      </c>
      <c r="C18" s="2">
        <f>(2777365+2002144)/1000</f>
        <v>4779.509</v>
      </c>
      <c r="D18" s="49">
        <f t="shared" si="3"/>
        <v>4769.9499820000001</v>
      </c>
      <c r="E18" s="2">
        <f>(16153+11655)/1000</f>
        <v>27.808</v>
      </c>
      <c r="F18" s="49">
        <f t="shared" ref="F18:F26" si="4">E18+(E18*0.2%)</f>
        <v>27.863616</v>
      </c>
      <c r="G18" s="2">
        <f t="shared" ref="G18:G26" si="5">D18-F18</f>
        <v>4742.0863660000005</v>
      </c>
      <c r="H18" s="7">
        <v>0.94750000000000001</v>
      </c>
      <c r="I18" s="7">
        <f t="shared" ref="I18:I26" si="6">G18*H18</f>
        <v>4493.1268317850008</v>
      </c>
      <c r="J18" s="1">
        <v>0</v>
      </c>
      <c r="K18" s="1">
        <v>0</v>
      </c>
      <c r="L18" s="7">
        <f t="shared" ref="L18:L26" si="7">I18-J18-K18</f>
        <v>4493.1268317850008</v>
      </c>
    </row>
    <row r="19" spans="2:12" x14ac:dyDescent="0.25">
      <c r="B19" s="4">
        <v>45474</v>
      </c>
      <c r="C19" s="2">
        <f>(2873749+2243804)/1000</f>
        <v>5117.5529999999999</v>
      </c>
      <c r="D19" s="49">
        <f t="shared" si="3"/>
        <v>5107.3178939999998</v>
      </c>
      <c r="E19" s="2">
        <f>(10853+8427)/1000</f>
        <v>19.28</v>
      </c>
      <c r="F19" s="49">
        <f t="shared" si="4"/>
        <v>19.318560000000002</v>
      </c>
      <c r="G19" s="2">
        <f t="shared" si="5"/>
        <v>5087.9993340000001</v>
      </c>
      <c r="H19" s="7">
        <v>0.94750000000000001</v>
      </c>
      <c r="I19" s="7">
        <f t="shared" si="6"/>
        <v>4820.8793689650001</v>
      </c>
      <c r="J19" s="1">
        <v>0</v>
      </c>
      <c r="K19" s="1">
        <v>0</v>
      </c>
      <c r="L19" s="7">
        <f t="shared" si="7"/>
        <v>4820.8793689650001</v>
      </c>
    </row>
    <row r="20" spans="2:12" x14ac:dyDescent="0.25">
      <c r="B20" s="4">
        <v>45505</v>
      </c>
      <c r="C20" s="2">
        <f>(3531861+2409621)/1000</f>
        <v>5941.482</v>
      </c>
      <c r="D20" s="49">
        <f t="shared" si="3"/>
        <v>5929.5990359999996</v>
      </c>
      <c r="E20" s="2">
        <f>(7499+5017)/1000</f>
        <v>12.516</v>
      </c>
      <c r="F20" s="49">
        <f t="shared" si="4"/>
        <v>12.541032</v>
      </c>
      <c r="G20" s="2">
        <f t="shared" si="5"/>
        <v>5917.0580039999995</v>
      </c>
      <c r="H20" s="7">
        <v>0.94750000000000001</v>
      </c>
      <c r="I20" s="7">
        <f t="shared" si="6"/>
        <v>5606.4124587899996</v>
      </c>
      <c r="J20" s="1">
        <v>0</v>
      </c>
      <c r="K20" s="1">
        <v>0</v>
      </c>
      <c r="L20" s="7">
        <f t="shared" si="7"/>
        <v>5606.4124587899996</v>
      </c>
    </row>
    <row r="21" spans="2:12" x14ac:dyDescent="0.25">
      <c r="B21" s="4">
        <v>45536</v>
      </c>
      <c r="C21" s="2">
        <f>(1722.853+1401.234)</f>
        <v>3124.087</v>
      </c>
      <c r="D21" s="49">
        <f t="shared" si="3"/>
        <v>3117.8388260000002</v>
      </c>
      <c r="E21" s="2">
        <f>(1.339+0.976)</f>
        <v>2.3149999999999999</v>
      </c>
      <c r="F21" s="49">
        <f t="shared" si="4"/>
        <v>2.3196300000000001</v>
      </c>
      <c r="G21" s="2">
        <f t="shared" si="5"/>
        <v>3115.5191960000002</v>
      </c>
      <c r="H21" s="7">
        <v>0.94750000000000001</v>
      </c>
      <c r="I21" s="7">
        <f t="shared" si="6"/>
        <v>2951.9544382100003</v>
      </c>
      <c r="J21" s="1">
        <v>0</v>
      </c>
      <c r="K21" s="1">
        <v>0</v>
      </c>
      <c r="L21" s="7">
        <f t="shared" si="7"/>
        <v>2951.9544382100003</v>
      </c>
    </row>
    <row r="22" spans="2:12" x14ac:dyDescent="0.25">
      <c r="B22" s="4">
        <v>45566</v>
      </c>
      <c r="C22" s="2">
        <f>(641016+565090)/1000</f>
        <v>1206.106</v>
      </c>
      <c r="D22" s="49">
        <f t="shared" si="3"/>
        <v>1203.693788</v>
      </c>
      <c r="E22" s="2">
        <f>(16783+13036)/1000</f>
        <v>29.818999999999999</v>
      </c>
      <c r="F22" s="49">
        <f t="shared" si="4"/>
        <v>29.878637999999999</v>
      </c>
      <c r="G22" s="2">
        <f t="shared" si="5"/>
        <v>1173.8151500000001</v>
      </c>
      <c r="H22" s="7">
        <v>0.94750000000000001</v>
      </c>
      <c r="I22" s="7">
        <f t="shared" si="6"/>
        <v>1112.1898546250002</v>
      </c>
      <c r="J22" s="1">
        <v>0</v>
      </c>
      <c r="K22" s="1">
        <v>0</v>
      </c>
      <c r="L22" s="7">
        <f t="shared" si="7"/>
        <v>1112.1898546250002</v>
      </c>
    </row>
    <row r="23" spans="2:12" x14ac:dyDescent="0.25">
      <c r="B23" s="4">
        <v>45597</v>
      </c>
      <c r="C23" s="2">
        <f>(812330+647400)/1000</f>
        <v>1459.73</v>
      </c>
      <c r="D23" s="49">
        <f t="shared" si="3"/>
        <v>1456.8105399999999</v>
      </c>
      <c r="E23" s="2">
        <f>(19109+14952)/1000</f>
        <v>34.061</v>
      </c>
      <c r="F23" s="49">
        <f t="shared" si="4"/>
        <v>34.129122000000002</v>
      </c>
      <c r="G23" s="2">
        <f t="shared" si="5"/>
        <v>1422.6814179999999</v>
      </c>
      <c r="H23" s="7">
        <v>0.94750000000000001</v>
      </c>
      <c r="I23" s="7">
        <f t="shared" si="6"/>
        <v>1347.9906435549999</v>
      </c>
      <c r="J23" s="1">
        <v>0</v>
      </c>
      <c r="K23" s="1">
        <v>0</v>
      </c>
      <c r="L23" s="7">
        <f t="shared" si="7"/>
        <v>1347.9906435549999</v>
      </c>
    </row>
    <row r="24" spans="2:12" x14ac:dyDescent="0.25">
      <c r="B24" s="4">
        <v>45627</v>
      </c>
      <c r="C24" s="2">
        <f>(2552073+1936230)/1000</f>
        <v>4488.3029999999999</v>
      </c>
      <c r="D24" s="49">
        <f t="shared" si="3"/>
        <v>4479.3263939999997</v>
      </c>
      <c r="E24" s="2">
        <f>(15007+11157)/1000</f>
        <v>26.164000000000001</v>
      </c>
      <c r="F24" s="49">
        <f t="shared" si="4"/>
        <v>26.216328000000001</v>
      </c>
      <c r="G24" s="2">
        <f t="shared" si="5"/>
        <v>4453.1100659999993</v>
      </c>
      <c r="H24" s="7">
        <v>0.94750000000000001</v>
      </c>
      <c r="I24" s="7">
        <f t="shared" si="6"/>
        <v>4219.3217875349992</v>
      </c>
      <c r="J24" s="1">
        <v>0</v>
      </c>
      <c r="K24" s="1">
        <v>0</v>
      </c>
      <c r="L24" s="7">
        <f t="shared" si="7"/>
        <v>4219.3217875349992</v>
      </c>
    </row>
    <row r="25" spans="2:12" x14ac:dyDescent="0.25">
      <c r="B25" s="4">
        <v>45658</v>
      </c>
      <c r="C25" s="2">
        <f>(1714787+1549132)/1000</f>
        <v>3263.9189999999999</v>
      </c>
      <c r="D25" s="49">
        <f t="shared" si="3"/>
        <v>3257.3911619999999</v>
      </c>
      <c r="E25" s="2">
        <f>(11031+11755)/1000</f>
        <v>22.786000000000001</v>
      </c>
      <c r="F25" s="49">
        <f t="shared" si="4"/>
        <v>22.831572000000001</v>
      </c>
      <c r="G25" s="2">
        <f t="shared" si="5"/>
        <v>3234.5595899999998</v>
      </c>
      <c r="H25" s="7">
        <v>0.94750000000000001</v>
      </c>
      <c r="I25" s="7">
        <f t="shared" si="6"/>
        <v>3064.7452115249998</v>
      </c>
      <c r="J25" s="1">
        <v>0</v>
      </c>
      <c r="K25" s="1">
        <v>0</v>
      </c>
      <c r="L25" s="7">
        <f t="shared" ref="L25" si="8">I25-J25-K25</f>
        <v>3064.7452115249998</v>
      </c>
    </row>
    <row r="26" spans="2:12" x14ac:dyDescent="0.25">
      <c r="B26" s="4">
        <v>45689</v>
      </c>
      <c r="C26" s="2">
        <f>(1423.541+1399.226)</f>
        <v>2822.7669999999998</v>
      </c>
      <c r="D26" s="49">
        <f t="shared" si="3"/>
        <v>2817.1214659999996</v>
      </c>
      <c r="E26" s="2">
        <f>(9.987+9.524)</f>
        <v>19.510999999999999</v>
      </c>
      <c r="F26" s="49">
        <f t="shared" si="4"/>
        <v>19.550021999999998</v>
      </c>
      <c r="G26" s="2">
        <f t="shared" si="5"/>
        <v>2797.5714439999997</v>
      </c>
      <c r="H26" s="7">
        <v>0.94750000000000001</v>
      </c>
      <c r="I26" s="7">
        <f t="shared" si="6"/>
        <v>2650.6989431899997</v>
      </c>
      <c r="J26" s="1">
        <v>0</v>
      </c>
      <c r="K26" s="1">
        <v>0</v>
      </c>
      <c r="L26" s="7">
        <f t="shared" si="7"/>
        <v>2650.6989431899997</v>
      </c>
    </row>
    <row r="27" spans="2:12" x14ac:dyDescent="0.25">
      <c r="B27" s="42" t="s">
        <v>3</v>
      </c>
      <c r="C27" s="50">
        <f>SUM(C17:C26)</f>
        <v>38141.834999999999</v>
      </c>
      <c r="D27" s="52">
        <f>SUM(D17:D26)</f>
        <v>38065.551329999995</v>
      </c>
      <c r="E27" s="43">
        <f>SUM(E17:E26)</f>
        <v>233.68100000000001</v>
      </c>
      <c r="F27" s="51">
        <f>SUM(F17:F26)</f>
        <v>234.14836200000002</v>
      </c>
      <c r="G27" s="43">
        <f>SUM(G17:G26)</f>
        <v>37831.402967999995</v>
      </c>
      <c r="H27" s="43"/>
      <c r="I27" s="43">
        <f>SUM(I17:I26)</f>
        <v>35845.254312179997</v>
      </c>
      <c r="J27" s="43">
        <f t="shared" ref="J27:K27" si="9">SUM(J17:J26)</f>
        <v>0</v>
      </c>
      <c r="K27" s="43">
        <f t="shared" si="9"/>
        <v>0</v>
      </c>
      <c r="L27" s="43">
        <f>SUM(L17:L26)</f>
        <v>35845.254312179997</v>
      </c>
    </row>
    <row r="28" spans="2:12" x14ac:dyDescent="0.25">
      <c r="B28" s="3"/>
      <c r="C28" s="2"/>
      <c r="D28" s="2"/>
      <c r="E28" s="2"/>
      <c r="F28" s="2"/>
      <c r="G28" s="9"/>
    </row>
    <row r="29" spans="2:12" ht="14.25" x14ac:dyDescent="0.25">
      <c r="B29" s="8" t="s">
        <v>5</v>
      </c>
      <c r="C29" s="6"/>
      <c r="D29" s="5"/>
    </row>
    <row r="30" spans="2:12" ht="38.25" customHeight="1" x14ac:dyDescent="0.25">
      <c r="B30" s="37" t="s">
        <v>1</v>
      </c>
      <c r="C30" s="38" t="s">
        <v>7</v>
      </c>
      <c r="D30" s="37" t="s">
        <v>8</v>
      </c>
      <c r="E30" s="37" t="s">
        <v>20</v>
      </c>
      <c r="F30" s="37"/>
      <c r="G30" s="37"/>
      <c r="H30" s="39" t="s">
        <v>36</v>
      </c>
      <c r="I30" s="39" t="s">
        <v>37</v>
      </c>
      <c r="J30" s="39" t="s">
        <v>38</v>
      </c>
    </row>
    <row r="31" spans="2:12" x14ac:dyDescent="0.25">
      <c r="B31" s="4">
        <v>45413</v>
      </c>
      <c r="C31" s="2">
        <v>8268220</v>
      </c>
      <c r="D31" s="2">
        <v>0</v>
      </c>
      <c r="E31" s="2">
        <f>(C31-D31)/1000</f>
        <v>8268.2199999999993</v>
      </c>
      <c r="F31" s="7">
        <v>0.94750000000000001</v>
      </c>
      <c r="G31" s="7">
        <f>E31*F31</f>
        <v>7834.1384499999995</v>
      </c>
      <c r="H31" s="1">
        <v>0</v>
      </c>
      <c r="I31" s="1">
        <v>0</v>
      </c>
      <c r="J31" s="7">
        <f>G31-H31-I31</f>
        <v>7834.1384499999995</v>
      </c>
    </row>
    <row r="32" spans="2:12" x14ac:dyDescent="0.25">
      <c r="B32" s="4">
        <v>45444</v>
      </c>
      <c r="C32" s="2">
        <v>13154297</v>
      </c>
      <c r="D32" s="2">
        <v>0</v>
      </c>
      <c r="E32" s="2">
        <f t="shared" ref="E32:E40" si="10">(C32-D32)/1000</f>
        <v>13154.297</v>
      </c>
      <c r="F32" s="7">
        <v>0.94750000000000001</v>
      </c>
      <c r="G32" s="7">
        <f t="shared" ref="G32:G40" si="11">E32*F32</f>
        <v>12463.696407500001</v>
      </c>
      <c r="H32" s="1">
        <v>0</v>
      </c>
      <c r="I32" s="1">
        <v>0</v>
      </c>
      <c r="J32" s="7">
        <f t="shared" ref="J32:J40" si="12">G32-H32-I32</f>
        <v>12463.696407500001</v>
      </c>
    </row>
    <row r="33" spans="2:10" x14ac:dyDescent="0.25">
      <c r="B33" s="4">
        <v>45474</v>
      </c>
      <c r="C33" s="2">
        <v>22911584</v>
      </c>
      <c r="D33" s="2">
        <v>0</v>
      </c>
      <c r="E33" s="2">
        <f t="shared" si="10"/>
        <v>22911.583999999999</v>
      </c>
      <c r="F33" s="7">
        <v>0.94750000000000001</v>
      </c>
      <c r="G33" s="7">
        <f t="shared" si="11"/>
        <v>21708.725839999999</v>
      </c>
      <c r="H33" s="1">
        <v>0</v>
      </c>
      <c r="I33" s="1">
        <v>0</v>
      </c>
      <c r="J33" s="7">
        <f t="shared" si="12"/>
        <v>21708.725839999999</v>
      </c>
    </row>
    <row r="34" spans="2:10" x14ac:dyDescent="0.25">
      <c r="B34" s="4">
        <v>45505</v>
      </c>
      <c r="C34" s="2">
        <v>10836327</v>
      </c>
      <c r="D34" s="2">
        <v>0</v>
      </c>
      <c r="E34" s="2">
        <f t="shared" si="10"/>
        <v>10836.326999999999</v>
      </c>
      <c r="F34" s="7">
        <v>0.94750000000000001</v>
      </c>
      <c r="G34" s="7">
        <f t="shared" si="11"/>
        <v>10267.4198325</v>
      </c>
      <c r="H34" s="1">
        <v>0</v>
      </c>
      <c r="I34" s="1">
        <v>0</v>
      </c>
      <c r="J34" s="7">
        <f t="shared" si="12"/>
        <v>10267.4198325</v>
      </c>
    </row>
    <row r="35" spans="2:10" x14ac:dyDescent="0.25">
      <c r="B35" s="4">
        <v>45536</v>
      </c>
      <c r="C35" s="2">
        <v>11131950</v>
      </c>
      <c r="D35" s="2">
        <v>0</v>
      </c>
      <c r="E35" s="2">
        <f t="shared" si="10"/>
        <v>11131.95</v>
      </c>
      <c r="F35" s="7">
        <v>0.94750000000000001</v>
      </c>
      <c r="G35" s="7">
        <f t="shared" si="11"/>
        <v>10547.522625000001</v>
      </c>
      <c r="H35" s="1">
        <v>0</v>
      </c>
      <c r="I35" s="1">
        <v>0</v>
      </c>
      <c r="J35" s="7">
        <f t="shared" si="12"/>
        <v>10547.522625000001</v>
      </c>
    </row>
    <row r="36" spans="2:10" x14ac:dyDescent="0.25">
      <c r="B36" s="4">
        <v>45566</v>
      </c>
      <c r="C36" s="2">
        <v>3146939</v>
      </c>
      <c r="D36" s="2">
        <v>0</v>
      </c>
      <c r="E36" s="2">
        <f t="shared" si="10"/>
        <v>3146.9389999999999</v>
      </c>
      <c r="F36" s="7">
        <v>0.94750000000000001</v>
      </c>
      <c r="G36" s="7">
        <f t="shared" si="11"/>
        <v>2981.7247024999997</v>
      </c>
      <c r="H36" s="1">
        <v>0</v>
      </c>
      <c r="I36" s="1">
        <v>0</v>
      </c>
      <c r="J36" s="7">
        <f t="shared" si="12"/>
        <v>2981.7247024999997</v>
      </c>
    </row>
    <row r="37" spans="2:10" x14ac:dyDescent="0.25">
      <c r="B37" s="4">
        <v>45597</v>
      </c>
      <c r="C37" s="2">
        <v>4306198</v>
      </c>
      <c r="D37" s="2">
        <v>0</v>
      </c>
      <c r="E37" s="2">
        <f t="shared" si="10"/>
        <v>4306.1980000000003</v>
      </c>
      <c r="F37" s="7">
        <v>0.94750000000000001</v>
      </c>
      <c r="G37" s="7">
        <f t="shared" si="11"/>
        <v>4080.1226050000005</v>
      </c>
      <c r="H37" s="1">
        <v>0</v>
      </c>
      <c r="I37" s="1">
        <v>0</v>
      </c>
      <c r="J37" s="7">
        <f t="shared" si="12"/>
        <v>4080.1226050000005</v>
      </c>
    </row>
    <row r="38" spans="2:10" x14ac:dyDescent="0.25">
      <c r="B38" s="4">
        <v>45627</v>
      </c>
      <c r="C38" s="2">
        <v>4939535</v>
      </c>
      <c r="D38" s="2">
        <v>0</v>
      </c>
      <c r="E38" s="2">
        <f t="shared" si="10"/>
        <v>4939.5349999999999</v>
      </c>
      <c r="F38" s="7">
        <v>0.94750000000000001</v>
      </c>
      <c r="G38" s="7">
        <f t="shared" si="11"/>
        <v>4680.2094125000003</v>
      </c>
      <c r="J38" s="7">
        <f t="shared" si="12"/>
        <v>4680.2094125000003</v>
      </c>
    </row>
    <row r="39" spans="2:10" x14ac:dyDescent="0.25">
      <c r="B39" s="4">
        <v>45658</v>
      </c>
      <c r="C39" s="2">
        <v>5955147</v>
      </c>
      <c r="D39" s="2">
        <v>0</v>
      </c>
      <c r="E39" s="2">
        <f t="shared" si="10"/>
        <v>5955.1469999999999</v>
      </c>
      <c r="F39" s="7">
        <v>0.94750000000000001</v>
      </c>
      <c r="G39" s="7">
        <f t="shared" si="11"/>
        <v>5642.5017825000004</v>
      </c>
      <c r="J39" s="7">
        <f t="shared" si="12"/>
        <v>5642.5017825000004</v>
      </c>
    </row>
    <row r="40" spans="2:10" x14ac:dyDescent="0.25">
      <c r="B40" s="4">
        <v>45689</v>
      </c>
      <c r="C40" s="2">
        <v>5804366</v>
      </c>
      <c r="D40" s="2">
        <v>0</v>
      </c>
      <c r="E40" s="2">
        <f t="shared" si="10"/>
        <v>5804.366</v>
      </c>
      <c r="F40" s="7">
        <v>0.94750000000000001</v>
      </c>
      <c r="G40" s="7">
        <f t="shared" si="11"/>
        <v>5499.6367849999997</v>
      </c>
      <c r="H40" s="1">
        <v>0</v>
      </c>
      <c r="I40" s="1">
        <v>0</v>
      </c>
      <c r="J40" s="7">
        <f t="shared" si="12"/>
        <v>5499.6367849999997</v>
      </c>
    </row>
    <row r="41" spans="2:10" x14ac:dyDescent="0.25">
      <c r="B41" s="42" t="s">
        <v>3</v>
      </c>
      <c r="C41" s="43">
        <f>SUM(C31:C40)</f>
        <v>90454563</v>
      </c>
      <c r="D41" s="43">
        <f>SUM(D31:D40)</f>
        <v>0</v>
      </c>
      <c r="E41" s="43">
        <f>SUM(E31:E40)</f>
        <v>90454.562999999995</v>
      </c>
      <c r="F41" s="43"/>
      <c r="G41" s="43">
        <f>SUM(G31:G40)</f>
        <v>85705.698442499983</v>
      </c>
      <c r="H41" s="43">
        <f t="shared" ref="H41:I41" si="13">SUM(H31:H40)</f>
        <v>0</v>
      </c>
      <c r="I41" s="43">
        <f t="shared" si="13"/>
        <v>0</v>
      </c>
      <c r="J41" s="43">
        <f>SUM(J31:J40)</f>
        <v>85705.698442499983</v>
      </c>
    </row>
    <row r="42" spans="2:10" x14ac:dyDescent="0.25">
      <c r="G42" s="9"/>
    </row>
    <row r="43" spans="2:10" ht="14.25" thickBot="1" x14ac:dyDescent="0.3"/>
    <row r="44" spans="2:10" ht="13.5" customHeight="1" x14ac:dyDescent="0.25">
      <c r="B44" s="53" t="s">
        <v>43</v>
      </c>
      <c r="C44" s="54"/>
      <c r="D44" s="54"/>
      <c r="E44" s="54"/>
      <c r="F44" s="54"/>
      <c r="G44" s="54"/>
      <c r="H44" s="54"/>
      <c r="I44" s="54"/>
      <c r="J44" s="55"/>
    </row>
    <row r="45" spans="2:10" x14ac:dyDescent="0.25">
      <c r="B45" s="56"/>
      <c r="C45" s="57"/>
      <c r="D45" s="57"/>
      <c r="E45" s="57"/>
      <c r="F45" s="57"/>
      <c r="G45" s="57"/>
      <c r="H45" s="57"/>
      <c r="I45" s="57"/>
      <c r="J45" s="58"/>
    </row>
    <row r="46" spans="2:10" ht="14.25" thickBot="1" x14ac:dyDescent="0.3">
      <c r="B46" s="59"/>
      <c r="C46" s="60"/>
      <c r="D46" s="60"/>
      <c r="E46" s="60"/>
      <c r="F46" s="60"/>
      <c r="G46" s="60"/>
      <c r="H46" s="60"/>
      <c r="I46" s="60"/>
      <c r="J46" s="61"/>
    </row>
  </sheetData>
  <mergeCells count="1">
    <mergeCell ref="B44:J46"/>
  </mergeCells>
  <pageMargins left="0.7" right="0.7" top="0.75" bottom="0.75" header="0.3" footer="0.3"/>
  <pageSetup orientation="portrait" horizontalDpi="4294967293" verticalDpi="4294967293" r:id="rId1"/>
  <headerFooter>
    <oddHeader>&amp;C&amp;"Calibri"&amp;10&amp;K000000 SC-Restricted&amp;1#_x000D_</oddHeader>
    <oddFooter>&amp;C_x000D_&amp;1#&amp;"Calibri"&amp;10&amp;K000000 SC-Restricted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D18A-DB28-4261-A98B-74F18EE08BB5}">
  <dimension ref="A1:M5"/>
  <sheetViews>
    <sheetView workbookViewId="0">
      <selection activeCell="L6" sqref="L6"/>
    </sheetView>
  </sheetViews>
  <sheetFormatPr defaultRowHeight="15" x14ac:dyDescent="0.25"/>
  <cols>
    <col min="1" max="1" width="35.140625" customWidth="1"/>
    <col min="2" max="3" width="11.140625" bestFit="1" customWidth="1"/>
    <col min="7" max="7" width="11.42578125" bestFit="1" customWidth="1"/>
    <col min="8" max="8" width="12.85546875" bestFit="1" customWidth="1"/>
    <col min="9" max="9" width="11.85546875" bestFit="1" customWidth="1"/>
    <col min="10" max="10" width="4.85546875" bestFit="1" customWidth="1"/>
    <col min="11" max="11" width="22.42578125" bestFit="1" customWidth="1"/>
    <col min="12" max="12" width="17.5703125" bestFit="1" customWidth="1"/>
    <col min="13" max="13" width="12.28515625" bestFit="1" customWidth="1"/>
  </cols>
  <sheetData>
    <row r="1" spans="1:13" ht="15.75" thickBot="1" x14ac:dyDescent="0.3">
      <c r="A1" s="66" t="s">
        <v>9</v>
      </c>
      <c r="B1" s="35" t="s">
        <v>10</v>
      </c>
      <c r="C1" s="35" t="s">
        <v>11</v>
      </c>
    </row>
    <row r="2" spans="1:13" x14ac:dyDescent="0.25">
      <c r="A2" s="67"/>
      <c r="B2" s="33">
        <v>45413</v>
      </c>
      <c r="C2" s="33">
        <v>45716</v>
      </c>
      <c r="G2" s="13" t="s">
        <v>21</v>
      </c>
      <c r="H2" s="14" t="s">
        <v>22</v>
      </c>
      <c r="I2" s="14" t="s">
        <v>23</v>
      </c>
      <c r="J2" s="14" t="s">
        <v>24</v>
      </c>
      <c r="K2" s="14" t="s">
        <v>25</v>
      </c>
      <c r="L2" s="14" t="s">
        <v>39</v>
      </c>
      <c r="M2" s="15" t="s">
        <v>26</v>
      </c>
    </row>
    <row r="3" spans="1:13" ht="30" x14ac:dyDescent="0.25">
      <c r="A3" s="34" t="s">
        <v>12</v>
      </c>
      <c r="B3" s="64">
        <f>C2-B2+1</f>
        <v>304</v>
      </c>
      <c r="C3" s="65"/>
      <c r="G3" s="16">
        <v>2024</v>
      </c>
      <c r="H3" s="30">
        <v>45413</v>
      </c>
      <c r="I3" s="17">
        <v>45657</v>
      </c>
      <c r="J3" s="18">
        <f>I3-H3+1</f>
        <v>245</v>
      </c>
      <c r="K3" s="32">
        <f>ROUNDDOWN((('Comparison of ER'!B4/365)*J3),0)</f>
        <v>128209</v>
      </c>
      <c r="L3" s="45">
        <f>SUM('Emission Reductions'!L3:L10)+SUM('Emission Reductions'!L17:L24)+SUM('Emission Reductions'!J31:J38)</f>
        <v>132957.13091788499</v>
      </c>
      <c r="M3" s="46">
        <f>(L3-K3)/K3</f>
        <v>3.7034302723560682E-2</v>
      </c>
    </row>
    <row r="4" spans="1:13" ht="30" x14ac:dyDescent="0.25">
      <c r="A4" s="34" t="s">
        <v>13</v>
      </c>
      <c r="B4" s="62">
        <v>191006</v>
      </c>
      <c r="C4" s="63"/>
      <c r="G4" s="16">
        <v>2025</v>
      </c>
      <c r="H4" s="17">
        <v>45658</v>
      </c>
      <c r="I4" s="17">
        <v>45716</v>
      </c>
      <c r="J4" s="18">
        <f>I4-H4+1</f>
        <v>59</v>
      </c>
      <c r="K4" s="32">
        <f>ROUNDDOWN((('Comparison of ER'!B4/365)*J4),0)</f>
        <v>30874</v>
      </c>
      <c r="L4" s="45">
        <f>SUM('Emission Reductions'!L11:L12)+SUM('Emission Reductions'!L25:L26)+SUM('Emission Reductions'!J39:J40)</f>
        <v>22269.67313558</v>
      </c>
      <c r="M4" s="46">
        <f>(L4-K4)/K4</f>
        <v>-0.27869167793029731</v>
      </c>
    </row>
    <row r="5" spans="1:13" ht="30.75" thickBot="1" x14ac:dyDescent="0.3">
      <c r="A5" s="34" t="s">
        <v>16</v>
      </c>
      <c r="B5" s="62">
        <f>ROUNDDOWN((B4/365)*B3,0)</f>
        <v>159084</v>
      </c>
      <c r="C5" s="63"/>
      <c r="G5" s="68" t="s">
        <v>17</v>
      </c>
      <c r="H5" s="69"/>
      <c r="I5" s="70"/>
      <c r="J5" s="20">
        <f>SUM(J3:J4)</f>
        <v>304</v>
      </c>
      <c r="K5" s="40">
        <f>SUM(K3:K4)</f>
        <v>159083</v>
      </c>
      <c r="L5" s="47">
        <f>ROUNDDOWN(SUM(L3:L4),0)</f>
        <v>155226</v>
      </c>
      <c r="M5" s="48">
        <f>(L5-K5)/K5</f>
        <v>-2.424520533306513E-2</v>
      </c>
    </row>
  </sheetData>
  <mergeCells count="5">
    <mergeCell ref="B5:C5"/>
    <mergeCell ref="B3:C3"/>
    <mergeCell ref="B4:C4"/>
    <mergeCell ref="A1:A2"/>
    <mergeCell ref="G5:I5"/>
  </mergeCells>
  <pageMargins left="0.7" right="0.7" top="0.75" bottom="0.75" header="0.3" footer="0.3"/>
  <headerFooter>
    <oddHeader>&amp;C&amp;"Calibri"&amp;10&amp;K000000 SC-Restricted&amp;1#_x000D_</oddHeader>
    <oddFooter>&amp;C_x000D_&amp;1#&amp;"Calibri"&amp;10&amp;K000000 SC-Restricted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EA65-7D0F-4CCB-B716-5D3C84ACB7EF}">
  <dimension ref="A1:G9"/>
  <sheetViews>
    <sheetView tabSelected="1" workbookViewId="0">
      <selection activeCell="D9" sqref="D9"/>
    </sheetView>
  </sheetViews>
  <sheetFormatPr defaultRowHeight="15" x14ac:dyDescent="0.25"/>
  <cols>
    <col min="1" max="1" width="3.5703125" bestFit="1" customWidth="1"/>
    <col min="2" max="2" width="12.5703125" bestFit="1" customWidth="1"/>
    <col min="3" max="3" width="11.7109375" bestFit="1" customWidth="1"/>
    <col min="4" max="4" width="11.28515625" customWidth="1"/>
    <col min="5" max="5" width="10.5703125" bestFit="1" customWidth="1"/>
    <col min="7" max="7" width="10.5703125" bestFit="1" customWidth="1"/>
  </cols>
  <sheetData>
    <row r="1" spans="1:7" ht="18" x14ac:dyDescent="0.35">
      <c r="A1" s="22" t="s">
        <v>27</v>
      </c>
      <c r="B1" s="23" t="s">
        <v>28</v>
      </c>
      <c r="C1" s="23" t="s">
        <v>29</v>
      </c>
      <c r="D1" s="23" t="s">
        <v>30</v>
      </c>
      <c r="E1" s="23" t="s">
        <v>31</v>
      </c>
    </row>
    <row r="2" spans="1:7" x14ac:dyDescent="0.25">
      <c r="A2" s="31">
        <v>1</v>
      </c>
      <c r="B2" s="17">
        <v>42796</v>
      </c>
      <c r="C2" s="17">
        <v>43465</v>
      </c>
      <c r="D2" s="32">
        <v>221026</v>
      </c>
      <c r="E2" s="32">
        <v>233284</v>
      </c>
      <c r="G2" s="36"/>
    </row>
    <row r="3" spans="1:7" x14ac:dyDescent="0.25">
      <c r="A3" s="31">
        <v>2</v>
      </c>
      <c r="B3" s="17">
        <v>43466</v>
      </c>
      <c r="C3" s="17">
        <v>44043</v>
      </c>
      <c r="D3" s="32">
        <v>294174</v>
      </c>
      <c r="E3" s="32">
        <v>310474.799</v>
      </c>
      <c r="G3" s="36"/>
    </row>
    <row r="4" spans="1:7" x14ac:dyDescent="0.25">
      <c r="A4" s="31">
        <v>3</v>
      </c>
      <c r="B4" s="17">
        <v>44044</v>
      </c>
      <c r="C4" s="17">
        <v>44408</v>
      </c>
      <c r="D4" s="32">
        <v>182244</v>
      </c>
      <c r="E4" s="32">
        <v>192344</v>
      </c>
      <c r="G4" s="36"/>
    </row>
    <row r="5" spans="1:7" x14ac:dyDescent="0.25">
      <c r="A5" s="31">
        <v>4</v>
      </c>
      <c r="B5" s="17">
        <v>44409</v>
      </c>
      <c r="C5" s="17">
        <v>44804</v>
      </c>
      <c r="D5" s="32">
        <v>188886</v>
      </c>
      <c r="E5" s="32">
        <v>199355</v>
      </c>
      <c r="G5" s="36"/>
    </row>
    <row r="6" spans="1:7" x14ac:dyDescent="0.25">
      <c r="A6" s="31">
        <v>5</v>
      </c>
      <c r="B6" s="17">
        <v>44774</v>
      </c>
      <c r="C6" s="17">
        <v>45169</v>
      </c>
      <c r="D6" s="32">
        <v>205831</v>
      </c>
      <c r="E6" s="32">
        <v>217236</v>
      </c>
      <c r="G6" s="36"/>
    </row>
    <row r="7" spans="1:7" x14ac:dyDescent="0.25">
      <c r="A7" s="31">
        <v>6</v>
      </c>
      <c r="B7" s="17">
        <v>45170</v>
      </c>
      <c r="C7" s="17">
        <v>45412</v>
      </c>
      <c r="D7" s="41">
        <v>93670</v>
      </c>
      <c r="E7" s="41">
        <v>98861.476999999999</v>
      </c>
    </row>
    <row r="8" spans="1:7" x14ac:dyDescent="0.25">
      <c r="A8" s="31">
        <v>7</v>
      </c>
      <c r="B8" s="17">
        <v>45413</v>
      </c>
      <c r="C8" s="17">
        <v>45716</v>
      </c>
      <c r="D8" s="45">
        <f>ROUNDDOWN(SUM('Emission Reductions'!L13,'Emission Reductions'!L27,'Emission Reductions'!J41),0)</f>
        <v>155226</v>
      </c>
      <c r="E8" s="45">
        <f>SUM('Emission Reductions'!G13,'Emission Reductions'!G27,'Emission Reductions'!E41)</f>
        <v>163827.76153399999</v>
      </c>
      <c r="G8" s="36"/>
    </row>
    <row r="9" spans="1:7" x14ac:dyDescent="0.25">
      <c r="A9" s="19"/>
      <c r="B9" s="19"/>
      <c r="C9" s="19" t="s">
        <v>17</v>
      </c>
      <c r="D9" s="32">
        <f>SUM(D2:D8)</f>
        <v>1341057</v>
      </c>
      <c r="E9" s="32">
        <f>SUM(E2:E8)</f>
        <v>1415383.0375340001</v>
      </c>
    </row>
  </sheetData>
  <pageMargins left="0.7" right="0.7" top="0.75" bottom="0.75" header="0.3" footer="0.3"/>
  <headerFooter>
    <oddHeader>&amp;C&amp;"Calibri"&amp;10&amp;K000000 SC-Restricted&amp;1#_x000D_</oddHeader>
    <oddFooter>&amp;C_x000D_&amp;1#&amp;"Calibri"&amp;10&amp;K000000 SC-Restricted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Emission Reductions</vt:lpstr>
      <vt:lpstr>Comparison of ER</vt:lpstr>
      <vt:lpstr>Total ERs &amp; EGpj,y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Rajeev Kumar Singh</dc:creator>
  <cp:lastModifiedBy>Shivanjali Anubhuti  Mishra</cp:lastModifiedBy>
  <dcterms:created xsi:type="dcterms:W3CDTF">2015-06-05T18:17:20Z</dcterms:created>
  <dcterms:modified xsi:type="dcterms:W3CDTF">2025-06-03T08:32:23Z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0c0be1-bb3d-41f4-a01f-ac7e5848c08e_Enabled">
    <vt:lpwstr>true</vt:lpwstr>
  </property>
  <property fmtid="{D5CDD505-2E9C-101B-9397-08002B2CF9AE}" pid="3" name="MSIP_Label_990c0be1-bb3d-41f4-a01f-ac7e5848c08e_SetDate">
    <vt:lpwstr>2025-01-06T09:05:58Z</vt:lpwstr>
  </property>
  <property fmtid="{D5CDD505-2E9C-101B-9397-08002B2CF9AE}" pid="4" name="MSIP_Label_990c0be1-bb3d-41f4-a01f-ac7e5848c08e_Method">
    <vt:lpwstr>Standard</vt:lpwstr>
  </property>
  <property fmtid="{D5CDD505-2E9C-101B-9397-08002B2CF9AE}" pid="5" name="MSIP_Label_990c0be1-bb3d-41f4-a01f-ac7e5848c08e_Name">
    <vt:lpwstr>Restricted</vt:lpwstr>
  </property>
  <property fmtid="{D5CDD505-2E9C-101B-9397-08002B2CF9AE}" pid="6" name="MSIP_Label_990c0be1-bb3d-41f4-a01f-ac7e5848c08e_SiteId">
    <vt:lpwstr>812b1e72-2671-4a1e-bc3f-0519db4e3723</vt:lpwstr>
  </property>
  <property fmtid="{D5CDD505-2E9C-101B-9397-08002B2CF9AE}" pid="7" name="MSIP_Label_990c0be1-bb3d-41f4-a01f-ac7e5848c08e_ActionId">
    <vt:lpwstr>32f383ec-34af-413c-bd2e-5a005fa307f4</vt:lpwstr>
  </property>
  <property fmtid="{D5CDD505-2E9C-101B-9397-08002B2CF9AE}" pid="8" name="MSIP_Label_990c0be1-bb3d-41f4-a01f-ac7e5848c08e_ContentBits">
    <vt:lpwstr>3</vt:lpwstr>
  </property>
</Properties>
</file>