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Research &amp; Development/Other Countries/Burkina Faso/Transform Burkina/5. Validation/1. Validation Review/Round 3/"/>
    </mc:Choice>
  </mc:AlternateContent>
  <xr:revisionPtr revIDLastSave="68" documentId="13_ncr:1_{5344758D-7B37-4CC8-BA09-BE59AD293EC9}" xr6:coauthVersionLast="47" xr6:coauthVersionMax="47" xr10:uidLastSave="{1FD86B5D-560A-47D4-AE2E-AA3316D0CECC}"/>
  <bookViews>
    <workbookView xWindow="-110" yWindow="-110" windowWidth="19420" windowHeight="10420" xr2:uid="{00000000-000D-0000-FFFF-FFFF00000000}"/>
  </bookViews>
  <sheets>
    <sheet name="Each VPA" sheetId="7" r:id="rId1"/>
    <sheet name="Useful Energy Output" sheetId="12" r:id="rId2"/>
    <sheet name="SDG Calcs" sheetId="1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7" l="1"/>
  <c r="J32" i="7"/>
  <c r="E19" i="7"/>
  <c r="F21" i="7" l="1"/>
  <c r="E18" i="7" l="1"/>
  <c r="D5" i="13"/>
  <c r="D15" i="13" l="1"/>
  <c r="D4" i="13"/>
  <c r="E20" i="7"/>
  <c r="E12" i="7"/>
  <c r="J30" i="7" l="1"/>
  <c r="E21" i="7"/>
  <c r="E27" i="7"/>
  <c r="E22" i="7"/>
  <c r="E23" i="7" s="1"/>
  <c r="D16" i="13"/>
  <c r="D17" i="13"/>
  <c r="D11" i="13"/>
  <c r="D9" i="13" s="1"/>
  <c r="D3" i="13"/>
  <c r="E26" i="7"/>
  <c r="E28" i="7"/>
  <c r="J37" i="7"/>
  <c r="C4" i="12"/>
  <c r="C3" i="12"/>
  <c r="O3" i="12"/>
  <c r="E30" i="7"/>
  <c r="O5" i="12"/>
  <c r="O4" i="12"/>
  <c r="E29" i="7"/>
  <c r="O6" i="12"/>
  <c r="C6" i="12"/>
  <c r="D14" i="13" l="1"/>
  <c r="C5" i="12"/>
  <c r="C7" i="12" s="1"/>
  <c r="C9" i="12" s="1"/>
  <c r="C11" i="12" s="1"/>
  <c r="E9" i="12"/>
  <c r="E11" i="12" s="1"/>
  <c r="J9" i="12"/>
  <c r="J11" i="12" s="1"/>
  <c r="L9" i="12"/>
  <c r="L11" i="12" s="1"/>
  <c r="G9" i="12"/>
  <c r="G11" i="12" s="1"/>
  <c r="D9" i="12"/>
  <c r="D11" i="12" s="1"/>
  <c r="H9" i="12"/>
  <c r="H11" i="12" s="1"/>
  <c r="E31" i="7"/>
  <c r="J29" i="7" s="1"/>
  <c r="J28" i="7"/>
  <c r="I9" i="12" l="1"/>
  <c r="I11" i="12" s="1"/>
  <c r="F9" i="12"/>
  <c r="F11" i="12" s="1"/>
  <c r="K9" i="12"/>
  <c r="K11" i="12" s="1"/>
  <c r="J40" i="7" l="1"/>
  <c r="D2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tc={358329C5-67AA-442C-BEEC-635D06D6FFCA}</author>
    <author>tc={AF9D4304-53DF-4303-8C74-7DF54A65B579}</author>
    <author>tc={204E345F-4B16-4243-B464-3F26C35FF49A}</author>
    <author>tc={22331ED7-DB31-49F2-AB94-10935ACAC575}</author>
    <author>tc={448A9049-E211-42CE-B2F6-417738D02C69}</author>
    <author>tc={0BA5A81E-D85A-4491-A721-BB2B842A0232}</author>
    <author>tc={2D3117C9-DFFA-429F-AD47-2988F89F1D17}</author>
    <author>tc={B49A226C-CFF9-4823-B356-EC3E34C4B537}</author>
    <author>tc={91ADC128-E170-429E-B9C9-DFEDB60F8993}</author>
    <author>tc={34C2DDD4-6C1C-4935-B9DE-F0209E87648B}</author>
    <author>tc={1CF884D5-A1F8-48D4-A4E9-766033F78CED}</author>
    <author>tc={B9F65EF1-0468-4626-B9D2-502D56CC6A12}</author>
    <author>tc={22B8FA33-96CD-4AF3-8628-37560DA12B79}</author>
  </authors>
  <commentList>
    <comment ref="E3" authorId="0" shapeId="0" xr:uid="{358329C5-67AA-442C-BEEC-635D06D6FFCA}">
      <text>
        <t>[Threaded comment]
Your version of Excel allows you to read this threaded comment; however, any edits to it will get removed if the file is opened in a newer version of Excel. Learn more: https://go.microsoft.com/fwlink/?linkid=870924
Comment:
    TPDDTEC v3.1 daily cap (litres/person/day) for full-day premises. Used as to inform Ex-Ante estimates. The value will be updated if necessary following the completion of the WCFT survey conducted in annual monitoring should the final amount come out lower.
Methodology reference - page 48.</t>
      </text>
    </comment>
    <comment ref="E4" authorId="1" shapeId="0" xr:uid="{AF9D4304-53DF-4303-8C74-7DF54A65B579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in advance of data</t>
      </text>
    </comment>
    <comment ref="E5" authorId="2" shapeId="0" xr:uid="{204E345F-4B16-4243-B464-3F26C35FF49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in advance of data</t>
      </text>
    </comment>
    <comment ref="E6" authorId="3" shapeId="0" xr:uid="{22331ED7-DB31-49F2-AB94-10935ACAC575}">
      <text>
        <t>[Threaded comment]
Your version of Excel allows you to read this threaded comment; however, any edits to it will get removed if the file is opened in a newer version of Excel. Learn more: https://go.microsoft.com/fwlink/?linkid=870924
Comment:
    UNFCCC Default Value. 
Source: https://cdm.unfccc.int/DNA/fNRB/index.html
PP acknowleges value is expired. It is being applied for the purpose of the Ex-Ante estimations. 
A value derived in line with the methodological requirements will be applied for verification.</t>
      </text>
    </comment>
    <comment ref="E7" authorId="4" shapeId="0" xr:uid="{448A9049-E211-42CE-B2F6-417738D02C69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in advance of data</t>
      </text>
    </comment>
    <comment ref="E8" authorId="5" shapeId="0" xr:uid="{0BA5A81E-D85A-4491-A721-BB2B842A0232}">
      <text>
        <t>[Threaded comment]
Your version of Excel allows you to read this threaded comment; however, any edits to it will get removed if the file is opened in a newer version of Excel. Learn more: https://go.microsoft.com/fwlink/?linkid=870924
Comment:
    GS Default value in line with https://globalgoals.goldstandard.org/standards/RU_2021_Application-of-TPDDTEC-methodology-to-Safe-water-supply-projects.pdf 
Capped at 0.4 kg/l.</t>
      </text>
    </comment>
    <comment ref="E9" authorId="6" shapeId="0" xr:uid="{2D3117C9-DFFA-429F-AD47-2988F89F1D17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Baseline Survey</t>
      </text>
    </comment>
    <comment ref="E12" authorId="7" shapeId="0" xr:uid="{B49A226C-CFF9-4823-B356-EC3E34C4B537}">
      <text>
        <t>[Threaded comment]
Your version of Excel allows you to read this threaded comment; however, any edits to it will get removed if the file is opened in a newer version of Excel. Learn more: https://go.microsoft.com/fwlink/?linkid=870924
Comment:
    Default value</t>
      </text>
    </comment>
    <comment ref="E13" authorId="8" shapeId="0" xr:uid="{91ADC128-E170-429E-B9C9-DFEDB60F8993}">
      <text>
        <t>[Threaded comment]
Your version of Excel allows you to read this threaded comment; however, any edits to it will get removed if the file is opened in a newer version of Excel. Learn more: https://go.microsoft.com/fwlink/?linkid=870924
Comment:
    Default value</t>
      </text>
    </comment>
    <comment ref="E14" authorId="9" shapeId="0" xr:uid="{34C2DDD4-6C1C-4935-B9DE-F0209E87648B}">
      <text>
        <t>[Threaded comment]
Your version of Excel allows you to read this threaded comment; however, any edits to it will get removed if the file is opened in a newer version of Excel. Learn more: https://go.microsoft.com/fwlink/?linkid=870924
Comment:
    Default value in line with updated AR5 GWP value</t>
      </text>
    </comment>
    <comment ref="E15" authorId="10" shapeId="0" xr:uid="{1CF884D5-A1F8-48D4-A4E9-766033F78CED}">
      <text>
        <t>[Threaded comment]
Your version of Excel allows you to read this threaded comment; however, any edits to it will get removed if the file is opened in a newer version of Excel. Learn more: https://go.microsoft.com/fwlink/?linkid=870924
Comment:
    Default value</t>
      </text>
    </comment>
    <comment ref="J31" authorId="11" shapeId="0" xr:uid="{B9F65EF1-0468-4626-B9D2-502D56CC6A12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conservativeness at the time of design certification, 5% of project emissions will be discounted to account for leakage.</t>
      </text>
    </comment>
    <comment ref="J36" authorId="12" shapeId="0" xr:uid="{22B8FA33-96CD-4AF3-8628-37560DA12B79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Baseline Survey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tc={B039F1F7-86D0-45A6-A445-50A8EDD62A5D}</author>
    <author>tc={91C17DD9-A17D-45FA-8820-AB3B64481347}</author>
    <author>tc={A3A8F266-4843-41AF-A1D2-998EE68D2E5F}</author>
  </authors>
  <commentList>
    <comment ref="C2" authorId="0" shapeId="0" xr:uid="{B039F1F7-86D0-45A6-A445-50A8EDD62A5D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Baseline Survey</t>
      </text>
    </comment>
    <comment ref="C3" authorId="1" shapeId="0" xr:uid="{91C17DD9-A17D-45FA-8820-AB3B64481347}">
      <text>
        <t>[Threaded comment]
Your version of Excel allows you to read this threaded comment; however, any edits to it will get removed if the file is opened in a newer version of Excel. Learn more: https://go.microsoft.com/fwlink/?linkid=870924
Comment:
    TPDDTEC v3.1 daily cap (litres/person/day) for full-day premises. Used as to inform Ex-Ante estimates. The value will be updated if necessary following the completion of the WCFT survey conducted in annual monitoring should the final amount come out lower.
Methodology reference - page 48.</t>
      </text>
    </comment>
    <comment ref="C4" authorId="2" shapeId="0" xr:uid="{A3A8F266-4843-41AF-A1D2-998EE68D2E5F}">
      <text>
        <t>[Threaded comment]
Your version of Excel allows you to read this threaded comment; however, any edits to it will get removed if the file is opened in a newer version of Excel. Learn more: https://go.microsoft.com/fwlink/?linkid=870924
Comment:
    GS Default value in line with https://globalgoals.goldstandard.org/standards/RU_2021_Application-of-TPDDTEC-methodology-to-Safe-water-supply-projects.pdf 
Capped at 0.4 kg/l.</t>
      </text>
    </comment>
  </commentList>
</comments>
</file>

<file path=xl/sharedStrings.xml><?xml version="1.0" encoding="utf-8"?>
<sst xmlns="http://schemas.openxmlformats.org/spreadsheetml/2006/main" count="181" uniqueCount="115">
  <si>
    <t>Project Variables</t>
  </si>
  <si>
    <t>Quantity safe water litres supplied by project technology</t>
  </si>
  <si>
    <t>Qp,y</t>
  </si>
  <si>
    <t>L/pd</t>
  </si>
  <si>
    <t>Quantity of raw water boiled in addition to project tech water</t>
  </si>
  <si>
    <t>Qp, raw, y</t>
  </si>
  <si>
    <t>Quantity of safe water boiled</t>
  </si>
  <si>
    <t xml:space="preserve">Qp, cleanboil, y </t>
  </si>
  <si>
    <t>NRB</t>
  </si>
  <si>
    <t>fNRB</t>
  </si>
  <si>
    <t>fraction</t>
  </si>
  <si>
    <t>Usage rate</t>
  </si>
  <si>
    <t>Up,y</t>
  </si>
  <si>
    <t>Tonnes of wood to boil water - water boiling test</t>
  </si>
  <si>
    <t>Wp,y</t>
  </si>
  <si>
    <t>T/L</t>
  </si>
  <si>
    <t>% safe anyway</t>
  </si>
  <si>
    <t>Cj</t>
  </si>
  <si>
    <t>Percentage</t>
  </si>
  <si>
    <t>Constants</t>
  </si>
  <si>
    <t>Fraction</t>
  </si>
  <si>
    <t>Emissions factor fuel (co2)</t>
  </si>
  <si>
    <t>EFb,fuel,co2</t>
  </si>
  <si>
    <t>tCO2/TJ</t>
  </si>
  <si>
    <t>Emissions factor fuel (non-co2)</t>
  </si>
  <si>
    <t>EFb, fuel, non-co2</t>
  </si>
  <si>
    <t>TCO2/TJ</t>
  </si>
  <si>
    <t>Net calorific value of fuel</t>
  </si>
  <si>
    <t>NCV,b,fuel</t>
  </si>
  <si>
    <t>TJ/T</t>
  </si>
  <si>
    <t>Baseline Fuel Use (Bby)</t>
  </si>
  <si>
    <t>Portion using safe water</t>
  </si>
  <si>
    <t>Person Days</t>
  </si>
  <si>
    <t>Np,y</t>
  </si>
  <si>
    <t>approximate number of boreholes per VPA</t>
  </si>
  <si>
    <t>Fuel to treat  1 litre of water using baseline tech</t>
  </si>
  <si>
    <t>Wb,y</t>
  </si>
  <si>
    <t>Number of users per borehole</t>
  </si>
  <si>
    <t>Quantity safe water litres consumed in project scenario supplied by project technology</t>
  </si>
  <si>
    <t>Days in year</t>
  </si>
  <si>
    <t>Quantity of raw water boiled in addition to project technology water</t>
  </si>
  <si>
    <t>Quantity fuel consumed in baseline scenario</t>
  </si>
  <si>
    <t>Bb,y</t>
  </si>
  <si>
    <t>T</t>
  </si>
  <si>
    <t>Project Fuel Use (Pby)</t>
  </si>
  <si>
    <t>Emissions Reductions</t>
  </si>
  <si>
    <t>Fossil fuel required to treat 1  litre for water in project scenario</t>
  </si>
  <si>
    <t xml:space="preserve">Wp,y </t>
  </si>
  <si>
    <t>Baseline emissions per year</t>
  </si>
  <si>
    <t>BEb,y</t>
  </si>
  <si>
    <t>tCO2/y</t>
  </si>
  <si>
    <t>Project emissions per year</t>
  </si>
  <si>
    <t>PEp,y</t>
  </si>
  <si>
    <t>Quantity of fuel consumed in project scenario per HH</t>
  </si>
  <si>
    <t>Bp,y</t>
  </si>
  <si>
    <t>LEp,y</t>
  </si>
  <si>
    <t>Emission Reductions</t>
  </si>
  <si>
    <t>Ery</t>
  </si>
  <si>
    <t>Suppressed Demand Assessment</t>
  </si>
  <si>
    <r>
      <t xml:space="preserve">Percentage of </t>
    </r>
    <r>
      <rPr>
        <b/>
        <u/>
        <sz val="11"/>
        <color indexed="8"/>
        <rFont val="Calibri"/>
        <family val="2"/>
      </rPr>
      <t>non</t>
    </r>
    <r>
      <rPr>
        <sz val="11"/>
        <color theme="1"/>
        <rFont val="Calibri"/>
        <family val="2"/>
        <scheme val="minor"/>
      </rPr>
      <t>-suppressed demand users</t>
    </r>
  </si>
  <si>
    <t>Xboil</t>
  </si>
  <si>
    <t>Percentage of suppressed demand users</t>
  </si>
  <si>
    <t>Capped Emission Reductions</t>
  </si>
  <si>
    <t>Family Size</t>
  </si>
  <si>
    <t>NCV biomass (TJ/t)</t>
  </si>
  <si>
    <t>J/kWh</t>
  </si>
  <si>
    <t>Fuel to treat  1 litre of water using baseline tech (t/L)</t>
  </si>
  <si>
    <t>kWh/J</t>
  </si>
  <si>
    <t>Mean baseline stove wood consumption (t/stove/day)</t>
  </si>
  <si>
    <t>NCV biomass (J/t)#</t>
  </si>
  <si>
    <t>NCV Biomass (kWh/t)</t>
  </si>
  <si>
    <t>Mean baseline stove energy consumption (kWh/stove/day)</t>
  </si>
  <si>
    <t>Estimated daily use (hours)</t>
  </si>
  <si>
    <t>Estimated fuel consumption (kW)</t>
  </si>
  <si>
    <t>Assumed thermal efficiency of stove</t>
  </si>
  <si>
    <t>Useful output (kW)</t>
  </si>
  <si>
    <t xml:space="preserve">SDG 3: Good Health and Well Being </t>
  </si>
  <si>
    <t>Description</t>
  </si>
  <si>
    <t>Psafe = Py * (1-Cj) * (1-Pb,boil)</t>
  </si>
  <si>
    <t>Unit</t>
  </si>
  <si>
    <t>Source</t>
  </si>
  <si>
    <t>Psafe</t>
  </si>
  <si>
    <t xml:space="preserve">Number of additional persons having access to safe water in the project activity compared to the baseline scenario. </t>
  </si>
  <si>
    <t>people</t>
  </si>
  <si>
    <t>-</t>
  </si>
  <si>
    <t>Py</t>
  </si>
  <si>
    <t xml:space="preserve">Number of persons having access to safe water in the project activity. </t>
  </si>
  <si>
    <t>Conservative estimate assumed in advance of data</t>
  </si>
  <si>
    <t>Expressed as a percentage, the portion of users of the project technology j who in the baseline were already consuming safe water without boiling it.</t>
  </si>
  <si>
    <t>%</t>
  </si>
  <si>
    <t>Baseline Survey</t>
  </si>
  <si>
    <t>Pb,boil</t>
  </si>
  <si>
    <t>Percentage of persons boiling water for purification in the baseline scenario.</t>
  </si>
  <si>
    <t>SDG 5: Gender Equality</t>
  </si>
  <si>
    <t>TRy = Tb,y - Tp,y</t>
  </si>
  <si>
    <t>TRy</t>
  </si>
  <si>
    <t xml:space="preserve">Total reduction time spent collecting water for project activity in year y </t>
  </si>
  <si>
    <t>hours</t>
  </si>
  <si>
    <t>Tb,y</t>
  </si>
  <si>
    <t xml:space="preserve">Baseline time spent collecting water per household per day </t>
  </si>
  <si>
    <t>Tp,y</t>
  </si>
  <si>
    <t xml:space="preserve">Project time spent collecting water per household per day </t>
  </si>
  <si>
    <t>Conserative Estimate informed by Academia</t>
  </si>
  <si>
    <t>SDG 6: Clean Water and Sanitation</t>
  </si>
  <si>
    <t>Paccess = Py * (1 – Cj) * Up,y</t>
  </si>
  <si>
    <t>Paccess</t>
  </si>
  <si>
    <t>Number of additional persons having access to safe water in the project activity compared to the baseline scenario</t>
  </si>
  <si>
    <t>Number of persons having access to safe water in the project activity</t>
  </si>
  <si>
    <t xml:space="preserve">Up,y </t>
  </si>
  <si>
    <r>
      <t>Usage rate in project scenario p during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year y</t>
    </r>
  </si>
  <si>
    <t>SDG 13: Climate Action</t>
  </si>
  <si>
    <t>Er,y</t>
  </si>
  <si>
    <t xml:space="preserve">CO2 emission reductions for the current monitoring period </t>
  </si>
  <si>
    <t>VER</t>
  </si>
  <si>
    <t xml:space="preserve">Leakage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</si>
</sst>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00000"/>
    <numFmt numFmtId="166" formatCode="0.0%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ill="1" applyBorder="1"/>
    <xf numFmtId="0" fontId="0" fillId="0" borderId="0" xfId="0" applyFill="1"/>
    <xf numFmtId="1" fontId="0" fillId="0" borderId="1" xfId="0" applyNumberFormat="1" applyFill="1" applyBorder="1"/>
    <xf numFmtId="0" fontId="0" fillId="0" borderId="1" xfId="0" applyFill="1" applyBorder="1"/>
    <xf numFmtId="10" fontId="0" fillId="0" borderId="1" xfId="0" applyNumberFormat="1" applyBorder="1"/>
    <xf numFmtId="0" fontId="0" fillId="0" borderId="2" xfId="0" applyFill="1" applyBorder="1" applyAlignment="1"/>
    <xf numFmtId="0" fontId="0" fillId="0" borderId="1" xfId="0" applyFill="1" applyBorder="1" applyAlignment="1"/>
    <xf numFmtId="0" fontId="0" fillId="0" borderId="3" xfId="0" applyFill="1" applyBorder="1" applyAlignment="1"/>
    <xf numFmtId="10" fontId="0" fillId="0" borderId="1" xfId="1" applyNumberFormat="1" applyFont="1" applyFill="1" applyBorder="1"/>
    <xf numFmtId="0" fontId="0" fillId="3" borderId="1" xfId="0" applyFill="1" applyBorder="1"/>
    <xf numFmtId="3" fontId="0" fillId="3" borderId="1" xfId="0" applyNumberFormat="1" applyFill="1" applyBorder="1"/>
    <xf numFmtId="0" fontId="0" fillId="0" borderId="1" xfId="0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/>
    <xf numFmtId="0" fontId="0" fillId="0" borderId="0" xfId="0" applyFill="1" applyBorder="1" applyAlignment="1">
      <alignment horizontal="center"/>
    </xf>
    <xf numFmtId="2" fontId="0" fillId="3" borderId="1" xfId="0" applyNumberFormat="1" applyFill="1" applyBorder="1"/>
    <xf numFmtId="0" fontId="0" fillId="0" borderId="1" xfId="0" applyFill="1" applyBorder="1" applyAlignment="1">
      <alignment horizontal="left"/>
    </xf>
    <xf numFmtId="0" fontId="0" fillId="2" borderId="1" xfId="0" applyFont="1" applyFill="1" applyBorder="1" applyAlignment="1">
      <alignment horizontal="right"/>
    </xf>
    <xf numFmtId="0" fontId="0" fillId="8" borderId="0" xfId="0" applyFill="1"/>
    <xf numFmtId="0" fontId="0" fillId="8" borderId="0" xfId="0" applyFont="1" applyFill="1"/>
    <xf numFmtId="0" fontId="0" fillId="9" borderId="1" xfId="0" applyFont="1" applyFill="1" applyBorder="1"/>
    <xf numFmtId="0" fontId="0" fillId="8" borderId="1" xfId="0" applyFont="1" applyFill="1" applyBorder="1"/>
    <xf numFmtId="0" fontId="0" fillId="2" borderId="1" xfId="0" applyFont="1" applyFill="1" applyBorder="1"/>
    <xf numFmtId="3" fontId="0" fillId="8" borderId="1" xfId="0" applyNumberFormat="1" applyFont="1" applyFill="1" applyBorder="1"/>
    <xf numFmtId="0" fontId="0" fillId="0" borderId="1" xfId="0" applyFont="1" applyFill="1" applyBorder="1"/>
    <xf numFmtId="0" fontId="0" fillId="8" borderId="1" xfId="0" applyFill="1" applyBorder="1"/>
    <xf numFmtId="0" fontId="0" fillId="0" borderId="0" xfId="0" applyFont="1" applyFill="1"/>
    <xf numFmtId="4" fontId="0" fillId="8" borderId="1" xfId="0" applyNumberFormat="1" applyFont="1" applyFill="1" applyBorder="1"/>
    <xf numFmtId="0" fontId="0" fillId="8" borderId="2" xfId="0" applyFont="1" applyFill="1" applyBorder="1"/>
    <xf numFmtId="0" fontId="0" fillId="0" borderId="1" xfId="0" applyFont="1" applyFill="1" applyBorder="1" applyAlignment="1">
      <alignment horizontal="center"/>
    </xf>
    <xf numFmtId="4" fontId="0" fillId="8" borderId="2" xfId="0" applyNumberFormat="1" applyFont="1" applyFill="1" applyBorder="1"/>
    <xf numFmtId="4" fontId="0" fillId="0" borderId="1" xfId="0" applyNumberFormat="1" applyFont="1" applyFill="1" applyBorder="1"/>
    <xf numFmtId="4" fontId="0" fillId="0" borderId="1" xfId="0" applyNumberFormat="1" applyFont="1" applyFill="1" applyBorder="1" applyAlignment="1">
      <alignment horizontal="center"/>
    </xf>
    <xf numFmtId="9" fontId="0" fillId="8" borderId="1" xfId="0" applyNumberFormat="1" applyFont="1" applyFill="1" applyBorder="1"/>
    <xf numFmtId="2" fontId="0" fillId="8" borderId="1" xfId="0" applyNumberFormat="1" applyFont="1" applyFill="1" applyBorder="1"/>
    <xf numFmtId="2" fontId="0" fillId="0" borderId="1" xfId="0" applyNumberFormat="1" applyFont="1" applyFill="1" applyBorder="1"/>
    <xf numFmtId="2" fontId="0" fillId="8" borderId="5" xfId="0" applyNumberFormat="1" applyFont="1" applyFill="1" applyBorder="1"/>
    <xf numFmtId="2" fontId="0" fillId="0" borderId="5" xfId="0" applyNumberFormat="1" applyFont="1" applyFill="1" applyBorder="1"/>
    <xf numFmtId="165" fontId="0" fillId="3" borderId="1" xfId="0" applyNumberFormat="1" applyFill="1" applyBorder="1"/>
    <xf numFmtId="10" fontId="0" fillId="3" borderId="1" xfId="1" applyNumberFormat="1" applyFont="1" applyFill="1" applyBorder="1"/>
    <xf numFmtId="1" fontId="0" fillId="10" borderId="1" xfId="0" applyNumberFormat="1" applyFill="1" applyBorder="1"/>
    <xf numFmtId="10" fontId="0" fillId="0" borderId="0" xfId="0" applyNumberFormat="1"/>
    <xf numFmtId="0" fontId="0" fillId="11" borderId="1" xfId="0" applyFill="1" applyBorder="1" applyAlignment="1">
      <alignment wrapText="1"/>
    </xf>
    <xf numFmtId="0" fontId="0" fillId="11" borderId="1" xfId="0" applyFill="1" applyBorder="1"/>
    <xf numFmtId="0" fontId="0" fillId="0" borderId="5" xfId="0" applyBorder="1"/>
    <xf numFmtId="0" fontId="0" fillId="0" borderId="1" xfId="0" applyBorder="1" applyAlignment="1">
      <alignment wrapText="1"/>
    </xf>
    <xf numFmtId="1" fontId="2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1" xfId="0" applyNumberFormat="1" applyFill="1" applyBorder="1" applyAlignment="1">
      <alignment horizontal="right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1" fontId="2" fillId="0" borderId="1" xfId="0" applyNumberFormat="1" applyFont="1" applyBorder="1" applyAlignment="1">
      <alignment horizontal="left" wrapText="1"/>
    </xf>
    <xf numFmtId="10" fontId="0" fillId="0" borderId="1" xfId="0" applyNumberFormat="1" applyBorder="1" applyAlignment="1">
      <alignment horizontal="right" wrapText="1"/>
    </xf>
    <xf numFmtId="9" fontId="0" fillId="0" borderId="1" xfId="1" applyNumberFormat="1" applyFont="1" applyBorder="1" applyAlignment="1">
      <alignment horizontal="right" wrapText="1"/>
    </xf>
    <xf numFmtId="164" fontId="2" fillId="0" borderId="1" xfId="2" applyNumberFormat="1" applyFont="1" applyBorder="1" applyAlignment="1">
      <alignment horizontal="left"/>
    </xf>
    <xf numFmtId="10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3" borderId="1" xfId="2" applyNumberFormat="1" applyFont="1" applyFill="1" applyBorder="1" applyAlignment="1">
      <alignment horizontal="right"/>
    </xf>
    <xf numFmtId="0" fontId="0" fillId="11" borderId="1" xfId="0" applyFill="1" applyBorder="1" applyAlignment="1">
      <alignment vertical="top"/>
    </xf>
    <xf numFmtId="0" fontId="0" fillId="0" borderId="1" xfId="0" applyFont="1" applyBorder="1" applyAlignment="1">
      <alignment wrapText="1"/>
    </xf>
    <xf numFmtId="167" fontId="2" fillId="0" borderId="1" xfId="0" applyNumberFormat="1" applyFont="1" applyBorder="1" applyAlignment="1">
      <alignment horizontal="left" wrapText="1"/>
    </xf>
    <xf numFmtId="164" fontId="0" fillId="0" borderId="0" xfId="0" applyNumberFormat="1" applyFill="1"/>
    <xf numFmtId="1" fontId="0" fillId="0" borderId="0" xfId="0" applyNumberFormat="1" applyFill="1"/>
    <xf numFmtId="14" fontId="0" fillId="0" borderId="0" xfId="0" applyNumberFormat="1"/>
    <xf numFmtId="0" fontId="0" fillId="0" borderId="0" xfId="0" applyFont="1"/>
    <xf numFmtId="0" fontId="0" fillId="12" borderId="0" xfId="0" applyFill="1"/>
    <xf numFmtId="0" fontId="4" fillId="2" borderId="1" xfId="0" applyFont="1" applyFill="1" applyBorder="1"/>
    <xf numFmtId="0" fontId="0" fillId="12" borderId="1" xfId="0" applyFill="1" applyBorder="1"/>
    <xf numFmtId="0" fontId="2" fillId="0" borderId="0" xfId="0" applyFont="1" applyFill="1"/>
    <xf numFmtId="1" fontId="0" fillId="0" borderId="0" xfId="0" applyNumberFormat="1"/>
    <xf numFmtId="2" fontId="0" fillId="10" borderId="1" xfId="0" applyNumberFormat="1" applyFont="1" applyFill="1" applyBorder="1"/>
    <xf numFmtId="9" fontId="0" fillId="3" borderId="1" xfId="0" applyNumberFormat="1" applyFill="1" applyBorder="1"/>
    <xf numFmtId="1" fontId="0" fillId="3" borderId="1" xfId="0" applyNumberFormat="1" applyFill="1" applyBorder="1"/>
    <xf numFmtId="0" fontId="0" fillId="0" borderId="0" xfId="0" applyFill="1" applyAlignment="1">
      <alignment horizontal="left" vertical="top" wrapText="1"/>
    </xf>
    <xf numFmtId="0" fontId="0" fillId="10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ie Nevin" id="{7A99CF22-E10D-45F2-998A-3D587F80F19E}" userId="Amie Nevin" providerId="None"/>
  <person displayName="Emma Donnachie" id="{D80F5294-328C-4522-A630-804BE70BEF7E}" userId="S::cloud10@co2balance.onmicrosoft.com::c063bd9e-bee8-4fba-aaed-9e9637a74ea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1-07-05T17:05:13.24" personId="{7A99CF22-E10D-45F2-998A-3D587F80F19E}" id="{358329C5-67AA-442C-BEEC-635D06D6FFCA}">
    <text>TPDDTEC v3.1 daily cap (litres/person/day) for full-day premises. Used as to inform Ex-Ante estimates. The value will be updated if necessary following the completion of the WCFT survey conducted in annual monitoring should the final amount come out lower.
Methodology reference - page 48.</text>
  </threadedComment>
  <threadedComment ref="E4" dT="2019-07-15T13:42:49.21" personId="{D80F5294-328C-4522-A630-804BE70BEF7E}" id="{AF9D4304-53DF-4303-8C74-7DF54A65B579}">
    <text>Assumed in advance of data</text>
  </threadedComment>
  <threadedComment ref="E5" dT="2019-07-15T13:43:09.19" personId="{D80F5294-328C-4522-A630-804BE70BEF7E}" id="{204E345F-4B16-4243-B464-3F26C35FF49A}">
    <text>Assumed in advance of data</text>
  </threadedComment>
  <threadedComment ref="E6" dT="2020-03-04T10:16:56.59" personId="{7A99CF22-E10D-45F2-998A-3D587F80F19E}" id="{22331ED7-DB31-49F2-AB94-10935ACAC575}">
    <text>UNFCCC Default Value. 
Source: https://cdm.unfccc.int/DNA/fNRB/index.html
PP acknowleges value is expired. It is being applied for the purpose of the Ex-Ante estimations. 
A value derived in line with the methodological requirements will be applied for verification.</text>
  </threadedComment>
  <threadedComment ref="E7" dT="2019-07-15T13:43:24.61" personId="{D80F5294-328C-4522-A630-804BE70BEF7E}" id="{448A9049-E211-42CE-B2F6-417738D02C69}">
    <text>Assumed in advance of data</text>
  </threadedComment>
  <threadedComment ref="E8" dT="2021-07-21T14:05:02.52" personId="{7A99CF22-E10D-45F2-998A-3D587F80F19E}" id="{0BA5A81E-D85A-4491-A721-BB2B842A0232}">
    <text>GS Default value in line with https://globalgoals.goldstandard.org/standards/RU_2021_Application-of-TPDDTEC-methodology-to-Safe-water-supply-projects.pdf 
Capped at 0.4 kg/l.</text>
  </threadedComment>
  <threadedComment ref="E9" dT="2020-03-04T10:17:53.46" personId="{7A99CF22-E10D-45F2-998A-3D587F80F19E}" id="{2D3117C9-DFFA-429F-AD47-2988F89F1D17}">
    <text>From Baseline Survey</text>
  </threadedComment>
  <threadedComment ref="E12" dT="2020-03-04T10:18:42.71" personId="{7A99CF22-E10D-45F2-998A-3D587F80F19E}" id="{B49A226C-CFF9-4823-B356-EC3E34C4B537}">
    <text>Default value</text>
  </threadedComment>
  <threadedComment ref="E13" dT="2020-03-04T10:18:29.69" personId="{7A99CF22-E10D-45F2-998A-3D587F80F19E}" id="{91ADC128-E170-429E-B9C9-DFEDB60F8993}">
    <text>Default value</text>
  </threadedComment>
  <threadedComment ref="E14" dT="2020-03-04T10:18:32.63" personId="{7A99CF22-E10D-45F2-998A-3D587F80F19E}" id="{34C2DDD4-6C1C-4935-B9DE-F0209E87648B}">
    <text>Default value in line with updated AR5 GWP value</text>
  </threadedComment>
  <threadedComment ref="E15" dT="2020-03-04T10:18:38.70" personId="{7A99CF22-E10D-45F2-998A-3D587F80F19E}" id="{1CF884D5-A1F8-48D4-A4E9-766033F78CED}">
    <text>Default value</text>
  </threadedComment>
  <threadedComment ref="J31" dT="2021-07-20T14:53:07.60" personId="{7A99CF22-E10D-45F2-998A-3D587F80F19E}" id="{B9F65EF1-0468-4626-B9D2-502D56CC6A12}">
    <text>For conservativeness at the time of design certification, 5% of project emissions will be discounted to account for leakage.</text>
  </threadedComment>
  <threadedComment ref="J36" dT="2020-03-04T10:23:24.12" personId="{7A99CF22-E10D-45F2-998A-3D587F80F19E}" id="{22B8FA33-96CD-4AF3-8628-37560DA12B79}">
    <text>From Baseline Survey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" dT="2019-07-15T13:51:29.18" personId="{D80F5294-328C-4522-A630-804BE70BEF7E}" id="{B039F1F7-86D0-45A6-A445-50A8EDD62A5D}">
    <text>From Baseline Survey</text>
  </threadedComment>
  <threadedComment ref="C3" dT="2021-07-21T15:19:27.31" personId="{7A99CF22-E10D-45F2-998A-3D587F80F19E}" id="{91C17DD9-A17D-45FA-8820-AB3B64481347}">
    <text>TPDDTEC v3.1 daily cap (litres/person/day) for full-day premises. Used as to inform Ex-Ante estimates. The value will be updated if necessary following the completion of the WCFT survey conducted in annual monitoring should the final amount come out lower.
Methodology reference - page 48.</text>
  </threadedComment>
  <threadedComment ref="C4" dT="2020-03-04T10:46:32.23" personId="{7A99CF22-E10D-45F2-998A-3D587F80F19E}" id="{A3A8F266-4843-41AF-A1D2-998EE68D2E5F}">
    <text>GS Default value in line with https://globalgoals.goldstandard.org/standards/RU_2021_Application-of-TPDDTEC-methodology-to-Safe-water-supply-projects.pdf 
Capped at 0.4 kg/l.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2"/>
  <sheetViews>
    <sheetView showGridLines="0" tabSelected="1" zoomScale="70" zoomScaleNormal="70" workbookViewId="0">
      <selection activeCell="E3" sqref="E3"/>
    </sheetView>
  </sheetViews>
  <sheetFormatPr defaultRowHeight="14.5" x14ac:dyDescent="0.35"/>
  <cols>
    <col min="1" max="1" width="5.1796875" customWidth="1"/>
    <col min="2" max="2" width="65.453125" customWidth="1"/>
    <col min="3" max="3" width="20" bestFit="1" customWidth="1"/>
    <col min="4" max="4" width="22" customWidth="1"/>
    <col min="5" max="5" width="14.453125" bestFit="1" customWidth="1"/>
    <col min="6" max="6" width="14.1796875" style="1" customWidth="1"/>
    <col min="7" max="7" width="48" customWidth="1"/>
    <col min="8" max="8" width="17" bestFit="1" customWidth="1"/>
    <col min="9" max="9" width="20.26953125" customWidth="1"/>
    <col min="10" max="10" width="12.1796875" bestFit="1" customWidth="1"/>
    <col min="11" max="11" width="15.453125" customWidth="1"/>
    <col min="12" max="12" width="14.7265625" customWidth="1"/>
    <col min="13" max="13" width="30.81640625" customWidth="1"/>
    <col min="15" max="15" width="24.453125" customWidth="1"/>
    <col min="18" max="18" width="9.26953125" bestFit="1" customWidth="1"/>
  </cols>
  <sheetData>
    <row r="1" spans="2:15" x14ac:dyDescent="0.35">
      <c r="F1" s="15"/>
      <c r="L1" s="2"/>
      <c r="M1" s="2"/>
      <c r="N1" s="2"/>
      <c r="O1" s="2"/>
    </row>
    <row r="2" spans="2:15" x14ac:dyDescent="0.35">
      <c r="B2" s="78" t="s">
        <v>0</v>
      </c>
      <c r="C2" s="78"/>
      <c r="D2" s="78"/>
      <c r="E2" s="78"/>
      <c r="G2" s="1"/>
      <c r="L2" s="2"/>
      <c r="M2" s="2"/>
      <c r="N2" s="2"/>
      <c r="O2" s="2"/>
    </row>
    <row r="3" spans="2:15" x14ac:dyDescent="0.35">
      <c r="B3" s="12" t="s">
        <v>1</v>
      </c>
      <c r="C3" s="4" t="s">
        <v>2</v>
      </c>
      <c r="D3" s="4" t="s">
        <v>3</v>
      </c>
      <c r="E3" s="10">
        <v>7</v>
      </c>
      <c r="G3" s="1"/>
      <c r="L3" s="2"/>
      <c r="M3" s="2"/>
      <c r="N3" s="2"/>
      <c r="O3" s="2"/>
    </row>
    <row r="4" spans="2:15" x14ac:dyDescent="0.35">
      <c r="B4" s="12" t="s">
        <v>4</v>
      </c>
      <c r="C4" s="4" t="s">
        <v>5</v>
      </c>
      <c r="D4" s="4" t="s">
        <v>3</v>
      </c>
      <c r="E4" s="10">
        <v>0</v>
      </c>
      <c r="G4" s="1"/>
      <c r="L4" s="2"/>
      <c r="M4" s="2"/>
      <c r="N4" s="2"/>
      <c r="O4" s="2"/>
    </row>
    <row r="5" spans="2:15" x14ac:dyDescent="0.35">
      <c r="B5" s="12" t="s">
        <v>6</v>
      </c>
      <c r="C5" s="4" t="s">
        <v>7</v>
      </c>
      <c r="D5" s="4" t="s">
        <v>3</v>
      </c>
      <c r="E5" s="10">
        <v>0</v>
      </c>
      <c r="G5" s="1"/>
      <c r="L5" s="2"/>
      <c r="M5" s="2"/>
      <c r="N5" s="2"/>
      <c r="O5" s="2"/>
    </row>
    <row r="6" spans="2:15" x14ac:dyDescent="0.35">
      <c r="B6" s="12" t="s">
        <v>8</v>
      </c>
      <c r="C6" s="4" t="s">
        <v>9</v>
      </c>
      <c r="D6" s="4" t="s">
        <v>10</v>
      </c>
      <c r="E6" s="16">
        <v>0.9</v>
      </c>
      <c r="G6" s="1"/>
      <c r="L6" s="2"/>
      <c r="M6" s="2"/>
      <c r="N6" s="2"/>
      <c r="O6" s="2"/>
    </row>
    <row r="7" spans="2:15" x14ac:dyDescent="0.35">
      <c r="B7" s="12" t="s">
        <v>11</v>
      </c>
      <c r="C7" s="4" t="s">
        <v>12</v>
      </c>
      <c r="D7" s="4" t="s">
        <v>10</v>
      </c>
      <c r="E7" s="10">
        <v>0.9</v>
      </c>
      <c r="G7" s="1"/>
      <c r="L7" s="2"/>
      <c r="M7" s="2"/>
      <c r="N7" s="2"/>
      <c r="O7" s="2"/>
    </row>
    <row r="8" spans="2:15" x14ac:dyDescent="0.35">
      <c r="B8" s="12" t="s">
        <v>13</v>
      </c>
      <c r="C8" s="4" t="s">
        <v>14</v>
      </c>
      <c r="D8" s="4" t="s">
        <v>15</v>
      </c>
      <c r="E8" s="39">
        <v>4.0000000000000002E-4</v>
      </c>
      <c r="G8" s="1"/>
      <c r="L8" s="2"/>
      <c r="M8" s="2"/>
      <c r="N8" s="2"/>
      <c r="O8" s="2"/>
    </row>
    <row r="9" spans="2:15" x14ac:dyDescent="0.35">
      <c r="B9" s="12" t="s">
        <v>16</v>
      </c>
      <c r="C9" s="4" t="s">
        <v>17</v>
      </c>
      <c r="D9" s="4" t="s">
        <v>18</v>
      </c>
      <c r="E9" s="40">
        <v>0.03</v>
      </c>
      <c r="G9" s="1"/>
      <c r="L9" s="2"/>
      <c r="M9" s="2"/>
      <c r="N9" s="2"/>
      <c r="O9" s="2"/>
    </row>
    <row r="10" spans="2:15" x14ac:dyDescent="0.35">
      <c r="G10" s="1"/>
      <c r="L10" s="2"/>
      <c r="M10" s="2"/>
      <c r="N10" s="2"/>
      <c r="O10" s="2"/>
    </row>
    <row r="11" spans="2:15" x14ac:dyDescent="0.35">
      <c r="B11" s="79" t="s">
        <v>19</v>
      </c>
      <c r="C11" s="79"/>
      <c r="D11" s="79"/>
      <c r="E11" s="79"/>
      <c r="G11" s="1"/>
      <c r="L11" s="2"/>
      <c r="M11" s="2"/>
      <c r="N11" s="2"/>
      <c r="O11" s="2"/>
    </row>
    <row r="12" spans="2:15" x14ac:dyDescent="0.35">
      <c r="B12" s="12" t="s">
        <v>8</v>
      </c>
      <c r="C12" s="4" t="s">
        <v>8</v>
      </c>
      <c r="D12" s="4" t="s">
        <v>20</v>
      </c>
      <c r="E12" s="16">
        <f>E6</f>
        <v>0.9</v>
      </c>
      <c r="G12" s="1"/>
      <c r="L12" s="2"/>
      <c r="M12" s="2"/>
      <c r="N12" s="2"/>
      <c r="O12" s="2"/>
    </row>
    <row r="13" spans="2:15" x14ac:dyDescent="0.35">
      <c r="B13" s="4" t="s">
        <v>21</v>
      </c>
      <c r="C13" s="4" t="s">
        <v>22</v>
      </c>
      <c r="D13" s="4" t="s">
        <v>23</v>
      </c>
      <c r="E13" s="10">
        <v>112</v>
      </c>
      <c r="F13" s="67"/>
      <c r="H13" s="14"/>
      <c r="I13" s="14"/>
      <c r="J13" s="14"/>
      <c r="K13" s="14"/>
      <c r="L13" s="2"/>
      <c r="M13" s="76"/>
      <c r="N13" s="2"/>
      <c r="O13" s="2"/>
    </row>
    <row r="14" spans="2:15" x14ac:dyDescent="0.35">
      <c r="B14" s="4" t="s">
        <v>24</v>
      </c>
      <c r="C14" s="4" t="s">
        <v>25</v>
      </c>
      <c r="D14" s="4" t="s">
        <v>26</v>
      </c>
      <c r="E14" s="10">
        <v>9.4600000000000009</v>
      </c>
      <c r="F14" s="67"/>
      <c r="L14" s="71"/>
      <c r="M14" s="76"/>
      <c r="N14" s="2"/>
      <c r="O14" s="2"/>
    </row>
    <row r="15" spans="2:15" x14ac:dyDescent="0.35">
      <c r="B15" s="4" t="s">
        <v>27</v>
      </c>
      <c r="C15" s="4" t="s">
        <v>28</v>
      </c>
      <c r="D15" s="4" t="s">
        <v>29</v>
      </c>
      <c r="E15" s="10">
        <v>1.5599999999999999E-2</v>
      </c>
      <c r="F15" s="67"/>
      <c r="L15" s="2"/>
      <c r="M15" s="76"/>
      <c r="N15" s="2"/>
      <c r="O15" s="2"/>
    </row>
    <row r="16" spans="2:15" x14ac:dyDescent="0.35">
      <c r="F16"/>
      <c r="L16" s="2"/>
      <c r="M16" s="2"/>
      <c r="N16" s="2"/>
      <c r="O16" s="2"/>
    </row>
    <row r="17" spans="2:15" x14ac:dyDescent="0.35">
      <c r="B17" s="80" t="s">
        <v>30</v>
      </c>
      <c r="C17" s="81"/>
      <c r="D17" s="81"/>
      <c r="E17" s="82"/>
      <c r="F17"/>
      <c r="L17" s="2"/>
      <c r="M17" s="2"/>
      <c r="N17" s="2"/>
      <c r="O17" s="2"/>
    </row>
    <row r="18" spans="2:15" x14ac:dyDescent="0.35">
      <c r="B18" s="4" t="s">
        <v>31</v>
      </c>
      <c r="C18" s="4" t="s">
        <v>17</v>
      </c>
      <c r="D18" s="4" t="s">
        <v>18</v>
      </c>
      <c r="E18" s="40">
        <f>E9</f>
        <v>0.03</v>
      </c>
      <c r="F18"/>
      <c r="L18" s="2"/>
      <c r="M18" s="2"/>
      <c r="N18" s="2"/>
      <c r="O18" s="2"/>
    </row>
    <row r="19" spans="2:15" x14ac:dyDescent="0.35">
      <c r="B19" s="4" t="s">
        <v>32</v>
      </c>
      <c r="C19" s="4" t="s">
        <v>33</v>
      </c>
      <c r="D19" s="4"/>
      <c r="E19" s="60">
        <f>F19*F20*F21</f>
        <v>2628000</v>
      </c>
      <c r="F19" s="64">
        <v>24</v>
      </c>
      <c r="G19" t="s">
        <v>34</v>
      </c>
      <c r="L19" s="2"/>
      <c r="M19" s="2"/>
      <c r="N19" s="2"/>
      <c r="O19" s="2"/>
    </row>
    <row r="20" spans="2:15" s="14" customFormat="1" x14ac:dyDescent="0.35">
      <c r="B20" s="4" t="s">
        <v>35</v>
      </c>
      <c r="C20" s="4" t="s">
        <v>36</v>
      </c>
      <c r="D20" s="4" t="s">
        <v>15</v>
      </c>
      <c r="E20" s="39">
        <f>E8</f>
        <v>4.0000000000000002E-4</v>
      </c>
      <c r="F20" s="65">
        <v>300</v>
      </c>
      <c r="G20" t="s">
        <v>37</v>
      </c>
      <c r="H20"/>
      <c r="I20"/>
      <c r="J20"/>
      <c r="K20"/>
      <c r="L20" s="2"/>
      <c r="M20" s="71"/>
      <c r="N20" s="71"/>
      <c r="O20" s="71"/>
    </row>
    <row r="21" spans="2:15" ht="29" x14ac:dyDescent="0.35">
      <c r="B21" s="12" t="s">
        <v>38</v>
      </c>
      <c r="C21" s="4" t="s">
        <v>2</v>
      </c>
      <c r="D21" s="4" t="s">
        <v>3</v>
      </c>
      <c r="E21" s="10">
        <f>E3</f>
        <v>7</v>
      </c>
      <c r="F21">
        <f>365</f>
        <v>365</v>
      </c>
      <c r="G21" t="s">
        <v>39</v>
      </c>
      <c r="L21" s="2"/>
      <c r="M21" s="2"/>
      <c r="N21" s="2"/>
      <c r="O21" s="2"/>
    </row>
    <row r="22" spans="2:15" x14ac:dyDescent="0.35">
      <c r="B22" s="4" t="s">
        <v>40</v>
      </c>
      <c r="C22" s="4" t="s">
        <v>5</v>
      </c>
      <c r="D22" s="4" t="s">
        <v>3</v>
      </c>
      <c r="E22" s="10">
        <f>E4</f>
        <v>0</v>
      </c>
      <c r="F22"/>
      <c r="L22" s="2"/>
      <c r="M22" s="2"/>
      <c r="N22" s="2"/>
      <c r="O22" s="2"/>
    </row>
    <row r="23" spans="2:15" x14ac:dyDescent="0.35">
      <c r="B23" s="4" t="s">
        <v>41</v>
      </c>
      <c r="C23" s="4" t="s">
        <v>42</v>
      </c>
      <c r="D23" s="4" t="s">
        <v>43</v>
      </c>
      <c r="E23" s="10">
        <f>ROUNDDOWN((1-E18)*E19*E20*(E21+E22),0)</f>
        <v>7137</v>
      </c>
      <c r="F23"/>
      <c r="L23" s="2"/>
      <c r="M23" s="2"/>
      <c r="N23" s="2"/>
      <c r="O23" s="2"/>
    </row>
    <row r="24" spans="2:15" x14ac:dyDescent="0.35">
      <c r="B24" s="2"/>
      <c r="C24" s="2"/>
      <c r="D24" s="2"/>
      <c r="E24" s="2"/>
      <c r="F24"/>
      <c r="L24" s="2"/>
      <c r="M24" s="2"/>
      <c r="N24" s="2"/>
      <c r="O24" s="2"/>
    </row>
    <row r="25" spans="2:15" x14ac:dyDescent="0.35">
      <c r="B25" s="80" t="s">
        <v>44</v>
      </c>
      <c r="C25" s="81"/>
      <c r="D25" s="81"/>
      <c r="E25" s="82"/>
      <c r="F25"/>
    </row>
    <row r="26" spans="2:15" x14ac:dyDescent="0.35">
      <c r="B26" s="4" t="s">
        <v>31</v>
      </c>
      <c r="C26" s="4" t="s">
        <v>17</v>
      </c>
      <c r="D26" s="4" t="s">
        <v>18</v>
      </c>
      <c r="E26" s="40">
        <f>E9</f>
        <v>0.03</v>
      </c>
      <c r="F26"/>
    </row>
    <row r="27" spans="2:15" x14ac:dyDescent="0.35">
      <c r="B27" s="4" t="s">
        <v>32</v>
      </c>
      <c r="C27" s="4" t="s">
        <v>33</v>
      </c>
      <c r="D27" s="4"/>
      <c r="E27" s="59">
        <f>E19</f>
        <v>2628000</v>
      </c>
      <c r="F27" s="13"/>
      <c r="G27" s="83" t="s">
        <v>45</v>
      </c>
      <c r="H27" s="84"/>
      <c r="I27" s="84"/>
      <c r="J27" s="85"/>
    </row>
    <row r="28" spans="2:15" x14ac:dyDescent="0.35">
      <c r="B28" s="12" t="s">
        <v>46</v>
      </c>
      <c r="C28" s="4" t="s">
        <v>47</v>
      </c>
      <c r="D28" s="4" t="s">
        <v>15</v>
      </c>
      <c r="E28" s="39">
        <f>E8</f>
        <v>4.0000000000000002E-4</v>
      </c>
      <c r="G28" s="4" t="s">
        <v>48</v>
      </c>
      <c r="H28" s="4" t="s">
        <v>49</v>
      </c>
      <c r="I28" s="4" t="s">
        <v>50</v>
      </c>
      <c r="J28" s="11">
        <f>ROUNDDOWN(E23*((E13*E12)+E14)*E15,0)</f>
        <v>12276</v>
      </c>
    </row>
    <row r="29" spans="2:15" x14ac:dyDescent="0.35">
      <c r="B29" s="4" t="s">
        <v>4</v>
      </c>
      <c r="C29" s="4" t="s">
        <v>5</v>
      </c>
      <c r="D29" s="4" t="s">
        <v>3</v>
      </c>
      <c r="E29" s="10">
        <f>E4</f>
        <v>0</v>
      </c>
      <c r="G29" s="4" t="s">
        <v>51</v>
      </c>
      <c r="H29" s="4" t="s">
        <v>52</v>
      </c>
      <c r="I29" s="4" t="s">
        <v>50</v>
      </c>
      <c r="J29" s="11">
        <f>ROUNDDOWN(E31*((E13*E6)+E14)*E15,0)</f>
        <v>0</v>
      </c>
    </row>
    <row r="30" spans="2:15" x14ac:dyDescent="0.35">
      <c r="B30" s="4" t="s">
        <v>6</v>
      </c>
      <c r="C30" s="4" t="s">
        <v>7</v>
      </c>
      <c r="D30" s="4" t="s">
        <v>3</v>
      </c>
      <c r="E30" s="10">
        <f>E5</f>
        <v>0</v>
      </c>
      <c r="G30" s="4" t="s">
        <v>11</v>
      </c>
      <c r="H30" s="4" t="s">
        <v>12</v>
      </c>
      <c r="I30" s="4" t="s">
        <v>10</v>
      </c>
      <c r="J30" s="10">
        <f>E7</f>
        <v>0.9</v>
      </c>
    </row>
    <row r="31" spans="2:15" x14ac:dyDescent="0.35">
      <c r="B31" s="4" t="s">
        <v>53</v>
      </c>
      <c r="C31" s="4" t="s">
        <v>54</v>
      </c>
      <c r="D31" s="4" t="s">
        <v>43</v>
      </c>
      <c r="E31" s="10">
        <f>ROUNDDOWN((1-E26)*E27*E28*(E29+E30),0)</f>
        <v>0</v>
      </c>
      <c r="G31" s="4" t="s">
        <v>114</v>
      </c>
      <c r="H31" s="4" t="s">
        <v>55</v>
      </c>
      <c r="I31" s="4" t="s">
        <v>50</v>
      </c>
      <c r="J31" s="74">
        <v>0.95</v>
      </c>
    </row>
    <row r="32" spans="2:15" x14ac:dyDescent="0.35">
      <c r="G32" s="4" t="s">
        <v>56</v>
      </c>
      <c r="H32" s="4" t="s">
        <v>57</v>
      </c>
      <c r="I32" s="4" t="s">
        <v>50</v>
      </c>
      <c r="J32" s="75">
        <f>(ROUNDDOWN(((J28-J29)*J30),0))*J31</f>
        <v>10495.6</v>
      </c>
    </row>
    <row r="35" spans="2:11" x14ac:dyDescent="0.35">
      <c r="G35" s="86" t="s">
        <v>58</v>
      </c>
      <c r="H35" s="86"/>
      <c r="I35" s="86"/>
      <c r="J35" s="86"/>
    </row>
    <row r="36" spans="2:11" x14ac:dyDescent="0.35">
      <c r="B36" s="42"/>
      <c r="G36" s="8" t="s">
        <v>59</v>
      </c>
      <c r="H36" s="7" t="s">
        <v>60</v>
      </c>
      <c r="I36" s="6" t="s">
        <v>18</v>
      </c>
      <c r="J36" s="5">
        <v>0</v>
      </c>
      <c r="K36" s="1"/>
    </row>
    <row r="37" spans="2:11" x14ac:dyDescent="0.35">
      <c r="G37" s="8" t="s">
        <v>61</v>
      </c>
      <c r="H37" s="7"/>
      <c r="I37" s="6"/>
      <c r="J37" s="9">
        <f>1-J36</f>
        <v>1</v>
      </c>
      <c r="K37" s="2"/>
    </row>
    <row r="38" spans="2:11" x14ac:dyDescent="0.35">
      <c r="C38" s="66"/>
      <c r="G38" s="4" t="s">
        <v>56</v>
      </c>
      <c r="H38" s="4" t="s">
        <v>57</v>
      </c>
      <c r="I38" s="4" t="s">
        <v>50</v>
      </c>
      <c r="J38" s="3">
        <f>J32*J37</f>
        <v>10495.6</v>
      </c>
    </row>
    <row r="39" spans="2:11" x14ac:dyDescent="0.35">
      <c r="C39" s="66"/>
    </row>
    <row r="40" spans="2:11" x14ac:dyDescent="0.35">
      <c r="F40"/>
      <c r="H40" s="77" t="s">
        <v>62</v>
      </c>
      <c r="I40" s="77"/>
      <c r="J40" s="41">
        <f>IF(J38&gt;10000, 10000, J38)</f>
        <v>10000</v>
      </c>
    </row>
    <row r="54" spans="6:7" x14ac:dyDescent="0.35">
      <c r="F54"/>
    </row>
    <row r="55" spans="6:7" x14ac:dyDescent="0.35">
      <c r="G55" s="2"/>
    </row>
    <row r="56" spans="6:7" x14ac:dyDescent="0.35">
      <c r="G56" s="2"/>
    </row>
    <row r="57" spans="6:7" x14ac:dyDescent="0.35">
      <c r="G57" s="2"/>
    </row>
    <row r="58" spans="6:7" x14ac:dyDescent="0.35">
      <c r="G58" s="2"/>
    </row>
    <row r="59" spans="6:7" x14ac:dyDescent="0.35">
      <c r="G59" s="2"/>
    </row>
    <row r="60" spans="6:7" x14ac:dyDescent="0.35">
      <c r="G60" s="2"/>
    </row>
    <row r="61" spans="6:7" x14ac:dyDescent="0.35">
      <c r="G61" s="2"/>
    </row>
    <row r="62" spans="6:7" x14ac:dyDescent="0.35">
      <c r="G62" s="2"/>
    </row>
    <row r="63" spans="6:7" x14ac:dyDescent="0.35">
      <c r="G63" s="2"/>
    </row>
    <row r="64" spans="6:7" x14ac:dyDescent="0.35">
      <c r="G64" s="2"/>
    </row>
    <row r="65" spans="6:7" x14ac:dyDescent="0.35">
      <c r="G65" s="2"/>
    </row>
    <row r="71" spans="6:7" x14ac:dyDescent="0.35">
      <c r="G71" s="1"/>
    </row>
    <row r="72" spans="6:7" x14ac:dyDescent="0.35">
      <c r="F72"/>
    </row>
  </sheetData>
  <mergeCells count="8">
    <mergeCell ref="M13:M15"/>
    <mergeCell ref="H40:I40"/>
    <mergeCell ref="B2:E2"/>
    <mergeCell ref="B11:E11"/>
    <mergeCell ref="B17:E17"/>
    <mergeCell ref="B25:E25"/>
    <mergeCell ref="G27:J27"/>
    <mergeCell ref="G35:J3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4"/>
  <sheetViews>
    <sheetView zoomScale="80" zoomScaleNormal="80" workbookViewId="0">
      <selection activeCell="B28" sqref="B28"/>
    </sheetView>
  </sheetViews>
  <sheetFormatPr defaultRowHeight="14.5" x14ac:dyDescent="0.35"/>
  <cols>
    <col min="1" max="1" width="3.453125" style="19" customWidth="1"/>
    <col min="2" max="2" width="55" style="19" bestFit="1" customWidth="1"/>
    <col min="3" max="13" width="9.1796875" style="19"/>
    <col min="14" max="14" width="20.26953125" style="19" bestFit="1" customWidth="1"/>
    <col min="15" max="15" width="18.81640625" style="19" customWidth="1"/>
    <col min="16" max="256" width="9.1796875" style="19"/>
    <col min="257" max="257" width="3.453125" style="19" customWidth="1"/>
    <col min="258" max="258" width="48.7265625" style="19" bestFit="1" customWidth="1"/>
    <col min="259" max="512" width="9.1796875" style="19"/>
    <col min="513" max="513" width="3.453125" style="19" customWidth="1"/>
    <col min="514" max="514" width="48.7265625" style="19" bestFit="1" customWidth="1"/>
    <col min="515" max="768" width="9.1796875" style="19"/>
    <col min="769" max="769" width="3.453125" style="19" customWidth="1"/>
    <col min="770" max="770" width="48.7265625" style="19" bestFit="1" customWidth="1"/>
    <col min="771" max="1024" width="9.1796875" style="19"/>
    <col min="1025" max="1025" width="3.453125" style="19" customWidth="1"/>
    <col min="1026" max="1026" width="48.7265625" style="19" bestFit="1" customWidth="1"/>
    <col min="1027" max="1280" width="9.1796875" style="19"/>
    <col min="1281" max="1281" width="3.453125" style="19" customWidth="1"/>
    <col min="1282" max="1282" width="48.7265625" style="19" bestFit="1" customWidth="1"/>
    <col min="1283" max="1536" width="9.1796875" style="19"/>
    <col min="1537" max="1537" width="3.453125" style="19" customWidth="1"/>
    <col min="1538" max="1538" width="48.7265625" style="19" bestFit="1" customWidth="1"/>
    <col min="1539" max="1792" width="9.1796875" style="19"/>
    <col min="1793" max="1793" width="3.453125" style="19" customWidth="1"/>
    <col min="1794" max="1794" width="48.7265625" style="19" bestFit="1" customWidth="1"/>
    <col min="1795" max="2048" width="9.1796875" style="19"/>
    <col min="2049" max="2049" width="3.453125" style="19" customWidth="1"/>
    <col min="2050" max="2050" width="48.7265625" style="19" bestFit="1" customWidth="1"/>
    <col min="2051" max="2304" width="9.1796875" style="19"/>
    <col min="2305" max="2305" width="3.453125" style="19" customWidth="1"/>
    <col min="2306" max="2306" width="48.7265625" style="19" bestFit="1" customWidth="1"/>
    <col min="2307" max="2560" width="9.1796875" style="19"/>
    <col min="2561" max="2561" width="3.453125" style="19" customWidth="1"/>
    <col min="2562" max="2562" width="48.7265625" style="19" bestFit="1" customWidth="1"/>
    <col min="2563" max="2816" width="9.1796875" style="19"/>
    <col min="2817" max="2817" width="3.453125" style="19" customWidth="1"/>
    <col min="2818" max="2818" width="48.7265625" style="19" bestFit="1" customWidth="1"/>
    <col min="2819" max="3072" width="9.1796875" style="19"/>
    <col min="3073" max="3073" width="3.453125" style="19" customWidth="1"/>
    <col min="3074" max="3074" width="48.7265625" style="19" bestFit="1" customWidth="1"/>
    <col min="3075" max="3328" width="9.1796875" style="19"/>
    <col min="3329" max="3329" width="3.453125" style="19" customWidth="1"/>
    <col min="3330" max="3330" width="48.7265625" style="19" bestFit="1" customWidth="1"/>
    <col min="3331" max="3584" width="9.1796875" style="19"/>
    <col min="3585" max="3585" width="3.453125" style="19" customWidth="1"/>
    <col min="3586" max="3586" width="48.7265625" style="19" bestFit="1" customWidth="1"/>
    <col min="3587" max="3840" width="9.1796875" style="19"/>
    <col min="3841" max="3841" width="3.453125" style="19" customWidth="1"/>
    <col min="3842" max="3842" width="48.7265625" style="19" bestFit="1" customWidth="1"/>
    <col min="3843" max="4096" width="9.1796875" style="19"/>
    <col min="4097" max="4097" width="3.453125" style="19" customWidth="1"/>
    <col min="4098" max="4098" width="48.7265625" style="19" bestFit="1" customWidth="1"/>
    <col min="4099" max="4352" width="9.1796875" style="19"/>
    <col min="4353" max="4353" width="3.453125" style="19" customWidth="1"/>
    <col min="4354" max="4354" width="48.7265625" style="19" bestFit="1" customWidth="1"/>
    <col min="4355" max="4608" width="9.1796875" style="19"/>
    <col min="4609" max="4609" width="3.453125" style="19" customWidth="1"/>
    <col min="4610" max="4610" width="48.7265625" style="19" bestFit="1" customWidth="1"/>
    <col min="4611" max="4864" width="9.1796875" style="19"/>
    <col min="4865" max="4865" width="3.453125" style="19" customWidth="1"/>
    <col min="4866" max="4866" width="48.7265625" style="19" bestFit="1" customWidth="1"/>
    <col min="4867" max="5120" width="9.1796875" style="19"/>
    <col min="5121" max="5121" width="3.453125" style="19" customWidth="1"/>
    <col min="5122" max="5122" width="48.7265625" style="19" bestFit="1" customWidth="1"/>
    <col min="5123" max="5376" width="9.1796875" style="19"/>
    <col min="5377" max="5377" width="3.453125" style="19" customWidth="1"/>
    <col min="5378" max="5378" width="48.7265625" style="19" bestFit="1" customWidth="1"/>
    <col min="5379" max="5632" width="9.1796875" style="19"/>
    <col min="5633" max="5633" width="3.453125" style="19" customWidth="1"/>
    <col min="5634" max="5634" width="48.7265625" style="19" bestFit="1" customWidth="1"/>
    <col min="5635" max="5888" width="9.1796875" style="19"/>
    <col min="5889" max="5889" width="3.453125" style="19" customWidth="1"/>
    <col min="5890" max="5890" width="48.7265625" style="19" bestFit="1" customWidth="1"/>
    <col min="5891" max="6144" width="9.1796875" style="19"/>
    <col min="6145" max="6145" width="3.453125" style="19" customWidth="1"/>
    <col min="6146" max="6146" width="48.7265625" style="19" bestFit="1" customWidth="1"/>
    <col min="6147" max="6400" width="9.1796875" style="19"/>
    <col min="6401" max="6401" width="3.453125" style="19" customWidth="1"/>
    <col min="6402" max="6402" width="48.7265625" style="19" bestFit="1" customWidth="1"/>
    <col min="6403" max="6656" width="9.1796875" style="19"/>
    <col min="6657" max="6657" width="3.453125" style="19" customWidth="1"/>
    <col min="6658" max="6658" width="48.7265625" style="19" bestFit="1" customWidth="1"/>
    <col min="6659" max="6912" width="9.1796875" style="19"/>
    <col min="6913" max="6913" width="3.453125" style="19" customWidth="1"/>
    <col min="6914" max="6914" width="48.7265625" style="19" bestFit="1" customWidth="1"/>
    <col min="6915" max="7168" width="9.1796875" style="19"/>
    <col min="7169" max="7169" width="3.453125" style="19" customWidth="1"/>
    <col min="7170" max="7170" width="48.7265625" style="19" bestFit="1" customWidth="1"/>
    <col min="7171" max="7424" width="9.1796875" style="19"/>
    <col min="7425" max="7425" width="3.453125" style="19" customWidth="1"/>
    <col min="7426" max="7426" width="48.7265625" style="19" bestFit="1" customWidth="1"/>
    <col min="7427" max="7680" width="9.1796875" style="19"/>
    <col min="7681" max="7681" width="3.453125" style="19" customWidth="1"/>
    <col min="7682" max="7682" width="48.7265625" style="19" bestFit="1" customWidth="1"/>
    <col min="7683" max="7936" width="9.1796875" style="19"/>
    <col min="7937" max="7937" width="3.453125" style="19" customWidth="1"/>
    <col min="7938" max="7938" width="48.7265625" style="19" bestFit="1" customWidth="1"/>
    <col min="7939" max="8192" width="9.1796875" style="19"/>
    <col min="8193" max="8193" width="3.453125" style="19" customWidth="1"/>
    <col min="8194" max="8194" width="48.7265625" style="19" bestFit="1" customWidth="1"/>
    <col min="8195" max="8448" width="9.1796875" style="19"/>
    <col min="8449" max="8449" width="3.453125" style="19" customWidth="1"/>
    <col min="8450" max="8450" width="48.7265625" style="19" bestFit="1" customWidth="1"/>
    <col min="8451" max="8704" width="9.1796875" style="19"/>
    <col min="8705" max="8705" width="3.453125" style="19" customWidth="1"/>
    <col min="8706" max="8706" width="48.7265625" style="19" bestFit="1" customWidth="1"/>
    <col min="8707" max="8960" width="9.1796875" style="19"/>
    <col min="8961" max="8961" width="3.453125" style="19" customWidth="1"/>
    <col min="8962" max="8962" width="48.7265625" style="19" bestFit="1" customWidth="1"/>
    <col min="8963" max="9216" width="9.1796875" style="19"/>
    <col min="9217" max="9217" width="3.453125" style="19" customWidth="1"/>
    <col min="9218" max="9218" width="48.7265625" style="19" bestFit="1" customWidth="1"/>
    <col min="9219" max="9472" width="9.1796875" style="19"/>
    <col min="9473" max="9473" width="3.453125" style="19" customWidth="1"/>
    <col min="9474" max="9474" width="48.7265625" style="19" bestFit="1" customWidth="1"/>
    <col min="9475" max="9728" width="9.1796875" style="19"/>
    <col min="9729" max="9729" width="3.453125" style="19" customWidth="1"/>
    <col min="9730" max="9730" width="48.7265625" style="19" bestFit="1" customWidth="1"/>
    <col min="9731" max="9984" width="9.1796875" style="19"/>
    <col min="9985" max="9985" width="3.453125" style="19" customWidth="1"/>
    <col min="9986" max="9986" width="48.7265625" style="19" bestFit="1" customWidth="1"/>
    <col min="9987" max="10240" width="9.1796875" style="19"/>
    <col min="10241" max="10241" width="3.453125" style="19" customWidth="1"/>
    <col min="10242" max="10242" width="48.7265625" style="19" bestFit="1" customWidth="1"/>
    <col min="10243" max="10496" width="9.1796875" style="19"/>
    <col min="10497" max="10497" width="3.453125" style="19" customWidth="1"/>
    <col min="10498" max="10498" width="48.7265625" style="19" bestFit="1" customWidth="1"/>
    <col min="10499" max="10752" width="9.1796875" style="19"/>
    <col min="10753" max="10753" width="3.453125" style="19" customWidth="1"/>
    <col min="10754" max="10754" width="48.7265625" style="19" bestFit="1" customWidth="1"/>
    <col min="10755" max="11008" width="9.1796875" style="19"/>
    <col min="11009" max="11009" width="3.453125" style="19" customWidth="1"/>
    <col min="11010" max="11010" width="48.7265625" style="19" bestFit="1" customWidth="1"/>
    <col min="11011" max="11264" width="9.1796875" style="19"/>
    <col min="11265" max="11265" width="3.453125" style="19" customWidth="1"/>
    <col min="11266" max="11266" width="48.7265625" style="19" bestFit="1" customWidth="1"/>
    <col min="11267" max="11520" width="9.1796875" style="19"/>
    <col min="11521" max="11521" width="3.453125" style="19" customWidth="1"/>
    <col min="11522" max="11522" width="48.7265625" style="19" bestFit="1" customWidth="1"/>
    <col min="11523" max="11776" width="9.1796875" style="19"/>
    <col min="11777" max="11777" width="3.453125" style="19" customWidth="1"/>
    <col min="11778" max="11778" width="48.7265625" style="19" bestFit="1" customWidth="1"/>
    <col min="11779" max="12032" width="9.1796875" style="19"/>
    <col min="12033" max="12033" width="3.453125" style="19" customWidth="1"/>
    <col min="12034" max="12034" width="48.7265625" style="19" bestFit="1" customWidth="1"/>
    <col min="12035" max="12288" width="9.1796875" style="19"/>
    <col min="12289" max="12289" width="3.453125" style="19" customWidth="1"/>
    <col min="12290" max="12290" width="48.7265625" style="19" bestFit="1" customWidth="1"/>
    <col min="12291" max="12544" width="9.1796875" style="19"/>
    <col min="12545" max="12545" width="3.453125" style="19" customWidth="1"/>
    <col min="12546" max="12546" width="48.7265625" style="19" bestFit="1" customWidth="1"/>
    <col min="12547" max="12800" width="9.1796875" style="19"/>
    <col min="12801" max="12801" width="3.453125" style="19" customWidth="1"/>
    <col min="12802" max="12802" width="48.7265625" style="19" bestFit="1" customWidth="1"/>
    <col min="12803" max="13056" width="9.1796875" style="19"/>
    <col min="13057" max="13057" width="3.453125" style="19" customWidth="1"/>
    <col min="13058" max="13058" width="48.7265625" style="19" bestFit="1" customWidth="1"/>
    <col min="13059" max="13312" width="9.1796875" style="19"/>
    <col min="13313" max="13313" width="3.453125" style="19" customWidth="1"/>
    <col min="13314" max="13314" width="48.7265625" style="19" bestFit="1" customWidth="1"/>
    <col min="13315" max="13568" width="9.1796875" style="19"/>
    <col min="13569" max="13569" width="3.453125" style="19" customWidth="1"/>
    <col min="13570" max="13570" width="48.7265625" style="19" bestFit="1" customWidth="1"/>
    <col min="13571" max="13824" width="9.1796875" style="19"/>
    <col min="13825" max="13825" width="3.453125" style="19" customWidth="1"/>
    <col min="13826" max="13826" width="48.7265625" style="19" bestFit="1" customWidth="1"/>
    <col min="13827" max="14080" width="9.1796875" style="19"/>
    <col min="14081" max="14081" width="3.453125" style="19" customWidth="1"/>
    <col min="14082" max="14082" width="48.7265625" style="19" bestFit="1" customWidth="1"/>
    <col min="14083" max="14336" width="9.1796875" style="19"/>
    <col min="14337" max="14337" width="3.453125" style="19" customWidth="1"/>
    <col min="14338" max="14338" width="48.7265625" style="19" bestFit="1" customWidth="1"/>
    <col min="14339" max="14592" width="9.1796875" style="19"/>
    <col min="14593" max="14593" width="3.453125" style="19" customWidth="1"/>
    <col min="14594" max="14594" width="48.7265625" style="19" bestFit="1" customWidth="1"/>
    <col min="14595" max="14848" width="9.1796875" style="19"/>
    <col min="14849" max="14849" width="3.453125" style="19" customWidth="1"/>
    <col min="14850" max="14850" width="48.7265625" style="19" bestFit="1" customWidth="1"/>
    <col min="14851" max="15104" width="9.1796875" style="19"/>
    <col min="15105" max="15105" width="3.453125" style="19" customWidth="1"/>
    <col min="15106" max="15106" width="48.7265625" style="19" bestFit="1" customWidth="1"/>
    <col min="15107" max="15360" width="9.1796875" style="19"/>
    <col min="15361" max="15361" width="3.453125" style="19" customWidth="1"/>
    <col min="15362" max="15362" width="48.7265625" style="19" bestFit="1" customWidth="1"/>
    <col min="15363" max="15616" width="9.1796875" style="19"/>
    <col min="15617" max="15617" width="3.453125" style="19" customWidth="1"/>
    <col min="15618" max="15618" width="48.7265625" style="19" bestFit="1" customWidth="1"/>
    <col min="15619" max="15872" width="9.1796875" style="19"/>
    <col min="15873" max="15873" width="3.453125" style="19" customWidth="1"/>
    <col min="15874" max="15874" width="48.7265625" style="19" bestFit="1" customWidth="1"/>
    <col min="15875" max="16128" width="9.1796875" style="19"/>
    <col min="16129" max="16129" width="3.453125" style="19" customWidth="1"/>
    <col min="16130" max="16130" width="48.7265625" style="19" bestFit="1" customWidth="1"/>
    <col min="16131" max="16384" width="9.1796875" style="19"/>
  </cols>
  <sheetData>
    <row r="2" spans="2:15" x14ac:dyDescent="0.35">
      <c r="B2" s="17" t="s">
        <v>63</v>
      </c>
      <c r="C2" s="18">
        <v>9.2899999999999991</v>
      </c>
      <c r="D2" s="68"/>
      <c r="E2" s="20"/>
      <c r="F2" s="20"/>
      <c r="G2" s="20"/>
      <c r="H2" s="20"/>
      <c r="I2" s="20"/>
      <c r="J2" s="20"/>
      <c r="K2" s="20"/>
      <c r="L2" s="20"/>
      <c r="M2" s="20"/>
      <c r="N2" s="21" t="s">
        <v>64</v>
      </c>
      <c r="O2" s="22">
        <v>1.5599999999999999E-2</v>
      </c>
    </row>
    <row r="3" spans="2:15" x14ac:dyDescent="0.35">
      <c r="B3" s="12" t="s">
        <v>1</v>
      </c>
      <c r="C3" s="23">
        <f>'Each VPA'!E3</f>
        <v>7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1" t="s">
        <v>65</v>
      </c>
      <c r="O3" s="24">
        <f>60*60*1000</f>
        <v>3600000</v>
      </c>
    </row>
    <row r="4" spans="2:15" x14ac:dyDescent="0.35">
      <c r="B4" s="4" t="s">
        <v>66</v>
      </c>
      <c r="C4" s="23">
        <f>'Each VPA'!E8</f>
        <v>4.0000000000000002E-4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1" t="s">
        <v>67</v>
      </c>
      <c r="O4" s="22">
        <f>1/O3</f>
        <v>2.7777777777777776E-7</v>
      </c>
    </row>
    <row r="5" spans="2:15" x14ac:dyDescent="0.35">
      <c r="B5" s="26" t="s">
        <v>68</v>
      </c>
      <c r="C5" s="69">
        <f>C4*C3*C2</f>
        <v>2.6011999999999997E-2</v>
      </c>
      <c r="D5" s="20"/>
      <c r="E5" s="20"/>
      <c r="F5" s="20"/>
      <c r="G5" s="20"/>
      <c r="H5" s="27"/>
      <c r="I5" s="20"/>
      <c r="J5" s="20"/>
      <c r="K5" s="20"/>
      <c r="L5" s="20"/>
      <c r="M5" s="20"/>
      <c r="N5" s="21" t="s">
        <v>69</v>
      </c>
      <c r="O5" s="24">
        <f>O2*1000000000000</f>
        <v>15600000000</v>
      </c>
    </row>
    <row r="6" spans="2:15" x14ac:dyDescent="0.35">
      <c r="B6" s="26" t="s">
        <v>70</v>
      </c>
      <c r="C6" s="24">
        <f>O6</f>
        <v>4333.333333333333</v>
      </c>
      <c r="D6" s="20"/>
      <c r="E6" s="20"/>
      <c r="F6" s="20"/>
      <c r="G6" s="20"/>
      <c r="H6" s="27"/>
      <c r="I6" s="20"/>
      <c r="J6" s="20"/>
      <c r="K6" s="20"/>
      <c r="L6" s="20"/>
      <c r="M6" s="20"/>
      <c r="N6" s="21" t="s">
        <v>70</v>
      </c>
      <c r="O6" s="24">
        <f>O5*O4</f>
        <v>4333.333333333333</v>
      </c>
    </row>
    <row r="7" spans="2:15" x14ac:dyDescent="0.35">
      <c r="B7" s="26" t="s">
        <v>71</v>
      </c>
      <c r="C7" s="28">
        <f>C6*C5</f>
        <v>112.71866666666665</v>
      </c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2:15" x14ac:dyDescent="0.35">
      <c r="B8" s="26" t="s">
        <v>72</v>
      </c>
      <c r="C8" s="22">
        <v>1</v>
      </c>
      <c r="D8" s="29">
        <v>2</v>
      </c>
      <c r="E8" s="22">
        <v>3</v>
      </c>
      <c r="F8" s="25">
        <v>4</v>
      </c>
      <c r="G8" s="22">
        <v>5</v>
      </c>
      <c r="H8" s="30">
        <v>6</v>
      </c>
      <c r="I8" s="22">
        <v>7</v>
      </c>
      <c r="J8" s="22">
        <v>8</v>
      </c>
      <c r="K8" s="22">
        <v>9</v>
      </c>
      <c r="L8" s="22">
        <v>10</v>
      </c>
      <c r="M8" s="20"/>
    </row>
    <row r="9" spans="2:15" x14ac:dyDescent="0.35">
      <c r="B9" s="26" t="s">
        <v>73</v>
      </c>
      <c r="C9" s="28">
        <f>$C$7/C8</f>
        <v>112.71866666666665</v>
      </c>
      <c r="D9" s="31">
        <f t="shared" ref="D9:L9" si="0">$C$7/D8</f>
        <v>56.359333333333325</v>
      </c>
      <c r="E9" s="28">
        <f t="shared" si="0"/>
        <v>37.572888888888883</v>
      </c>
      <c r="F9" s="32">
        <f t="shared" si="0"/>
        <v>28.179666666666662</v>
      </c>
      <c r="G9" s="28">
        <f t="shared" si="0"/>
        <v>22.543733333333329</v>
      </c>
      <c r="H9" s="33">
        <f t="shared" si="0"/>
        <v>18.786444444444442</v>
      </c>
      <c r="I9" s="28">
        <f t="shared" si="0"/>
        <v>16.102666666666664</v>
      </c>
      <c r="J9" s="28">
        <f t="shared" si="0"/>
        <v>14.089833333333331</v>
      </c>
      <c r="K9" s="28">
        <f t="shared" si="0"/>
        <v>12.524296296296294</v>
      </c>
      <c r="L9" s="28">
        <f t="shared" si="0"/>
        <v>11.271866666666664</v>
      </c>
      <c r="M9" s="20"/>
    </row>
    <row r="10" spans="2:15" x14ac:dyDescent="0.35">
      <c r="B10" s="26" t="s">
        <v>74</v>
      </c>
      <c r="C10" s="34">
        <v>0.1</v>
      </c>
      <c r="D10" s="35"/>
      <c r="E10" s="35"/>
      <c r="F10" s="36"/>
      <c r="G10" s="37"/>
      <c r="H10" s="38"/>
      <c r="I10" s="37"/>
      <c r="J10" s="35"/>
      <c r="K10" s="35"/>
      <c r="L10" s="35"/>
      <c r="M10" s="20"/>
    </row>
    <row r="11" spans="2:15" x14ac:dyDescent="0.35">
      <c r="B11" s="26" t="s">
        <v>75</v>
      </c>
      <c r="C11" s="73">
        <f>$C$10*C9</f>
        <v>11.271866666666666</v>
      </c>
      <c r="D11" s="35">
        <f t="shared" ref="D11:L11" si="1">$C$10*D9</f>
        <v>5.635933333333333</v>
      </c>
      <c r="E11" s="35">
        <f t="shared" si="1"/>
        <v>3.7572888888888887</v>
      </c>
      <c r="F11" s="35">
        <f t="shared" si="1"/>
        <v>2.8179666666666665</v>
      </c>
      <c r="G11" s="35">
        <f t="shared" si="1"/>
        <v>2.2543733333333331</v>
      </c>
      <c r="H11" s="35">
        <f t="shared" si="1"/>
        <v>1.8786444444444443</v>
      </c>
      <c r="I11" s="35">
        <f t="shared" si="1"/>
        <v>1.6102666666666665</v>
      </c>
      <c r="J11" s="35">
        <f t="shared" si="1"/>
        <v>1.4089833333333333</v>
      </c>
      <c r="K11" s="35">
        <f t="shared" si="1"/>
        <v>1.2524296296296296</v>
      </c>
      <c r="L11" s="35">
        <f t="shared" si="1"/>
        <v>1.1271866666666666</v>
      </c>
      <c r="M11" s="20"/>
    </row>
    <row r="12" spans="2:15" x14ac:dyDescent="0.35"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2:15" x14ac:dyDescent="0.35"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2:15" x14ac:dyDescent="0.35"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8BBD9-D055-4A4B-9D26-07C5EFBEDB67}">
  <dimension ref="B2:H20"/>
  <sheetViews>
    <sheetView zoomScale="60" zoomScaleNormal="60" workbookViewId="0">
      <selection activeCell="J15" sqref="J15"/>
    </sheetView>
  </sheetViews>
  <sheetFormatPr defaultRowHeight="14.5" x14ac:dyDescent="0.35"/>
  <cols>
    <col min="2" max="2" width="32" customWidth="1"/>
    <col min="3" max="3" width="88.54296875" customWidth="1"/>
    <col min="4" max="4" width="31" customWidth="1"/>
    <col min="6" max="6" width="32.7265625" customWidth="1"/>
  </cols>
  <sheetData>
    <row r="2" spans="2:8" ht="30.75" customHeight="1" x14ac:dyDescent="0.35">
      <c r="B2" s="43" t="s">
        <v>76</v>
      </c>
      <c r="C2" s="44" t="s">
        <v>77</v>
      </c>
      <c r="D2" s="44" t="s">
        <v>78</v>
      </c>
      <c r="E2" s="44" t="s">
        <v>79</v>
      </c>
      <c r="F2" s="44" t="s">
        <v>80</v>
      </c>
    </row>
    <row r="3" spans="2:8" ht="32.25" customHeight="1" x14ac:dyDescent="0.35">
      <c r="B3" s="45" t="s">
        <v>81</v>
      </c>
      <c r="C3" s="46" t="s">
        <v>82</v>
      </c>
      <c r="D3" s="47">
        <f>D4*(1-D5)*(1-D6)</f>
        <v>6984</v>
      </c>
      <c r="E3" s="48" t="s">
        <v>83</v>
      </c>
      <c r="F3" s="48" t="s">
        <v>84</v>
      </c>
    </row>
    <row r="4" spans="2:8" ht="30.75" customHeight="1" x14ac:dyDescent="0.35">
      <c r="B4" s="48" t="s">
        <v>85</v>
      </c>
      <c r="C4" s="46" t="s">
        <v>86</v>
      </c>
      <c r="D4" s="49">
        <f>'Each VPA'!F20*'Each VPA'!F19</f>
        <v>7200</v>
      </c>
      <c r="E4" s="4" t="s">
        <v>83</v>
      </c>
      <c r="F4" s="46" t="s">
        <v>87</v>
      </c>
      <c r="G4" s="72"/>
      <c r="H4" s="72"/>
    </row>
    <row r="5" spans="2:8" ht="33" customHeight="1" x14ac:dyDescent="0.35">
      <c r="B5" s="50" t="s">
        <v>17</v>
      </c>
      <c r="C5" s="51" t="s">
        <v>88</v>
      </c>
      <c r="D5" s="57">
        <f>'Each VPA'!E18</f>
        <v>0.03</v>
      </c>
      <c r="E5" s="48" t="s">
        <v>89</v>
      </c>
      <c r="F5" s="48" t="s">
        <v>90</v>
      </c>
    </row>
    <row r="6" spans="2:8" ht="22.5" customHeight="1" x14ac:dyDescent="0.35">
      <c r="B6" s="52" t="s">
        <v>91</v>
      </c>
      <c r="C6" s="51" t="s">
        <v>92</v>
      </c>
      <c r="D6" s="58">
        <v>0</v>
      </c>
      <c r="E6" s="48" t="s">
        <v>89</v>
      </c>
      <c r="F6" s="48" t="s">
        <v>90</v>
      </c>
    </row>
    <row r="8" spans="2:8" x14ac:dyDescent="0.35">
      <c r="B8" s="44" t="s">
        <v>93</v>
      </c>
      <c r="C8" s="44" t="s">
        <v>77</v>
      </c>
      <c r="D8" s="44" t="s">
        <v>94</v>
      </c>
      <c r="E8" s="44" t="s">
        <v>79</v>
      </c>
      <c r="F8" s="61" t="s">
        <v>80</v>
      </c>
    </row>
    <row r="9" spans="2:8" ht="21.75" customHeight="1" x14ac:dyDescent="0.35">
      <c r="B9" s="46" t="s">
        <v>95</v>
      </c>
      <c r="C9" s="46" t="s">
        <v>96</v>
      </c>
      <c r="D9" s="63">
        <f>D10-D11</f>
        <v>0.5</v>
      </c>
      <c r="E9" s="48" t="s">
        <v>97</v>
      </c>
      <c r="F9" s="48" t="s">
        <v>84</v>
      </c>
    </row>
    <row r="10" spans="2:8" ht="18" customHeight="1" x14ac:dyDescent="0.35">
      <c r="B10" s="46" t="s">
        <v>98</v>
      </c>
      <c r="C10" s="46" t="s">
        <v>99</v>
      </c>
      <c r="D10" s="70">
        <v>2.3199999999999998</v>
      </c>
      <c r="E10" s="48" t="s">
        <v>97</v>
      </c>
      <c r="F10" s="48" t="s">
        <v>90</v>
      </c>
    </row>
    <row r="11" spans="2:8" ht="37.5" customHeight="1" x14ac:dyDescent="0.35">
      <c r="B11" s="46" t="s">
        <v>100</v>
      </c>
      <c r="C11" s="46" t="s">
        <v>101</v>
      </c>
      <c r="D11" s="70">
        <f>D10-0.5</f>
        <v>1.8199999999999998</v>
      </c>
      <c r="E11" s="48" t="s">
        <v>97</v>
      </c>
      <c r="F11" s="46" t="s">
        <v>102</v>
      </c>
    </row>
    <row r="13" spans="2:8" ht="34.5" customHeight="1" x14ac:dyDescent="0.35">
      <c r="B13" s="43" t="s">
        <v>103</v>
      </c>
      <c r="C13" s="44" t="s">
        <v>77</v>
      </c>
      <c r="D13" s="44" t="s">
        <v>104</v>
      </c>
      <c r="E13" s="44" t="s">
        <v>79</v>
      </c>
      <c r="F13" s="61" t="s">
        <v>80</v>
      </c>
    </row>
    <row r="14" spans="2:8" ht="31.5" customHeight="1" x14ac:dyDescent="0.35">
      <c r="B14" s="46" t="s">
        <v>105</v>
      </c>
      <c r="C14" s="46" t="s">
        <v>106</v>
      </c>
      <c r="D14" s="53">
        <f>D15*(1-D16)*D17</f>
        <v>6285.6</v>
      </c>
      <c r="E14" s="48" t="s">
        <v>83</v>
      </c>
      <c r="F14" s="46" t="s">
        <v>84</v>
      </c>
    </row>
    <row r="15" spans="2:8" ht="20.25" customHeight="1" x14ac:dyDescent="0.35">
      <c r="B15" s="46" t="s">
        <v>85</v>
      </c>
      <c r="C15" s="46" t="s">
        <v>107</v>
      </c>
      <c r="D15" s="3">
        <f>'Each VPA'!F20*'Each VPA'!F19</f>
        <v>7200</v>
      </c>
      <c r="E15" s="4" t="s">
        <v>83</v>
      </c>
      <c r="F15" s="48" t="s">
        <v>90</v>
      </c>
      <c r="H15" s="72"/>
    </row>
    <row r="16" spans="2:8" ht="34.5" customHeight="1" x14ac:dyDescent="0.35">
      <c r="B16" s="46" t="s">
        <v>17</v>
      </c>
      <c r="C16" s="51" t="s">
        <v>88</v>
      </c>
      <c r="D16" s="54">
        <f>'Each VPA'!E9</f>
        <v>0.03</v>
      </c>
      <c r="E16" s="48" t="s">
        <v>89</v>
      </c>
      <c r="F16" s="62" t="s">
        <v>87</v>
      </c>
    </row>
    <row r="17" spans="2:6" ht="36" customHeight="1" x14ac:dyDescent="0.45">
      <c r="B17" s="46" t="s">
        <v>108</v>
      </c>
      <c r="C17" s="46" t="s">
        <v>109</v>
      </c>
      <c r="D17" s="55">
        <f>'Each VPA'!E7</f>
        <v>0.9</v>
      </c>
      <c r="E17" s="48" t="s">
        <v>89</v>
      </c>
      <c r="F17" s="62" t="s">
        <v>87</v>
      </c>
    </row>
    <row r="19" spans="2:6" ht="15.75" customHeight="1" x14ac:dyDescent="0.35">
      <c r="B19" s="43" t="s">
        <v>110</v>
      </c>
      <c r="C19" s="44" t="s">
        <v>77</v>
      </c>
      <c r="D19" s="44"/>
      <c r="E19" s="44" t="s">
        <v>79</v>
      </c>
      <c r="F19" s="61" t="s">
        <v>80</v>
      </c>
    </row>
    <row r="20" spans="2:6" x14ac:dyDescent="0.35">
      <c r="B20" s="46" t="s">
        <v>111</v>
      </c>
      <c r="C20" s="48" t="s">
        <v>112</v>
      </c>
      <c r="D20" s="56">
        <f>'Each VPA'!J40</f>
        <v>10000</v>
      </c>
      <c r="E20" s="48" t="s">
        <v>113</v>
      </c>
      <c r="F20" s="48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4" ma:contentTypeDescription="Create a new document." ma:contentTypeScope="" ma:versionID="f214c0ff994e1285d4912ba9996fd456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68b46f69ddd47cedc62efeca1d1c1b69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F88E53-09A9-4D61-8528-0273B374CB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4296B1-4837-4CE0-A7A7-74121F79B8F1}">
  <ds:schemaRefs>
    <ds:schemaRef ds:uri="83a6049c-05c8-4e22-bd03-2c19a5f84a8b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bcd9205-aa71-43b1-82fe-dcc00a36dd04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15EE193-303F-446D-B24E-1771AD5DA2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Each VPA</vt:lpstr>
      <vt:lpstr>Useful Energy Output</vt:lpstr>
      <vt:lpstr>SDG Calcs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Ethan</dc:creator>
  <cp:keywords/>
  <dc:description/>
  <cp:lastModifiedBy>co2laptop5@outlook.com</cp:lastModifiedBy>
  <cp:revision/>
  <dcterms:created xsi:type="dcterms:W3CDTF">2015-12-09T12:22:32Z</dcterms:created>
  <dcterms:modified xsi:type="dcterms:W3CDTF">2021-07-21T15:19:31Z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AuthorIds_UIVersion_3584">
    <vt:lpwstr>153,100</vt:lpwstr>
  </property>
</Properties>
</file>