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Z:\Rozeran\CANTA\GS ROUND I\GS Round I\CANTA WWP_GS ROUND I\VVB\VVB\"/>
    </mc:Choice>
  </mc:AlternateContent>
  <xr:revisionPtr revIDLastSave="0" documentId="13_ncr:1_{56DA5035-D310-4137-B329-D0A030ADC532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Detail" sheetId="1" r:id="rId1"/>
    <sheet name="SOX NOX" sheetId="4" r:id="rId2"/>
    <sheet name="Vintag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4" l="1"/>
  <c r="B7" i="4"/>
  <c r="C23" i="4"/>
  <c r="D6" i="3" s="1"/>
  <c r="C15" i="4"/>
  <c r="N13" i="4"/>
  <c r="O13" i="4"/>
  <c r="O14" i="4"/>
  <c r="O15" i="4"/>
  <c r="O12" i="4"/>
  <c r="N14" i="4"/>
  <c r="N15" i="4"/>
  <c r="N12" i="4"/>
  <c r="L13" i="4"/>
  <c r="M13" i="4"/>
  <c r="L14" i="4"/>
  <c r="M14" i="4"/>
  <c r="L15" i="4"/>
  <c r="M15" i="4"/>
  <c r="L16" i="4"/>
  <c r="M16" i="4"/>
  <c r="M12" i="4"/>
  <c r="L12" i="4"/>
  <c r="K13" i="4"/>
  <c r="K14" i="4"/>
  <c r="K15" i="4"/>
  <c r="K12" i="4"/>
  <c r="J13" i="4"/>
  <c r="J14" i="4"/>
  <c r="J15" i="4"/>
  <c r="J16" i="4"/>
  <c r="N16" i="4" s="1"/>
  <c r="J12" i="4"/>
  <c r="C38" i="4"/>
  <c r="C30" i="4"/>
  <c r="C35" i="4"/>
  <c r="C36" i="4"/>
  <c r="C37" i="4"/>
  <c r="C34" i="4"/>
  <c r="C27" i="4"/>
  <c r="C28" i="4"/>
  <c r="C29" i="4"/>
  <c r="C26" i="4"/>
  <c r="B27" i="4"/>
  <c r="B28" i="4"/>
  <c r="B29" i="4"/>
  <c r="B30" i="4"/>
  <c r="B26" i="4"/>
  <c r="D3" i="3"/>
  <c r="D4" i="3"/>
  <c r="D5" i="3"/>
  <c r="D2" i="3"/>
  <c r="C3" i="3"/>
  <c r="C4" i="3"/>
  <c r="C5" i="3"/>
  <c r="C6" i="3"/>
  <c r="C2" i="3"/>
  <c r="I1" i="4"/>
  <c r="K16" i="4" l="1"/>
  <c r="O16" i="4" s="1"/>
  <c r="J30" i="1"/>
  <c r="V36" i="1"/>
  <c r="V35" i="1"/>
  <c r="V34" i="1"/>
  <c r="V31" i="1"/>
  <c r="V30" i="1"/>
  <c r="U36" i="1"/>
  <c r="U33" i="1"/>
  <c r="U35" i="1"/>
  <c r="U34" i="1"/>
  <c r="U31" i="1"/>
  <c r="U32" i="1"/>
  <c r="V32" i="1" s="1"/>
  <c r="U30" i="1"/>
  <c r="V33" i="1" l="1"/>
  <c r="L35" i="1"/>
  <c r="J35" i="1"/>
  <c r="J34" i="1"/>
  <c r="L34" i="1" s="1"/>
  <c r="L31" i="1"/>
  <c r="J31" i="1"/>
  <c r="J32" i="1"/>
  <c r="L7" i="1"/>
  <c r="L20" i="1"/>
  <c r="O35" i="1"/>
  <c r="N35" i="1"/>
  <c r="S35" i="1"/>
  <c r="T35" i="1" s="1"/>
  <c r="R35" i="1"/>
  <c r="K35" i="1"/>
  <c r="K34" i="1"/>
  <c r="K31" i="1"/>
  <c r="K32" i="1"/>
  <c r="L32" i="1" s="1"/>
  <c r="K30" i="1"/>
  <c r="L30" i="1" s="1"/>
  <c r="L33" i="1" s="1"/>
  <c r="T34" i="1"/>
  <c r="T31" i="1"/>
  <c r="T32" i="1"/>
  <c r="T30" i="1"/>
  <c r="S36" i="1"/>
  <c r="R36" i="1"/>
  <c r="S33" i="1"/>
  <c r="R33" i="1"/>
  <c r="S31" i="1"/>
  <c r="R31" i="1"/>
  <c r="O3" i="1"/>
  <c r="T57" i="1"/>
  <c r="T56" i="1"/>
  <c r="S57" i="1"/>
  <c r="S56" i="1"/>
  <c r="K24" i="1"/>
  <c r="K25" i="1"/>
  <c r="K26" i="1"/>
  <c r="K27" i="1"/>
  <c r="K28" i="1"/>
  <c r="K29" i="1"/>
  <c r="J24" i="1"/>
  <c r="J25" i="1"/>
  <c r="J26" i="1"/>
  <c r="J27" i="1"/>
  <c r="J28" i="1"/>
  <c r="J29" i="1"/>
  <c r="J22" i="1"/>
  <c r="K22" i="1"/>
  <c r="J23" i="1"/>
  <c r="K23" i="1"/>
  <c r="K21" i="1"/>
  <c r="J21" i="1"/>
  <c r="K9" i="1"/>
  <c r="K10" i="1"/>
  <c r="K11" i="1"/>
  <c r="K12" i="1"/>
  <c r="K13" i="1"/>
  <c r="K14" i="1"/>
  <c r="K15" i="1"/>
  <c r="K16" i="1"/>
  <c r="K17" i="1"/>
  <c r="K18" i="1"/>
  <c r="K19" i="1"/>
  <c r="K8" i="1"/>
  <c r="J9" i="1"/>
  <c r="J10" i="1"/>
  <c r="J11" i="1"/>
  <c r="J12" i="1"/>
  <c r="J13" i="1"/>
  <c r="J14" i="1"/>
  <c r="J15" i="1"/>
  <c r="J16" i="1"/>
  <c r="J17" i="1"/>
  <c r="J18" i="1"/>
  <c r="J19" i="1"/>
  <c r="J8" i="1"/>
  <c r="J4" i="1"/>
  <c r="K4" i="1"/>
  <c r="J5" i="1"/>
  <c r="K5" i="1"/>
  <c r="J6" i="1"/>
  <c r="K6" i="1"/>
  <c r="B43" i="1"/>
  <c r="F22" i="4"/>
  <c r="F21" i="4"/>
  <c r="F20" i="4"/>
  <c r="F19" i="4"/>
  <c r="F14" i="4"/>
  <c r="F13" i="4"/>
  <c r="F12" i="4"/>
  <c r="F11" i="4"/>
  <c r="F23" i="4" l="1"/>
  <c r="F15" i="4"/>
  <c r="L36" i="1"/>
  <c r="L37" i="1"/>
  <c r="T36" i="1"/>
  <c r="T33" i="1"/>
  <c r="S45" i="1" l="1"/>
  <c r="N45" i="1" s="1"/>
  <c r="P45" i="1" s="1"/>
  <c r="S44" i="1"/>
  <c r="S42" i="1"/>
  <c r="N42" i="1" s="1"/>
  <c r="P42" i="1" s="1"/>
  <c r="S43" i="1"/>
  <c r="B6" i="4"/>
  <c r="E6" i="4"/>
  <c r="N46" i="1" l="1"/>
  <c r="P46" i="1"/>
  <c r="S46" i="1"/>
  <c r="B49" i="1" s="1"/>
  <c r="N3" i="1"/>
  <c r="J3" i="1" s="1"/>
  <c r="H3" i="1"/>
  <c r="C3" i="1"/>
  <c r="O7" i="1"/>
  <c r="H35" i="1"/>
  <c r="H36" i="1" s="1"/>
  <c r="C35" i="1"/>
  <c r="C36" i="1" s="1"/>
  <c r="O33" i="1"/>
  <c r="N33" i="1"/>
  <c r="I29" i="1"/>
  <c r="I30" i="1"/>
  <c r="I31" i="1"/>
  <c r="I32" i="1"/>
  <c r="H33" i="1"/>
  <c r="C33" i="1"/>
  <c r="H20" i="1"/>
  <c r="C20" i="1"/>
  <c r="C7" i="1"/>
  <c r="H7" i="1"/>
  <c r="P34" i="1"/>
  <c r="P29" i="1"/>
  <c r="P30" i="1"/>
  <c r="P31" i="1"/>
  <c r="P32" i="1"/>
  <c r="P6" i="1"/>
  <c r="I6" i="1"/>
  <c r="P5" i="1"/>
  <c r="I5" i="1"/>
  <c r="P4" i="1"/>
  <c r="I4" i="1"/>
  <c r="I34" i="1"/>
  <c r="D37" i="1"/>
  <c r="E37" i="1"/>
  <c r="F37" i="1"/>
  <c r="G37" i="1"/>
  <c r="P28" i="1"/>
  <c r="P27" i="1"/>
  <c r="P26" i="1"/>
  <c r="P25" i="1"/>
  <c r="P24" i="1"/>
  <c r="P23" i="1"/>
  <c r="P22" i="1"/>
  <c r="P21" i="1"/>
  <c r="O20" i="1"/>
  <c r="N20" i="1"/>
  <c r="P19" i="1"/>
  <c r="P18" i="1"/>
  <c r="P17" i="1"/>
  <c r="P16" i="1"/>
  <c r="P15" i="1"/>
  <c r="P14" i="1"/>
  <c r="P13" i="1"/>
  <c r="P12" i="1"/>
  <c r="P11" i="1"/>
  <c r="P10" i="1"/>
  <c r="P9" i="1"/>
  <c r="P8" i="1"/>
  <c r="B42" i="1"/>
  <c r="I8" i="1"/>
  <c r="P3" i="1" l="1"/>
  <c r="K3" i="1"/>
  <c r="L3" i="1" s="1"/>
  <c r="I3" i="1"/>
  <c r="I35" i="1"/>
  <c r="L6" i="1"/>
  <c r="J7" i="1"/>
  <c r="I20" i="1"/>
  <c r="N7" i="1"/>
  <c r="P7" i="1" s="1"/>
  <c r="I7" i="1"/>
  <c r="C37" i="1"/>
  <c r="H37" i="1"/>
  <c r="I37" i="1" s="1"/>
  <c r="P35" i="1"/>
  <c r="O36" i="1"/>
  <c r="O37" i="1" s="1"/>
  <c r="N36" i="1"/>
  <c r="I33" i="1"/>
  <c r="I36" i="1"/>
  <c r="P20" i="1"/>
  <c r="P33" i="1"/>
  <c r="N37" i="1" l="1"/>
  <c r="P37" i="1" s="1"/>
  <c r="K33" i="1"/>
  <c r="J33" i="1"/>
  <c r="L5" i="1"/>
  <c r="K7" i="1"/>
  <c r="L29" i="1"/>
  <c r="L4" i="1"/>
  <c r="P36" i="1"/>
  <c r="J36" i="1"/>
  <c r="K36" i="1"/>
  <c r="L8" i="1"/>
  <c r="J20" i="1"/>
  <c r="K20" i="1"/>
  <c r="L22" i="1"/>
  <c r="L23" i="1"/>
  <c r="L24" i="1"/>
  <c r="L25" i="1"/>
  <c r="L26" i="1"/>
  <c r="L27" i="1"/>
  <c r="L28" i="1"/>
  <c r="L21" i="1"/>
  <c r="L9" i="1"/>
  <c r="L10" i="1"/>
  <c r="L11" i="1"/>
  <c r="L12" i="1"/>
  <c r="L13" i="1"/>
  <c r="L14" i="1"/>
  <c r="L15" i="1"/>
  <c r="L16" i="1"/>
  <c r="L17" i="1"/>
  <c r="L18" i="1"/>
  <c r="L19" i="1"/>
  <c r="I9" i="1"/>
  <c r="I10" i="1"/>
  <c r="I11" i="1"/>
  <c r="I12" i="1"/>
  <c r="I13" i="1"/>
  <c r="I14" i="1"/>
  <c r="I15" i="1"/>
  <c r="I16" i="1"/>
  <c r="I17" i="1"/>
  <c r="I18" i="1"/>
  <c r="I19" i="1"/>
  <c r="I21" i="1"/>
  <c r="I22" i="1"/>
  <c r="I23" i="1"/>
  <c r="I24" i="1"/>
  <c r="I25" i="1"/>
  <c r="I26" i="1"/>
  <c r="I27" i="1"/>
  <c r="I28" i="1"/>
  <c r="J42" i="1" l="1"/>
  <c r="E2" i="3" s="1"/>
  <c r="K37" i="1"/>
  <c r="K38" i="1" s="1"/>
  <c r="J37" i="1"/>
  <c r="J38" i="1" s="1"/>
  <c r="B19" i="4" l="1"/>
  <c r="C19" i="4" s="1"/>
  <c r="T42" i="1"/>
  <c r="B11" i="4"/>
  <c r="C11" i="4" s="1"/>
  <c r="J43" i="1"/>
  <c r="E3" i="3" s="1"/>
  <c r="M8" i="1"/>
  <c r="L43" i="1" s="1"/>
  <c r="J44" i="1"/>
  <c r="E4" i="3" s="1"/>
  <c r="M21" i="1"/>
  <c r="L44" i="1" s="1"/>
  <c r="J45" i="1"/>
  <c r="E5" i="3" s="1"/>
  <c r="M34" i="1"/>
  <c r="L45" i="1" s="1"/>
  <c r="M3" i="1"/>
  <c r="L38" i="1"/>
  <c r="U43" i="1" l="1"/>
  <c r="B3" i="3"/>
  <c r="U45" i="1"/>
  <c r="B5" i="3"/>
  <c r="U44" i="1"/>
  <c r="B4" i="3"/>
  <c r="B14" i="4"/>
  <c r="C14" i="4" s="1"/>
  <c r="T45" i="1"/>
  <c r="B22" i="4"/>
  <c r="C22" i="4" s="1"/>
  <c r="B21" i="4"/>
  <c r="C21" i="4" s="1"/>
  <c r="T44" i="1"/>
  <c r="B13" i="4"/>
  <c r="C13" i="4" s="1"/>
  <c r="J46" i="1"/>
  <c r="B20" i="4"/>
  <c r="C20" i="4" s="1"/>
  <c r="T43" i="1"/>
  <c r="B12" i="4"/>
  <c r="C12" i="4" s="1"/>
  <c r="M37" i="1"/>
  <c r="L42" i="1"/>
  <c r="B2" i="3" s="1"/>
  <c r="B40" i="1"/>
  <c r="B15" i="4" l="1"/>
  <c r="E6" i="3"/>
  <c r="B23" i="4"/>
  <c r="B45" i="1"/>
  <c r="T46" i="1"/>
  <c r="J47" i="1"/>
  <c r="L46" i="1"/>
  <c r="U42" i="1"/>
  <c r="U46" i="1" l="1"/>
  <c r="B6" i="3"/>
  <c r="L47" i="1"/>
  <c r="B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Ece Kanbur</author>
  </authors>
  <commentList>
    <comment ref="N3" authorId="0" shapeId="0" xr:uid="{42CE8165-788C-4296-A21F-2A7B6C23A39F}">
      <text>
        <r>
          <rPr>
            <b/>
            <sz val="10"/>
            <color indexed="81"/>
            <rFont val="Tahoma"/>
            <family val="2"/>
            <charset val="162"/>
          </rPr>
          <t>Ece Kanbur:</t>
        </r>
        <r>
          <rPr>
            <sz val="10"/>
            <color indexed="81"/>
            <rFont val="Tahoma"/>
            <family val="2"/>
            <charset val="162"/>
          </rPr>
          <t xml:space="preserve">
Multiplied by 15/30 since the MP starts on 16/09/2019</t>
        </r>
      </text>
    </comment>
    <comment ref="O3" authorId="0" shapeId="0" xr:uid="{72FAE5D7-6DA6-4668-AFE0-3BEAC1C2CA3A}">
      <text>
        <r>
          <rPr>
            <b/>
            <sz val="10"/>
            <color indexed="81"/>
            <rFont val="Tahoma"/>
            <family val="2"/>
            <charset val="162"/>
          </rPr>
          <t>Ece Kanbur:</t>
        </r>
        <r>
          <rPr>
            <sz val="10"/>
            <color indexed="81"/>
            <rFont val="Tahoma"/>
            <family val="2"/>
            <charset val="162"/>
          </rPr>
          <t xml:space="preserve">
Multiplied by 15/30 since the MP starts on 16/09/2019</t>
        </r>
      </text>
    </comment>
    <comment ref="N35" authorId="0" shapeId="0" xr:uid="{FEE02867-6868-4DFB-8BFE-8F27C81DF0D6}">
      <text>
        <r>
          <rPr>
            <b/>
            <sz val="10"/>
            <color indexed="81"/>
            <rFont val="Tahoma"/>
            <family val="2"/>
            <charset val="162"/>
          </rPr>
          <t>Ece Kanbur:</t>
        </r>
        <r>
          <rPr>
            <sz val="10"/>
            <color indexed="81"/>
            <rFont val="Tahoma"/>
            <family val="2"/>
            <charset val="162"/>
          </rPr>
          <t xml:space="preserve">
Multiplied by 1/28 since the MP ends on 01/02/2022</t>
        </r>
      </text>
    </comment>
    <comment ref="O35" authorId="0" shapeId="0" xr:uid="{2320CA56-ADE3-4FB9-BE11-B1396022A59A}">
      <text>
        <r>
          <rPr>
            <b/>
            <sz val="10"/>
            <color indexed="81"/>
            <rFont val="Tahoma"/>
            <family val="2"/>
            <charset val="162"/>
          </rPr>
          <t>Ece Kanbur:</t>
        </r>
        <r>
          <rPr>
            <sz val="10"/>
            <color indexed="81"/>
            <rFont val="Tahoma"/>
            <family val="2"/>
            <charset val="162"/>
          </rPr>
          <t xml:space="preserve">
Multiplied by 1/28 since the MP ends on 01/02/2022</t>
        </r>
      </text>
    </comment>
  </commentList>
</comments>
</file>

<file path=xl/sharedStrings.xml><?xml version="1.0" encoding="utf-8"?>
<sst xmlns="http://schemas.openxmlformats.org/spreadsheetml/2006/main" count="183" uniqueCount="110">
  <si>
    <t>Months</t>
  </si>
  <si>
    <t>February</t>
  </si>
  <si>
    <t>March</t>
  </si>
  <si>
    <t>April</t>
  </si>
  <si>
    <t>May</t>
  </si>
  <si>
    <t>August</t>
  </si>
  <si>
    <t>September</t>
  </si>
  <si>
    <t>October</t>
  </si>
  <si>
    <t>November</t>
  </si>
  <si>
    <t>Emissions Factor</t>
  </si>
  <si>
    <t>January</t>
  </si>
  <si>
    <t>Year</t>
  </si>
  <si>
    <t>Loss Factor Calculated from TEIAS web page*</t>
  </si>
  <si>
    <t>Grand Total</t>
  </si>
  <si>
    <t>Amount in Invoice  (TL)</t>
  </si>
  <si>
    <t>Tariff</t>
  </si>
  <si>
    <t xml:space="preserve">December </t>
  </si>
  <si>
    <r>
      <t xml:space="preserve">EMISSION REDUCTIONS </t>
    </r>
    <r>
      <rPr>
        <b/>
        <sz val="8"/>
        <rFont val="Verdana"/>
        <family val="2"/>
        <charset val="162"/>
      </rPr>
      <t xml:space="preserve">
(tCO2e)</t>
    </r>
  </si>
  <si>
    <r>
      <t xml:space="preserve">SITE RECORDS
</t>
    </r>
    <r>
      <rPr>
        <b/>
        <sz val="8"/>
        <rFont val="Verdana"/>
        <family val="2"/>
        <charset val="162"/>
      </rPr>
      <t>(GROSS)(MWh)</t>
    </r>
  </si>
  <si>
    <r>
      <t xml:space="preserve">SITE RECORDS 
</t>
    </r>
    <r>
      <rPr>
        <b/>
        <sz val="8"/>
        <rFont val="Verdana"/>
        <family val="2"/>
        <charset val="162"/>
      </rPr>
      <t>(NET)(MWh)</t>
    </r>
  </si>
  <si>
    <t>Total</t>
  </si>
  <si>
    <t>June</t>
  </si>
  <si>
    <t>July</t>
  </si>
  <si>
    <r>
      <t xml:space="preserve">SITE RECORDS </t>
    </r>
    <r>
      <rPr>
        <b/>
        <sz val="8"/>
        <rFont val="Verdana"/>
        <family val="2"/>
        <charset val="162"/>
      </rPr>
      <t>(INTERNAL CONSUMPTION) (MWh)</t>
    </r>
  </si>
  <si>
    <r>
      <t xml:space="preserve">EPIAS RECORDS </t>
    </r>
    <r>
      <rPr>
        <b/>
        <sz val="8"/>
        <rFont val="Verdana"/>
        <family val="2"/>
        <charset val="162"/>
      </rPr>
      <t>(GROSS)(MWh)</t>
    </r>
  </si>
  <si>
    <r>
      <t xml:space="preserve">EPIAS RECORDS </t>
    </r>
    <r>
      <rPr>
        <b/>
        <sz val="8"/>
        <rFont val="Verdana"/>
        <family val="2"/>
        <charset val="162"/>
      </rPr>
      <t>(INTERNAL CONSUMPTION)</t>
    </r>
  </si>
  <si>
    <r>
      <t xml:space="preserve">EPIAS RECORDS </t>
    </r>
    <r>
      <rPr>
        <b/>
        <sz val="8"/>
        <rFont val="Verdana"/>
        <family val="2"/>
        <charset val="162"/>
      </rPr>
      <t>(NET)(MWh)</t>
    </r>
  </si>
  <si>
    <t>2020 Total</t>
  </si>
  <si>
    <t>2021 Total</t>
  </si>
  <si>
    <t>%difference ER</t>
  </si>
  <si>
    <t>%difference EG</t>
  </si>
  <si>
    <t>Emission Factor (tCO2/MWh)</t>
  </si>
  <si>
    <t>Total (MWh)</t>
  </si>
  <si>
    <t>Total (tCO2)</t>
  </si>
  <si>
    <t>Ratio to exclude the two latest turbines</t>
  </si>
  <si>
    <t>EXCLUDING THE LATEST TWO TURBINES</t>
  </si>
  <si>
    <t>INCLUDING ALL THE TURBINES</t>
  </si>
  <si>
    <t>2022 Total</t>
  </si>
  <si>
    <t>2019 Total</t>
  </si>
  <si>
    <t>Total number of days</t>
  </si>
  <si>
    <t>Source</t>
  </si>
  <si>
    <t>GWh</t>
  </si>
  <si>
    <t>SDG 13
Net Emission Reduction (tCO2)</t>
  </si>
  <si>
    <t>SDG 7
Net Electricity Generation (MWh)</t>
  </si>
  <si>
    <t>SDG 8
Number of Employees</t>
  </si>
  <si>
    <t>SDG 8
Training</t>
  </si>
  <si>
    <t>2019
(16/09/2019-31/12/2019)</t>
  </si>
  <si>
    <t>16 hours of HSE training</t>
  </si>
  <si>
    <t>2022
(01/01/2022-01/02/2022)</t>
  </si>
  <si>
    <t>Electricity Generated in the Project (MWh)</t>
  </si>
  <si>
    <t>Indicator #1 Air Quality</t>
  </si>
  <si>
    <t>SO2 EF</t>
  </si>
  <si>
    <t>kg/MWh</t>
  </si>
  <si>
    <t>NOx EF</t>
  </si>
  <si>
    <t>tons</t>
  </si>
  <si>
    <t>date 1</t>
  </si>
  <si>
    <t>date 2</t>
  </si>
  <si>
    <t># of days</t>
  </si>
  <si>
    <t>16/09/2019-31/12/2019</t>
  </si>
  <si>
    <t>01/01/2022-01/02/2022</t>
  </si>
  <si>
    <r>
      <t>T</t>
    </r>
    <r>
      <rPr>
        <sz val="10"/>
        <rFont val="Verdana"/>
        <family val="2"/>
        <charset val="162"/>
      </rPr>
      <t>otal</t>
    </r>
  </si>
  <si>
    <t>ESTIMATED</t>
  </si>
  <si>
    <t># number of days</t>
  </si>
  <si>
    <t>Electricity Generation</t>
  </si>
  <si>
    <t>Emission Reduction</t>
  </si>
  <si>
    <t>2019 
(16/09/2019-31/12/2019)</t>
  </si>
  <si>
    <t>2020
(01/01/2020-
31/12/2020)</t>
  </si>
  <si>
    <t>2021
(01/01/2021-
31/12/2021)</t>
  </si>
  <si>
    <t>2022 
(01/01/2022-01/02/2022</t>
  </si>
  <si>
    <t>MONITORED</t>
  </si>
  <si>
    <t>Total (MWh/yr)</t>
  </si>
  <si>
    <t>Total (tCO2/yr)</t>
  </si>
  <si>
    <t>Actual Electricity Generation (MWh)</t>
  </si>
  <si>
    <t>ER (tSOX)</t>
  </si>
  <si>
    <t>ER (tNOX)</t>
  </si>
  <si>
    <t>% Difference in EG</t>
  </si>
  <si>
    <t>% Difference in ER</t>
  </si>
  <si>
    <t>SDG 13
Net Emission Reduction (tSO2)</t>
  </si>
  <si>
    <t>SDG 13
Net Emission Reduction (tNOx)</t>
  </si>
  <si>
    <t>Commissioning of turbine T20</t>
  </si>
  <si>
    <t>Commissioning of turbine T21</t>
  </si>
  <si>
    <t>163.2/175=0.9326 is used to exclude the latest two turbines.</t>
  </si>
  <si>
    <t>Ratio to exclude the one of the latest turbines (to be used between 15.10.2021 and 26.11.2021 calculations)</t>
  </si>
  <si>
    <t>rest of the month</t>
  </si>
  <si>
    <t xml:space="preserve">SCADA RECORDS </t>
  </si>
  <si>
    <t>Turbine T20</t>
  </si>
  <si>
    <t>Turbine T21</t>
  </si>
  <si>
    <t>TOTAL</t>
  </si>
  <si>
    <t>Cells R35 and S35 has been multiplied by 1/28 to calculate generation in the first day of the month, then end of the monitoring period</t>
  </si>
  <si>
    <t>To exclude the EG from the last commissioned turbines, T20 and T21, EG of those turbines read from the SCADA system were subtracted from the total generation read from EPİAŞ screenshots.</t>
  </si>
  <si>
    <t>EPIAS RECORDS (INTERNAL CONSUMPTION)</t>
  </si>
  <si>
    <t>Gross Generation (MWh)</t>
  </si>
  <si>
    <t>NET EG (for T20 and T21)</t>
  </si>
  <si>
    <t xml:space="preserve">Total SO2 and NOx emission related to electricity generation is about 413,78 and 317,45 Gg respectively for 2010 according to National Inventory of Turkey . Considering that electricity generation in 2010 is 211,208.00 GWh, SO2 emission per MWh is calculated as 1.96 kg/MWh. 
Same is repeated for NOx emissions and NOx EF was determined as 1.5 kg/MWh. </t>
  </si>
  <si>
    <t>SO2 Emission (2010)</t>
  </si>
  <si>
    <t>Electricity Generation (2010)</t>
  </si>
  <si>
    <t>NOx Emission (2010)</t>
  </si>
  <si>
    <t>Gg</t>
  </si>
  <si>
    <t>SO2 reduction for Generation in this MP</t>
  </si>
  <si>
    <t>NOx reduction for Generation in this MP</t>
  </si>
  <si>
    <t>National GHG Inventory https://webdosya.csb.gov.tr/db/iklim/editordosya/nir_tur_2012.pdf</t>
  </si>
  <si>
    <t>TEIAS Statistics https://www.teias.gov.tr/turkiye-elektrik-uretim-iletim-istatistikleri</t>
  </si>
  <si>
    <t>Net Generation (MWh) (01/09/2019 - 01/02/2022)</t>
  </si>
  <si>
    <t>Estimated Electricity Generation (MWh)</t>
  </si>
  <si>
    <t>Estimated ER (tSOX)</t>
  </si>
  <si>
    <t>Estimated ER (tNOX)</t>
  </si>
  <si>
    <t>Emission Reduction (tSO2)</t>
  </si>
  <si>
    <t>Emission Reduction (tNOx)</t>
  </si>
  <si>
    <t>% Difference in SO2 reduction</t>
  </si>
  <si>
    <t>% Difference in NOx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</si>
</sst>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0.000"/>
    <numFmt numFmtId="166" formatCode="#,##0.0"/>
    <numFmt numFmtId="167" formatCode="_(* #,##0_);_(* \(#,##0\);_(* &quot;-&quot;??_);_(@_)"/>
    <numFmt numFmtId="168" formatCode="#,##0.000"/>
    <numFmt numFmtId="169" formatCode="#,##0.0000"/>
    <numFmt numFmtId="170" formatCode="_-* #,##0.00\ _T_L_-;\-* #,##0.00\ _T_L_-;_-* &quot;-&quot;??\ _T_L_-;_-@_-"/>
    <numFmt numFmtId="171" formatCode="0.0%"/>
    <numFmt numFmtId="172" formatCode="0.0000"/>
  </numFmts>
  <fonts count="29">
    <font>
      <sz val="10"/>
      <name val="Verdana"/>
    </font>
    <font>
      <sz val="11"/>
      <color theme="1"/>
      <name val="Calibri"/>
      <family val="2"/>
      <charset val="162"/>
      <scheme val="minor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10"/>
      <name val="Verdana"/>
      <family val="2"/>
    </font>
    <font>
      <sz val="10"/>
      <name val="Verdana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2"/>
      <name val="Verdana"/>
      <family val="2"/>
      <charset val="162"/>
    </font>
    <font>
      <b/>
      <sz val="12"/>
      <name val="Verdana"/>
      <family val="2"/>
    </font>
    <font>
      <sz val="10"/>
      <name val="Arial"/>
      <family val="2"/>
      <charset val="162"/>
    </font>
    <font>
      <b/>
      <sz val="8"/>
      <name val="Verdana"/>
      <family val="2"/>
      <charset val="162"/>
    </font>
    <font>
      <sz val="9"/>
      <name val="Verdana"/>
      <family val="2"/>
      <charset val="162"/>
    </font>
    <font>
      <sz val="11"/>
      <name val="Verdana"/>
      <family val="2"/>
      <charset val="162"/>
    </font>
    <font>
      <b/>
      <sz val="11"/>
      <name val="Verdana"/>
      <family val="2"/>
      <charset val="162"/>
    </font>
    <font>
      <b/>
      <sz val="12"/>
      <color theme="0"/>
      <name val="Verdana"/>
      <family val="2"/>
      <charset val="162"/>
    </font>
    <font>
      <b/>
      <sz val="9"/>
      <name val="Verdana"/>
      <family val="2"/>
      <charset val="162"/>
    </font>
    <font>
      <u/>
      <sz val="10"/>
      <color theme="10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sz val="10"/>
      <name val="Calibri    "/>
      <charset val="162"/>
    </font>
    <font>
      <u/>
      <sz val="10"/>
      <color indexed="12"/>
      <name val="Arial Tur"/>
      <charset val="162"/>
    </font>
    <font>
      <sz val="10"/>
      <color theme="1"/>
      <name val="Calibri    "/>
      <charset val="162"/>
    </font>
    <font>
      <b/>
      <sz val="10"/>
      <name val="Calibri    "/>
      <charset val="162"/>
    </font>
    <font>
      <b/>
      <sz val="12"/>
      <name val="Calibri"/>
      <family val="2"/>
      <charset val="162"/>
      <scheme val="minor"/>
    </font>
    <font>
      <b/>
      <sz val="10"/>
      <name val="Verdana"/>
      <family val="2"/>
      <charset val="162"/>
    </font>
    <font>
      <sz val="10"/>
      <name val="Verdana"/>
      <family val="2"/>
      <charset val="162"/>
    </font>
    <font>
      <sz val="10"/>
      <color indexed="81"/>
      <name val="Tahoma"/>
      <family val="2"/>
      <charset val="162"/>
    </font>
    <font>
      <b/>
      <sz val="10"/>
      <color indexed="81"/>
      <name val="Tahoma"/>
      <family val="2"/>
      <charset val="162"/>
    </font>
    <font>
      <b/>
      <sz val="10"/>
      <name val="Verdana"/>
    </font>
  </fonts>
  <fills count="1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10" fillId="0" borderId="0"/>
    <xf numFmtId="164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170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166" fontId="14" fillId="5" borderId="1" xfId="0" applyNumberFormat="1" applyFont="1" applyFill="1" applyBorder="1" applyAlignment="1">
      <alignment horizontal="center" vertical="center"/>
    </xf>
    <xf numFmtId="166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4" fontId="13" fillId="5" borderId="1" xfId="0" applyNumberFormat="1" applyFont="1" applyFill="1" applyBorder="1" applyAlignment="1">
      <alignment horizontal="right" vertical="center"/>
    </xf>
    <xf numFmtId="168" fontId="13" fillId="5" borderId="1" xfId="0" applyNumberFormat="1" applyFont="1" applyFill="1" applyBorder="1" applyAlignment="1">
      <alignment horizontal="right" vertical="center"/>
    </xf>
    <xf numFmtId="168" fontId="2" fillId="5" borderId="1" xfId="0" applyNumberFormat="1" applyFont="1" applyFill="1" applyBorder="1" applyAlignment="1">
      <alignment horizontal="center" vertical="center"/>
    </xf>
    <xf numFmtId="168" fontId="2" fillId="5" borderId="1" xfId="0" applyNumberFormat="1" applyFont="1" applyFill="1" applyBorder="1" applyAlignment="1">
      <alignment horizontal="right" vertical="center"/>
    </xf>
    <xf numFmtId="166" fontId="3" fillId="5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/>
    </xf>
    <xf numFmtId="166" fontId="2" fillId="5" borderId="1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  <xf numFmtId="168" fontId="2" fillId="5" borderId="7" xfId="0" applyNumberFormat="1" applyFont="1" applyFill="1" applyBorder="1" applyAlignment="1">
      <alignment horizontal="right" vertical="center"/>
    </xf>
    <xf numFmtId="166" fontId="3" fillId="5" borderId="7" xfId="0" applyNumberFormat="1" applyFont="1" applyFill="1" applyBorder="1" applyAlignment="1">
      <alignment horizontal="right" vertical="center"/>
    </xf>
    <xf numFmtId="4" fontId="2" fillId="5" borderId="7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1" xfId="0" applyFont="1" applyBorder="1" applyAlignment="1">
      <alignment vertical="center"/>
    </xf>
    <xf numFmtId="167" fontId="16" fillId="0" borderId="1" xfId="4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vertical="center"/>
    </xf>
    <xf numFmtId="4" fontId="3" fillId="3" borderId="1" xfId="0" applyNumberFormat="1" applyFont="1" applyFill="1" applyBorder="1"/>
    <xf numFmtId="4" fontId="3" fillId="3" borderId="7" xfId="0" applyNumberFormat="1" applyFont="1" applyFill="1" applyBorder="1"/>
    <xf numFmtId="4" fontId="3" fillId="3" borderId="8" xfId="4" applyNumberFormat="1" applyFont="1" applyFill="1" applyBorder="1" applyAlignment="1">
      <alignment horizontal="right" vertical="center"/>
    </xf>
    <xf numFmtId="2" fontId="16" fillId="6" borderId="1" xfId="0" applyNumberFormat="1" applyFont="1" applyFill="1" applyBorder="1" applyAlignment="1">
      <alignment horizontal="center" vertical="center"/>
    </xf>
    <xf numFmtId="168" fontId="16" fillId="0" borderId="1" xfId="0" applyNumberFormat="1" applyFont="1" applyBorder="1" applyAlignment="1">
      <alignment horizontal="center" vertical="center"/>
    </xf>
    <xf numFmtId="0" fontId="0" fillId="5" borderId="3" xfId="0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169" fontId="16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2" fillId="10" borderId="1" xfId="0" applyNumberFormat="1" applyFont="1" applyFill="1" applyBorder="1"/>
    <xf numFmtId="4" fontId="2" fillId="10" borderId="5" xfId="4" applyNumberFormat="1" applyFont="1" applyFill="1" applyBorder="1" applyAlignment="1">
      <alignment horizontal="center" vertical="center"/>
    </xf>
    <xf numFmtId="4" fontId="2" fillId="10" borderId="20" xfId="4" applyNumberFormat="1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>
      <alignment horizontal="right" vertical="center"/>
    </xf>
    <xf numFmtId="168" fontId="3" fillId="3" borderId="7" xfId="0" applyNumberFormat="1" applyFont="1" applyFill="1" applyBorder="1" applyAlignment="1">
      <alignment horizontal="center" vertical="center"/>
    </xf>
    <xf numFmtId="4" fontId="15" fillId="11" borderId="7" xfId="4" applyNumberFormat="1" applyFont="1" applyFill="1" applyBorder="1" applyAlignment="1">
      <alignment horizontal="center" vertical="center"/>
    </xf>
    <xf numFmtId="3" fontId="15" fillId="11" borderId="7" xfId="0" applyNumberFormat="1" applyFont="1" applyFill="1" applyBorder="1" applyAlignment="1">
      <alignment horizontal="center" vertical="center"/>
    </xf>
    <xf numFmtId="3" fontId="15" fillId="11" borderId="7" xfId="4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7" fontId="15" fillId="11" borderId="15" xfId="0" applyNumberFormat="1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vertical="center"/>
    </xf>
    <xf numFmtId="0" fontId="16" fillId="7" borderId="3" xfId="0" applyFont="1" applyFill="1" applyBorder="1" applyAlignment="1">
      <alignment horizontal="center" vertical="center" wrapText="1"/>
    </xf>
    <xf numFmtId="164" fontId="16" fillId="12" borderId="1" xfId="4" applyFont="1" applyFill="1" applyBorder="1" applyAlignment="1">
      <alignment horizontal="center" vertical="center"/>
    </xf>
    <xf numFmtId="0" fontId="12" fillId="0" borderId="25" xfId="0" applyFont="1" applyBorder="1"/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4" fontId="16" fillId="0" borderId="29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9" fillId="14" borderId="1" xfId="9" applyFont="1" applyFill="1" applyBorder="1" applyAlignment="1">
      <alignment horizontal="left" vertical="center" wrapText="1"/>
    </xf>
    <xf numFmtId="4" fontId="19" fillId="14" borderId="1" xfId="9" applyNumberFormat="1" applyFont="1" applyFill="1" applyBorder="1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4" fontId="21" fillId="0" borderId="1" xfId="10" applyNumberFormat="1" applyFont="1" applyFill="1" applyBorder="1" applyAlignment="1">
      <alignment horizontal="center" vertical="center"/>
    </xf>
    <xf numFmtId="4" fontId="19" fillId="0" borderId="1" xfId="9" applyNumberFormat="1" applyFont="1" applyBorder="1" applyAlignment="1">
      <alignment horizontal="left" vertical="center"/>
    </xf>
    <xf numFmtId="4" fontId="19" fillId="0" borderId="1" xfId="9" applyNumberFormat="1" applyFont="1" applyBorder="1" applyAlignment="1">
      <alignment horizontal="center" vertical="center"/>
    </xf>
    <xf numFmtId="4" fontId="19" fillId="15" borderId="1" xfId="9" applyNumberFormat="1" applyFont="1" applyFill="1" applyBorder="1" applyAlignment="1">
      <alignment horizontal="center" vertical="center"/>
    </xf>
    <xf numFmtId="4" fontId="19" fillId="15" borderId="1" xfId="9" applyNumberFormat="1" applyFont="1" applyFill="1" applyBorder="1" applyAlignment="1">
      <alignment horizontal="left" vertical="center"/>
    </xf>
    <xf numFmtId="0" fontId="4" fillId="1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4" fontId="2" fillId="13" borderId="1" xfId="0" applyNumberFormat="1" applyFont="1" applyFill="1" applyBorder="1" applyAlignment="1">
      <alignment horizontal="center" vertical="center"/>
    </xf>
    <xf numFmtId="3" fontId="0" fillId="13" borderId="1" xfId="0" applyNumberFormat="1" applyFill="1" applyBorder="1"/>
    <xf numFmtId="14" fontId="1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67" fontId="16" fillId="0" borderId="7" xfId="4" applyNumberFormat="1" applyFont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6" fillId="7" borderId="30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24" fillId="0" borderId="1" xfId="0" applyNumberFormat="1" applyFont="1" applyBorder="1" applyAlignment="1">
      <alignment horizontal="right" vertical="center"/>
    </xf>
    <xf numFmtId="0" fontId="4" fillId="12" borderId="1" xfId="0" applyFont="1" applyFill="1" applyBorder="1" applyAlignment="1">
      <alignment horizontal="center" vertical="center" wrapText="1"/>
    </xf>
    <xf numFmtId="4" fontId="0" fillId="13" borderId="1" xfId="0" applyNumberFormat="1" applyFill="1" applyBorder="1"/>
    <xf numFmtId="3" fontId="0" fillId="0" borderId="1" xfId="4" applyNumberFormat="1" applyFont="1" applyBorder="1" applyAlignment="1">
      <alignment horizontal="center" vertical="center"/>
    </xf>
    <xf numFmtId="164" fontId="16" fillId="0" borderId="7" xfId="4" applyFont="1" applyBorder="1" applyAlignment="1">
      <alignment horizontal="center" vertical="center"/>
    </xf>
    <xf numFmtId="164" fontId="16" fillId="0" borderId="1" xfId="4" applyFon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171" fontId="0" fillId="0" borderId="0" xfId="11" applyNumberFormat="1" applyFont="1" applyAlignment="1">
      <alignment vertical="center"/>
    </xf>
    <xf numFmtId="171" fontId="0" fillId="0" borderId="0" xfId="0" applyNumberFormat="1" applyAlignment="1">
      <alignment vertical="center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16" borderId="1" xfId="0" applyNumberFormat="1" applyFont="1" applyFill="1" applyBorder="1"/>
    <xf numFmtId="4" fontId="2" fillId="16" borderId="5" xfId="4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4" fontId="2" fillId="10" borderId="3" xfId="0" applyNumberFormat="1" applyFont="1" applyFill="1" applyBorder="1"/>
    <xf numFmtId="4" fontId="2" fillId="10" borderId="26" xfId="0" applyNumberFormat="1" applyFont="1" applyFill="1" applyBorder="1"/>
    <xf numFmtId="4" fontId="2" fillId="10" borderId="27" xfId="4" applyNumberFormat="1" applyFont="1" applyFill="1" applyBorder="1" applyAlignment="1">
      <alignment horizontal="center" vertical="center"/>
    </xf>
    <xf numFmtId="4" fontId="3" fillId="3" borderId="29" xfId="0" applyNumberFormat="1" applyFont="1" applyFill="1" applyBorder="1"/>
    <xf numFmtId="4" fontId="3" fillId="3" borderId="31" xfId="4" applyNumberFormat="1" applyFont="1" applyFill="1" applyBorder="1" applyAlignment="1">
      <alignment horizontal="right" vertical="center"/>
    </xf>
    <xf numFmtId="4" fontId="2" fillId="10" borderId="32" xfId="0" applyNumberFormat="1" applyFont="1" applyFill="1" applyBorder="1"/>
    <xf numFmtId="4" fontId="3" fillId="3" borderId="33" xfId="0" applyNumberFormat="1" applyFont="1" applyFill="1" applyBorder="1"/>
    <xf numFmtId="0" fontId="3" fillId="0" borderId="23" xfId="0" applyFont="1" applyBorder="1" applyAlignment="1">
      <alignment horizontal="center" vertical="center" wrapText="1"/>
    </xf>
    <xf numFmtId="4" fontId="2" fillId="10" borderId="27" xfId="0" applyNumberFormat="1" applyFont="1" applyFill="1" applyBorder="1"/>
    <xf numFmtId="4" fontId="2" fillId="10" borderId="20" xfId="0" applyNumberFormat="1" applyFont="1" applyFill="1" applyBorder="1"/>
    <xf numFmtId="4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/>
    </xf>
    <xf numFmtId="2" fontId="0" fillId="0" borderId="0" xfId="0" applyNumberFormat="1" applyAlignment="1">
      <alignment vertical="center"/>
    </xf>
    <xf numFmtId="172" fontId="0" fillId="0" borderId="0" xfId="0" applyNumberForma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" fontId="22" fillId="0" borderId="1" xfId="9" applyNumberFormat="1" applyFont="1" applyBorder="1" applyAlignment="1">
      <alignment horizontal="center" vertical="center"/>
    </xf>
    <xf numFmtId="0" fontId="22" fillId="0" borderId="0" xfId="9" applyFont="1" applyAlignment="1">
      <alignment vertical="center"/>
    </xf>
    <xf numFmtId="4" fontId="21" fillId="0" borderId="1" xfId="1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/>
    <xf numFmtId="3" fontId="0" fillId="0" borderId="5" xfId="0" applyNumberFormat="1" applyBorder="1"/>
    <xf numFmtId="0" fontId="11" fillId="0" borderId="1" xfId="0" applyFont="1" applyBorder="1" applyAlignment="1">
      <alignment horizontal="center" vertical="center" wrapText="1"/>
    </xf>
    <xf numFmtId="171" fontId="0" fillId="0" borderId="1" xfId="11" applyNumberFormat="1" applyFont="1" applyBorder="1"/>
    <xf numFmtId="3" fontId="28" fillId="13" borderId="1" xfId="0" applyNumberFormat="1" applyFont="1" applyFill="1" applyBorder="1"/>
    <xf numFmtId="0" fontId="3" fillId="9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3" fillId="4" borderId="23" xfId="0" applyNumberFormat="1" applyFont="1" applyFill="1" applyBorder="1" applyAlignment="1">
      <alignment horizontal="center" vertical="center"/>
    </xf>
    <xf numFmtId="3" fontId="3" fillId="4" borderId="22" xfId="0" applyNumberFormat="1" applyFont="1" applyFill="1" applyBorder="1" applyAlignment="1">
      <alignment horizontal="center" vertical="center"/>
    </xf>
    <xf numFmtId="3" fontId="3" fillId="4" borderId="6" xfId="0" applyNumberFormat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2" fontId="23" fillId="0" borderId="2" xfId="0" applyNumberFormat="1" applyFont="1" applyBorder="1" applyAlignment="1">
      <alignment vertical="center" wrapText="1"/>
    </xf>
    <xf numFmtId="2" fontId="23" fillId="0" borderId="7" xfId="0" applyNumberFormat="1" applyFont="1" applyBorder="1" applyAlignment="1">
      <alignment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2" fontId="23" fillId="0" borderId="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left" vertical="top" wrapText="1"/>
    </xf>
    <xf numFmtId="0" fontId="2" fillId="13" borderId="24" xfId="0" applyFont="1" applyFill="1" applyBorder="1" applyAlignment="1">
      <alignment horizontal="left" vertical="top" wrapText="1"/>
    </xf>
    <xf numFmtId="0" fontId="2" fillId="13" borderId="3" xfId="0" applyFont="1" applyFill="1" applyBorder="1" applyAlignment="1">
      <alignment horizontal="left" vertical="top" wrapText="1"/>
    </xf>
    <xf numFmtId="0" fontId="17" fillId="0" borderId="24" xfId="5" applyBorder="1" applyAlignment="1" applyProtection="1">
      <alignment horizontal="center" vertical="center"/>
    </xf>
    <xf numFmtId="0" fontId="20" fillId="0" borderId="24" xfId="5" applyFont="1" applyBorder="1" applyAlignment="1" applyProtection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3" fontId="3" fillId="0" borderId="5" xfId="0" applyNumberFormat="1" applyFont="1" applyBorder="1"/>
    <xf numFmtId="171" fontId="3" fillId="0" borderId="1" xfId="11" applyNumberFormat="1" applyFont="1" applyBorder="1"/>
  </cellXfs>
  <cellStyles count="12">
    <cellStyle name="Comma" xfId="4" builtinId="3"/>
    <cellStyle name="Comma 3" xfId="10" xr:uid="{450F371E-C1A1-4FDE-97C7-236E21E8B457}"/>
    <cellStyle name="Hyperlink" xfId="5" builtinId="8"/>
    <cellStyle name="Köprü 2" xfId="6" xr:uid="{F97308E1-DA04-4829-9A11-495212861A11}"/>
    <cellStyle name="Normal" xfId="0" builtinId="0"/>
    <cellStyle name="Normal 2" xfId="1" xr:uid="{00000000-0005-0000-0000-000002000000}"/>
    <cellStyle name="Normal 2 2" xfId="9" xr:uid="{A2F55627-EC30-410A-A30D-A933EC275A87}"/>
    <cellStyle name="Normal 3" xfId="2" xr:uid="{00000000-0005-0000-0000-000003000000}"/>
    <cellStyle name="Normal 4" xfId="3" xr:uid="{00000000-0005-0000-0000-000004000000}"/>
    <cellStyle name="Normal 9 2" xfId="7" xr:uid="{1369F640-4076-4FDE-9D85-BBA6A8A721A4}"/>
    <cellStyle name="Per cent" xfId="11" builtinId="5"/>
    <cellStyle name="Virgül 4 2" xfId="8" xr:uid="{5245E624-48CC-429D-82FE-55EA26A2750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5"/>
  <sheetViews>
    <sheetView tabSelected="1" topLeftCell="A29" zoomScale="70" zoomScaleNormal="70" workbookViewId="0">
      <selection activeCell="L43" sqref="L43"/>
    </sheetView>
  </sheetViews>
  <sheetFormatPr defaultColWidth="11" defaultRowHeight="12.75"/>
  <cols>
    <col min="1" max="1" width="23.75" style="2" customWidth="1"/>
    <col min="2" max="2" width="16.25" style="2" customWidth="1"/>
    <col min="3" max="3" width="20.125" style="2" customWidth="1"/>
    <col min="4" max="4" width="0" style="2" hidden="1" customWidth="1"/>
    <col min="5" max="5" width="12.625" style="2" hidden="1" customWidth="1"/>
    <col min="6" max="6" width="11.5" style="2" hidden="1" customWidth="1"/>
    <col min="7" max="7" width="20.75" style="2" hidden="1" customWidth="1"/>
    <col min="8" max="8" width="20.125" style="2" customWidth="1"/>
    <col min="9" max="9" width="17.125" style="2" customWidth="1"/>
    <col min="10" max="10" width="14.75" style="2" customWidth="1"/>
    <col min="11" max="12" width="16" style="2" customWidth="1"/>
    <col min="13" max="13" width="15.375" customWidth="1"/>
    <col min="14" max="16" width="14.125" style="2" customWidth="1"/>
    <col min="17" max="17" width="13.875" style="2" customWidth="1"/>
    <col min="18" max="20" width="17.875" style="2" customWidth="1"/>
    <col min="21" max="21" width="22.125" style="2" customWidth="1"/>
    <col min="22" max="22" width="14.375" style="2" customWidth="1"/>
    <col min="23" max="16384" width="11" style="2"/>
  </cols>
  <sheetData>
    <row r="1" spans="1:20" ht="18.600000000000001" customHeight="1" thickBot="1">
      <c r="J1" s="156" t="s">
        <v>35</v>
      </c>
      <c r="K1" s="157"/>
      <c r="L1" s="158"/>
      <c r="N1" s="156" t="s">
        <v>36</v>
      </c>
      <c r="O1" s="157"/>
      <c r="P1" s="158"/>
    </row>
    <row r="2" spans="1:20" s="1" customFormat="1" ht="47.25" thickBot="1">
      <c r="A2" s="46" t="s">
        <v>11</v>
      </c>
      <c r="B2" s="47" t="s">
        <v>0</v>
      </c>
      <c r="C2" s="48" t="s">
        <v>18</v>
      </c>
      <c r="D2" s="48" t="s">
        <v>9</v>
      </c>
      <c r="E2" s="49" t="s">
        <v>14</v>
      </c>
      <c r="F2" s="49" t="s">
        <v>15</v>
      </c>
      <c r="G2" s="49" t="s">
        <v>12</v>
      </c>
      <c r="H2" s="49" t="s">
        <v>23</v>
      </c>
      <c r="I2" s="48" t="s">
        <v>19</v>
      </c>
      <c r="J2" s="50" t="s">
        <v>24</v>
      </c>
      <c r="K2" s="50" t="s">
        <v>25</v>
      </c>
      <c r="L2" s="51" t="s">
        <v>26</v>
      </c>
      <c r="M2" s="124" t="s">
        <v>17</v>
      </c>
      <c r="N2" s="52" t="s">
        <v>24</v>
      </c>
      <c r="O2" s="53" t="s">
        <v>25</v>
      </c>
      <c r="P2" s="54" t="s">
        <v>26</v>
      </c>
      <c r="T2" s="2"/>
    </row>
    <row r="3" spans="1:20" s="1" customFormat="1" ht="14.25">
      <c r="A3" s="153">
        <v>2019</v>
      </c>
      <c r="B3" s="41" t="s">
        <v>6</v>
      </c>
      <c r="C3" s="12">
        <f>15/30*17365.74</f>
        <v>8682.8700000000008</v>
      </c>
      <c r="D3" s="12">
        <v>11.78</v>
      </c>
      <c r="E3" s="12">
        <v>17365.740000000002</v>
      </c>
      <c r="F3" s="12">
        <v>11.78</v>
      </c>
      <c r="G3" s="12">
        <v>17365.740000000002</v>
      </c>
      <c r="H3" s="12">
        <f>15/30*11.78</f>
        <v>5.89</v>
      </c>
      <c r="I3" s="12">
        <f t="shared" ref="I3:I6" si="0">C3-H3</f>
        <v>8676.9800000000014</v>
      </c>
      <c r="J3" s="55">
        <f>N3</f>
        <v>8682.8700000000008</v>
      </c>
      <c r="K3" s="55">
        <f>O3</f>
        <v>5.8895</v>
      </c>
      <c r="L3" s="56">
        <f t="shared" ref="L3:L6" si="1">J3-K3</f>
        <v>8676.9805000000015</v>
      </c>
      <c r="M3" s="149">
        <f>ROUNDDOWN(L7*B41,0)</f>
        <v>28252</v>
      </c>
      <c r="N3" s="122">
        <f>(15/30)*17365.74</f>
        <v>8682.8700000000008</v>
      </c>
      <c r="O3" s="118">
        <f>(15/30)*11.779</f>
        <v>5.8895</v>
      </c>
      <c r="P3" s="125">
        <f t="shared" ref="P3:P7" si="2">N3-O3</f>
        <v>8676.9805000000015</v>
      </c>
      <c r="T3" s="2"/>
    </row>
    <row r="4" spans="1:20" s="1" customFormat="1" ht="14.25">
      <c r="A4" s="153"/>
      <c r="B4" s="41" t="s">
        <v>7</v>
      </c>
      <c r="C4" s="12">
        <v>10838.05</v>
      </c>
      <c r="D4" s="12">
        <v>21.68</v>
      </c>
      <c r="E4" s="12">
        <v>10838.05</v>
      </c>
      <c r="F4" s="12">
        <v>21.68</v>
      </c>
      <c r="G4" s="12">
        <v>10838.05</v>
      </c>
      <c r="H4" s="12">
        <v>21.68</v>
      </c>
      <c r="I4" s="12">
        <f t="shared" si="0"/>
        <v>10816.369999999999</v>
      </c>
      <c r="J4" s="55">
        <f t="shared" ref="J4:J6" si="3">N4</f>
        <v>10838.046</v>
      </c>
      <c r="K4" s="55">
        <f t="shared" ref="K4:K6" si="4">O4</f>
        <v>21.684000000000001</v>
      </c>
      <c r="L4" s="56">
        <f t="shared" si="1"/>
        <v>10816.362000000001</v>
      </c>
      <c r="M4" s="150"/>
      <c r="N4" s="117">
        <v>10838.046</v>
      </c>
      <c r="O4" s="55">
        <v>21.684000000000001</v>
      </c>
      <c r="P4" s="126">
        <f t="shared" si="2"/>
        <v>10816.362000000001</v>
      </c>
      <c r="T4" s="2"/>
    </row>
    <row r="5" spans="1:20" s="1" customFormat="1" ht="14.25">
      <c r="A5" s="153"/>
      <c r="B5" s="41" t="s">
        <v>8</v>
      </c>
      <c r="C5" s="12">
        <v>12611.45</v>
      </c>
      <c r="D5" s="12">
        <v>13.23</v>
      </c>
      <c r="E5" s="12">
        <v>12611.45</v>
      </c>
      <c r="F5" s="12">
        <v>13.23</v>
      </c>
      <c r="G5" s="12">
        <v>12611.45</v>
      </c>
      <c r="H5" s="12">
        <v>13.23</v>
      </c>
      <c r="I5" s="12">
        <f t="shared" si="0"/>
        <v>12598.220000000001</v>
      </c>
      <c r="J5" s="55">
        <f t="shared" si="3"/>
        <v>12611.453</v>
      </c>
      <c r="K5" s="55">
        <f t="shared" si="4"/>
        <v>13.227</v>
      </c>
      <c r="L5" s="56">
        <f t="shared" si="1"/>
        <v>12598.225999999999</v>
      </c>
      <c r="M5" s="150"/>
      <c r="N5" s="117">
        <v>12611.453</v>
      </c>
      <c r="O5" s="55">
        <v>13.227</v>
      </c>
      <c r="P5" s="126">
        <f t="shared" si="2"/>
        <v>12598.225999999999</v>
      </c>
      <c r="T5" s="2"/>
    </row>
    <row r="6" spans="1:20" s="1" customFormat="1" ht="14.25">
      <c r="A6" s="153"/>
      <c r="B6" s="41" t="s">
        <v>16</v>
      </c>
      <c r="C6" s="12">
        <v>15610.87</v>
      </c>
      <c r="D6" s="12">
        <v>9.57</v>
      </c>
      <c r="E6" s="12">
        <v>15610.87</v>
      </c>
      <c r="F6" s="12">
        <v>9.57</v>
      </c>
      <c r="G6" s="12">
        <v>15610.87</v>
      </c>
      <c r="H6" s="12">
        <v>9.57</v>
      </c>
      <c r="I6" s="12">
        <f t="shared" si="0"/>
        <v>15601.300000000001</v>
      </c>
      <c r="J6" s="55">
        <f t="shared" si="3"/>
        <v>15884.365</v>
      </c>
      <c r="K6" s="55">
        <f t="shared" si="4"/>
        <v>9.5709999999999997</v>
      </c>
      <c r="L6" s="56">
        <f t="shared" si="1"/>
        <v>15874.794</v>
      </c>
      <c r="M6" s="150"/>
      <c r="N6" s="117">
        <v>15884.365</v>
      </c>
      <c r="O6" s="55">
        <v>9.5709999999999997</v>
      </c>
      <c r="P6" s="126">
        <f t="shared" si="2"/>
        <v>15874.794</v>
      </c>
      <c r="T6" s="2"/>
    </row>
    <row r="7" spans="1:20" s="1" customFormat="1" ht="15.75" thickBot="1">
      <c r="A7" s="44" t="s">
        <v>38</v>
      </c>
      <c r="B7" s="42" t="s">
        <v>20</v>
      </c>
      <c r="C7" s="23">
        <f>SUM(C3:C6)</f>
        <v>47743.24</v>
      </c>
      <c r="D7" s="24"/>
      <c r="E7" s="24"/>
      <c r="F7" s="24"/>
      <c r="G7" s="24"/>
      <c r="H7" s="23">
        <f>SUM(H3:H6)</f>
        <v>50.37</v>
      </c>
      <c r="I7" s="22">
        <f>C7-H7</f>
        <v>47692.869999999995</v>
      </c>
      <c r="J7" s="36">
        <f>SUM(J3:J6)</f>
        <v>48016.733999999997</v>
      </c>
      <c r="K7" s="36">
        <f>SUM(K3:K6)</f>
        <v>50.371499999999997</v>
      </c>
      <c r="L7" s="36">
        <f>SUM(L3:L6)</f>
        <v>47966.362500000003</v>
      </c>
      <c r="M7" s="151"/>
      <c r="N7" s="123">
        <f>SUM(N3:N6)</f>
        <v>48016.733999999997</v>
      </c>
      <c r="O7" s="120">
        <f>SUM(O3:O6)</f>
        <v>50.371499999999997</v>
      </c>
      <c r="P7" s="121">
        <f t="shared" si="2"/>
        <v>47966.362499999996</v>
      </c>
      <c r="T7" s="2"/>
    </row>
    <row r="8" spans="1:20" ht="15" customHeight="1">
      <c r="A8" s="152">
        <v>2020</v>
      </c>
      <c r="B8" s="41" t="s">
        <v>10</v>
      </c>
      <c r="C8" s="12">
        <v>16390.53</v>
      </c>
      <c r="D8" s="7">
        <v>18.22</v>
      </c>
      <c r="E8" s="7">
        <v>16390.53</v>
      </c>
      <c r="F8" s="7">
        <v>18.22</v>
      </c>
      <c r="G8" s="7">
        <v>16390.53</v>
      </c>
      <c r="H8" s="11">
        <v>18.22</v>
      </c>
      <c r="I8" s="13">
        <f t="shared" ref="I8" si="5">C8-H8</f>
        <v>16372.31</v>
      </c>
      <c r="J8" s="55">
        <f>N8</f>
        <v>16649.307000000001</v>
      </c>
      <c r="K8" s="55">
        <f>O8</f>
        <v>18.215</v>
      </c>
      <c r="L8" s="56">
        <f t="shared" ref="L8" si="6">J8-K8</f>
        <v>16631.092000000001</v>
      </c>
      <c r="M8" s="149">
        <f>ROUNDDOWN(L20*$B$41,0)</f>
        <v>106733</v>
      </c>
      <c r="N8" s="122">
        <v>16649.307000000001</v>
      </c>
      <c r="O8" s="118">
        <v>18.215</v>
      </c>
      <c r="P8" s="119">
        <f t="shared" ref="P8:P19" si="7">N8-O8</f>
        <v>16631.092000000001</v>
      </c>
    </row>
    <row r="9" spans="1:20" s="1" customFormat="1" ht="15.75" customHeight="1">
      <c r="A9" s="153"/>
      <c r="B9" s="41" t="s">
        <v>1</v>
      </c>
      <c r="C9" s="12">
        <v>15192.88</v>
      </c>
      <c r="D9" s="7">
        <v>12.09</v>
      </c>
      <c r="E9" s="7">
        <v>15192.88</v>
      </c>
      <c r="F9" s="7">
        <v>12.09</v>
      </c>
      <c r="G9" s="7">
        <v>15192.88</v>
      </c>
      <c r="H9" s="11">
        <v>12.09</v>
      </c>
      <c r="I9" s="13">
        <f t="shared" ref="I9:I32" si="8">C9-H9</f>
        <v>15180.789999999999</v>
      </c>
      <c r="J9" s="55">
        <f t="shared" ref="J9:J19" si="9">N9</f>
        <v>15192.937</v>
      </c>
      <c r="K9" s="55">
        <f t="shared" ref="K9:K19" si="10">O9</f>
        <v>12.093999999999999</v>
      </c>
      <c r="L9" s="56">
        <f t="shared" ref="L9:L19" si="11">J9-K9</f>
        <v>15180.843000000001</v>
      </c>
      <c r="M9" s="150"/>
      <c r="N9" s="117">
        <v>15192.937</v>
      </c>
      <c r="O9" s="55">
        <v>12.093999999999999</v>
      </c>
      <c r="P9" s="57">
        <f t="shared" si="7"/>
        <v>15180.843000000001</v>
      </c>
      <c r="T9" s="2"/>
    </row>
    <row r="10" spans="1:20" s="1" customFormat="1" ht="15.75" customHeight="1">
      <c r="A10" s="153"/>
      <c r="B10" s="41" t="s">
        <v>2</v>
      </c>
      <c r="C10" s="12">
        <v>15679.45</v>
      </c>
      <c r="D10" s="7">
        <v>11.64</v>
      </c>
      <c r="E10" s="7">
        <v>15679.45</v>
      </c>
      <c r="F10" s="7">
        <v>11.64</v>
      </c>
      <c r="G10" s="7">
        <v>15679.45</v>
      </c>
      <c r="H10" s="11">
        <v>11.64</v>
      </c>
      <c r="I10" s="13">
        <f t="shared" si="8"/>
        <v>15667.810000000001</v>
      </c>
      <c r="J10" s="55">
        <f t="shared" si="9"/>
        <v>15679.445</v>
      </c>
      <c r="K10" s="55">
        <f t="shared" si="10"/>
        <v>11.641</v>
      </c>
      <c r="L10" s="56">
        <f t="shared" si="11"/>
        <v>15667.804</v>
      </c>
      <c r="M10" s="150"/>
      <c r="N10" s="117">
        <v>15679.445</v>
      </c>
      <c r="O10" s="55">
        <v>11.641</v>
      </c>
      <c r="P10" s="57">
        <f t="shared" si="7"/>
        <v>15667.804</v>
      </c>
      <c r="T10" s="2"/>
    </row>
    <row r="11" spans="1:20" s="1" customFormat="1" ht="15.75" customHeight="1">
      <c r="A11" s="153"/>
      <c r="B11" s="41" t="s">
        <v>3</v>
      </c>
      <c r="C11" s="12">
        <v>16466.34</v>
      </c>
      <c r="D11" s="8">
        <v>8.74</v>
      </c>
      <c r="E11" s="8">
        <v>16466.34</v>
      </c>
      <c r="F11" s="8">
        <v>8.74</v>
      </c>
      <c r="G11" s="9">
        <v>16466.34</v>
      </c>
      <c r="H11" s="11">
        <v>8.74</v>
      </c>
      <c r="I11" s="13">
        <f t="shared" si="8"/>
        <v>16457.599999999999</v>
      </c>
      <c r="J11" s="55">
        <f t="shared" si="9"/>
        <v>16466.341</v>
      </c>
      <c r="K11" s="55">
        <f t="shared" si="10"/>
        <v>8.7390000000000008</v>
      </c>
      <c r="L11" s="56">
        <f t="shared" si="11"/>
        <v>16457.601999999999</v>
      </c>
      <c r="M11" s="150"/>
      <c r="N11" s="117">
        <v>16466.341</v>
      </c>
      <c r="O11" s="55">
        <v>8.7390000000000008</v>
      </c>
      <c r="P11" s="57">
        <f t="shared" si="7"/>
        <v>16457.601999999999</v>
      </c>
      <c r="T11" s="2"/>
    </row>
    <row r="12" spans="1:20" s="1" customFormat="1" ht="15.75" customHeight="1">
      <c r="A12" s="153"/>
      <c r="B12" s="43" t="s">
        <v>4</v>
      </c>
      <c r="C12" s="12">
        <v>10250.040000000001</v>
      </c>
      <c r="D12" s="7">
        <v>16.670000000000002</v>
      </c>
      <c r="E12" s="7">
        <v>10250.040000000001</v>
      </c>
      <c r="F12" s="7">
        <v>16.670000000000002</v>
      </c>
      <c r="G12" s="7">
        <v>10250.040000000001</v>
      </c>
      <c r="H12" s="11">
        <v>16.670000000000002</v>
      </c>
      <c r="I12" s="13">
        <f t="shared" si="8"/>
        <v>10233.370000000001</v>
      </c>
      <c r="J12" s="55">
        <f t="shared" si="9"/>
        <v>10250.039000000001</v>
      </c>
      <c r="K12" s="55">
        <f t="shared" si="10"/>
        <v>16.672999999999998</v>
      </c>
      <c r="L12" s="56">
        <f t="shared" si="11"/>
        <v>10233.366</v>
      </c>
      <c r="M12" s="150"/>
      <c r="N12" s="117">
        <v>10250.039000000001</v>
      </c>
      <c r="O12" s="55">
        <v>16.672999999999998</v>
      </c>
      <c r="P12" s="57">
        <f t="shared" si="7"/>
        <v>10233.366</v>
      </c>
      <c r="T12" s="2"/>
    </row>
    <row r="13" spans="1:20" s="1" customFormat="1" ht="15.75" customHeight="1">
      <c r="A13" s="153"/>
      <c r="B13" s="43" t="s">
        <v>21</v>
      </c>
      <c r="C13" s="12">
        <v>6436.16</v>
      </c>
      <c r="D13" s="7">
        <v>25.14</v>
      </c>
      <c r="E13" s="7">
        <v>6436.16</v>
      </c>
      <c r="F13" s="7">
        <v>25.14</v>
      </c>
      <c r="G13" s="7">
        <v>6436.16</v>
      </c>
      <c r="H13" s="11">
        <v>25.14</v>
      </c>
      <c r="I13" s="13">
        <f t="shared" si="8"/>
        <v>6411.0199999999995</v>
      </c>
      <c r="J13" s="55">
        <f t="shared" si="9"/>
        <v>6436.16</v>
      </c>
      <c r="K13" s="55">
        <f t="shared" si="10"/>
        <v>25.143999999999998</v>
      </c>
      <c r="L13" s="56">
        <f t="shared" si="11"/>
        <v>6411.0159999999996</v>
      </c>
      <c r="M13" s="150"/>
      <c r="N13" s="117">
        <v>6436.16</v>
      </c>
      <c r="O13" s="55">
        <v>25.143999999999998</v>
      </c>
      <c r="P13" s="57">
        <f t="shared" si="7"/>
        <v>6411.0159999999996</v>
      </c>
      <c r="T13" s="2"/>
    </row>
    <row r="14" spans="1:20" s="1" customFormat="1" ht="15.75" customHeight="1">
      <c r="A14" s="153"/>
      <c r="B14" s="43" t="s">
        <v>22</v>
      </c>
      <c r="C14" s="12">
        <v>19888.849999999999</v>
      </c>
      <c r="D14" s="7">
        <v>0.71</v>
      </c>
      <c r="E14" s="7">
        <v>19888.849999999999</v>
      </c>
      <c r="F14" s="7">
        <v>0.71</v>
      </c>
      <c r="G14" s="7">
        <v>19888.849999999999</v>
      </c>
      <c r="H14" s="11">
        <v>0.71</v>
      </c>
      <c r="I14" s="13">
        <f t="shared" si="8"/>
        <v>19888.14</v>
      </c>
      <c r="J14" s="55">
        <f t="shared" si="9"/>
        <v>19888.851999999999</v>
      </c>
      <c r="K14" s="55">
        <f t="shared" si="10"/>
        <v>0.70599999999999996</v>
      </c>
      <c r="L14" s="56">
        <f t="shared" si="11"/>
        <v>19888.146000000001</v>
      </c>
      <c r="M14" s="150"/>
      <c r="N14" s="117">
        <v>19888.851999999999</v>
      </c>
      <c r="O14" s="55">
        <v>0.70599999999999996</v>
      </c>
      <c r="P14" s="57">
        <f t="shared" si="7"/>
        <v>19888.146000000001</v>
      </c>
      <c r="T14" s="2"/>
    </row>
    <row r="15" spans="1:20" s="1" customFormat="1" ht="15.75" customHeight="1">
      <c r="A15" s="153"/>
      <c r="B15" s="41" t="s">
        <v>5</v>
      </c>
      <c r="C15" s="12">
        <v>18576.490000000002</v>
      </c>
      <c r="D15" s="8">
        <v>2.91</v>
      </c>
      <c r="E15" s="8">
        <v>18576.490000000002</v>
      </c>
      <c r="F15" s="8">
        <v>2.91</v>
      </c>
      <c r="G15" s="9">
        <v>18576.490000000002</v>
      </c>
      <c r="H15" s="11">
        <v>2.91</v>
      </c>
      <c r="I15" s="13">
        <f t="shared" si="8"/>
        <v>18573.580000000002</v>
      </c>
      <c r="J15" s="55">
        <f t="shared" si="9"/>
        <v>18576.493999999999</v>
      </c>
      <c r="K15" s="55">
        <f t="shared" si="10"/>
        <v>2.9060000000000001</v>
      </c>
      <c r="L15" s="56">
        <f t="shared" si="11"/>
        <v>18573.588</v>
      </c>
      <c r="M15" s="150"/>
      <c r="N15" s="117">
        <v>18576.493999999999</v>
      </c>
      <c r="O15" s="55">
        <v>2.9060000000000001</v>
      </c>
      <c r="P15" s="57">
        <f t="shared" si="7"/>
        <v>18573.588</v>
      </c>
      <c r="T15" s="2"/>
    </row>
    <row r="16" spans="1:20" s="1" customFormat="1" ht="15.75" customHeight="1">
      <c r="A16" s="153"/>
      <c r="B16" s="41" t="s">
        <v>6</v>
      </c>
      <c r="C16" s="12">
        <v>17968.95</v>
      </c>
      <c r="D16" s="8">
        <v>5.86</v>
      </c>
      <c r="E16" s="8">
        <v>17968.95</v>
      </c>
      <c r="F16" s="8">
        <v>5.86</v>
      </c>
      <c r="G16" s="9">
        <v>17968.95</v>
      </c>
      <c r="H16" s="11">
        <v>5.86</v>
      </c>
      <c r="I16" s="13">
        <f t="shared" si="8"/>
        <v>17963.09</v>
      </c>
      <c r="J16" s="55">
        <f t="shared" si="9"/>
        <v>17969.057000000001</v>
      </c>
      <c r="K16" s="55">
        <f t="shared" si="10"/>
        <v>5.8550000000000004</v>
      </c>
      <c r="L16" s="56">
        <f t="shared" si="11"/>
        <v>17963.202000000001</v>
      </c>
      <c r="M16" s="150"/>
      <c r="N16" s="117">
        <v>17969.057000000001</v>
      </c>
      <c r="O16" s="55">
        <v>5.8550000000000004</v>
      </c>
      <c r="P16" s="57">
        <f t="shared" si="7"/>
        <v>17963.202000000001</v>
      </c>
      <c r="T16" s="2"/>
    </row>
    <row r="17" spans="1:24" s="1" customFormat="1" ht="15" customHeight="1">
      <c r="A17" s="153"/>
      <c r="B17" s="41" t="s">
        <v>7</v>
      </c>
      <c r="C17" s="12">
        <v>8841.27</v>
      </c>
      <c r="D17" s="10">
        <v>25.51</v>
      </c>
      <c r="E17" s="10">
        <v>8841.27</v>
      </c>
      <c r="F17" s="10">
        <v>25.51</v>
      </c>
      <c r="G17" s="10">
        <v>8841.27</v>
      </c>
      <c r="H17" s="11">
        <v>25.51</v>
      </c>
      <c r="I17" s="13">
        <f t="shared" si="8"/>
        <v>8815.76</v>
      </c>
      <c r="J17" s="55">
        <f t="shared" si="9"/>
        <v>8841.2710000000006</v>
      </c>
      <c r="K17" s="55">
        <f t="shared" si="10"/>
        <v>25.512</v>
      </c>
      <c r="L17" s="56">
        <f t="shared" si="11"/>
        <v>8815.759</v>
      </c>
      <c r="M17" s="150"/>
      <c r="N17" s="117">
        <v>8841.2710000000006</v>
      </c>
      <c r="O17" s="55">
        <v>25.512</v>
      </c>
      <c r="P17" s="57">
        <f t="shared" si="7"/>
        <v>8815.759</v>
      </c>
      <c r="T17" s="2"/>
    </row>
    <row r="18" spans="1:24" s="1" customFormat="1" ht="15" customHeight="1">
      <c r="A18" s="153"/>
      <c r="B18" s="41" t="s">
        <v>8</v>
      </c>
      <c r="C18" s="12">
        <v>18458.419999999998</v>
      </c>
      <c r="D18" s="7">
        <v>9.4</v>
      </c>
      <c r="E18" s="7">
        <v>18458.419999999998</v>
      </c>
      <c r="F18" s="7">
        <v>9.4</v>
      </c>
      <c r="G18" s="7">
        <v>18458.419999999998</v>
      </c>
      <c r="H18" s="11">
        <v>9.4</v>
      </c>
      <c r="I18" s="13">
        <f t="shared" si="8"/>
        <v>18449.019999999997</v>
      </c>
      <c r="J18" s="55">
        <f t="shared" si="9"/>
        <v>18458.53</v>
      </c>
      <c r="K18" s="55">
        <f t="shared" si="10"/>
        <v>9.4009999999999998</v>
      </c>
      <c r="L18" s="56">
        <f t="shared" si="11"/>
        <v>18449.128999999997</v>
      </c>
      <c r="M18" s="150"/>
      <c r="N18" s="117">
        <v>18458.53</v>
      </c>
      <c r="O18" s="55">
        <v>9.4009999999999998</v>
      </c>
      <c r="P18" s="57">
        <f t="shared" si="7"/>
        <v>18449.128999999997</v>
      </c>
      <c r="T18" s="2"/>
    </row>
    <row r="19" spans="1:24" s="1" customFormat="1" ht="15" customHeight="1">
      <c r="A19" s="153"/>
      <c r="B19" s="41" t="s">
        <v>16</v>
      </c>
      <c r="C19" s="12">
        <v>16941.88</v>
      </c>
      <c r="D19" s="7">
        <v>1.66</v>
      </c>
      <c r="E19" s="7">
        <v>16941.88</v>
      </c>
      <c r="F19" s="7">
        <v>1.66</v>
      </c>
      <c r="G19" s="7">
        <v>16941.88</v>
      </c>
      <c r="H19" s="11">
        <v>1.66</v>
      </c>
      <c r="I19" s="13">
        <f t="shared" si="8"/>
        <v>16940.22</v>
      </c>
      <c r="J19" s="55">
        <f t="shared" si="9"/>
        <v>16942.321</v>
      </c>
      <c r="K19" s="55">
        <f t="shared" si="10"/>
        <v>1.661</v>
      </c>
      <c r="L19" s="56">
        <f t="shared" si="11"/>
        <v>16940.66</v>
      </c>
      <c r="M19" s="150"/>
      <c r="N19" s="117">
        <v>16942.321</v>
      </c>
      <c r="O19" s="55">
        <v>1.661</v>
      </c>
      <c r="P19" s="57">
        <f t="shared" si="7"/>
        <v>16940.66</v>
      </c>
      <c r="T19" s="2"/>
    </row>
    <row r="20" spans="1:24" ht="15" customHeight="1" thickBot="1">
      <c r="A20" s="44" t="s">
        <v>27</v>
      </c>
      <c r="B20" s="42" t="s">
        <v>20</v>
      </c>
      <c r="C20" s="23">
        <f>SUM(C8:C19)</f>
        <v>181091.26</v>
      </c>
      <c r="D20" s="24"/>
      <c r="E20" s="24"/>
      <c r="F20" s="24"/>
      <c r="G20" s="24"/>
      <c r="H20" s="23">
        <f>SUM(H8:H19)</f>
        <v>138.55000000000001</v>
      </c>
      <c r="I20" s="22">
        <f>C20-H20</f>
        <v>180952.71000000002</v>
      </c>
      <c r="J20" s="36">
        <f>SUM(J8:J19)</f>
        <v>181350.75400000002</v>
      </c>
      <c r="K20" s="36">
        <f>SUM(K8:K19)</f>
        <v>138.54700000000003</v>
      </c>
      <c r="L20" s="36">
        <f>SUM(L8:L19)</f>
        <v>181212.20699999999</v>
      </c>
      <c r="M20" s="151"/>
      <c r="N20" s="123">
        <f>SUM(N8:N19)</f>
        <v>181350.75400000002</v>
      </c>
      <c r="O20" s="120">
        <f>SUM(O8:O19)</f>
        <v>138.54700000000003</v>
      </c>
      <c r="P20" s="121">
        <f>N20-O20</f>
        <v>181212.20700000002</v>
      </c>
    </row>
    <row r="21" spans="1:24" ht="15" customHeight="1">
      <c r="A21" s="154">
        <v>2021</v>
      </c>
      <c r="B21" s="41" t="s">
        <v>10</v>
      </c>
      <c r="C21" s="14">
        <v>17430.03</v>
      </c>
      <c r="D21" s="15">
        <v>7.02</v>
      </c>
      <c r="E21" s="15">
        <v>17430.03</v>
      </c>
      <c r="F21" s="15">
        <v>7.02</v>
      </c>
      <c r="G21" s="15">
        <v>17430.03</v>
      </c>
      <c r="H21" s="16">
        <v>7.02</v>
      </c>
      <c r="I21" s="13">
        <f t="shared" si="8"/>
        <v>17423.009999999998</v>
      </c>
      <c r="J21" s="55">
        <f>N21</f>
        <v>17432.733</v>
      </c>
      <c r="K21" s="55">
        <f>O21</f>
        <v>7.016</v>
      </c>
      <c r="L21" s="56">
        <f>J21-K21</f>
        <v>17425.717000000001</v>
      </c>
      <c r="M21" s="149">
        <f>ROUNDDOWN(L33*$B$41,0)</f>
        <v>98302</v>
      </c>
      <c r="N21" s="122">
        <v>17432.733</v>
      </c>
      <c r="O21" s="118">
        <v>7.016</v>
      </c>
      <c r="P21" s="119">
        <f>N21-O21</f>
        <v>17425.717000000001</v>
      </c>
    </row>
    <row r="22" spans="1:24" ht="15" customHeight="1">
      <c r="A22" s="155"/>
      <c r="B22" s="41" t="s">
        <v>1</v>
      </c>
      <c r="C22" s="14">
        <v>14483.78</v>
      </c>
      <c r="D22" s="15">
        <v>18.850000000000001</v>
      </c>
      <c r="E22" s="15">
        <v>14483.78</v>
      </c>
      <c r="F22" s="15">
        <v>18.850000000000001</v>
      </c>
      <c r="G22" s="15">
        <v>14483.78</v>
      </c>
      <c r="H22" s="16">
        <v>18.850000000000001</v>
      </c>
      <c r="I22" s="13">
        <f t="shared" si="8"/>
        <v>14464.93</v>
      </c>
      <c r="J22" s="55">
        <f t="shared" ref="J22:J29" si="12">N22</f>
        <v>14486.259</v>
      </c>
      <c r="K22" s="55">
        <f t="shared" ref="K22:K29" si="13">O22</f>
        <v>18.850000000000001</v>
      </c>
      <c r="L22" s="56">
        <f t="shared" ref="L22:L28" si="14">J22-K22</f>
        <v>14467.409</v>
      </c>
      <c r="M22" s="150"/>
      <c r="N22" s="117">
        <v>14486.259</v>
      </c>
      <c r="O22" s="55">
        <v>18.850000000000001</v>
      </c>
      <c r="P22" s="57">
        <f t="shared" ref="P22:P35" si="15">N22-O22</f>
        <v>14467.409</v>
      </c>
    </row>
    <row r="23" spans="1:24" ht="15" customHeight="1">
      <c r="A23" s="155"/>
      <c r="B23" s="41" t="s">
        <v>2</v>
      </c>
      <c r="C23" s="14">
        <v>14267.48</v>
      </c>
      <c r="D23" s="15">
        <v>10.84</v>
      </c>
      <c r="E23" s="15">
        <v>14267.48</v>
      </c>
      <c r="F23" s="15">
        <v>10.84</v>
      </c>
      <c r="G23" s="15">
        <v>14267.48</v>
      </c>
      <c r="H23" s="16">
        <v>10.84</v>
      </c>
      <c r="I23" s="13">
        <f t="shared" si="8"/>
        <v>14256.64</v>
      </c>
      <c r="J23" s="55">
        <f t="shared" si="12"/>
        <v>14269.7</v>
      </c>
      <c r="K23" s="55">
        <f t="shared" si="13"/>
        <v>10.840999999999999</v>
      </c>
      <c r="L23" s="56">
        <f t="shared" si="14"/>
        <v>14258.859</v>
      </c>
      <c r="M23" s="150"/>
      <c r="N23" s="117">
        <v>14269.7</v>
      </c>
      <c r="O23" s="55">
        <v>10.840999999999999</v>
      </c>
      <c r="P23" s="57">
        <f t="shared" si="15"/>
        <v>14258.859</v>
      </c>
      <c r="R23" s="148" t="s">
        <v>89</v>
      </c>
      <c r="S23" s="148"/>
      <c r="T23" s="148"/>
    </row>
    <row r="24" spans="1:24" ht="15" customHeight="1">
      <c r="A24" s="155"/>
      <c r="B24" s="41" t="s">
        <v>3</v>
      </c>
      <c r="C24" s="14">
        <v>10401.82</v>
      </c>
      <c r="D24" s="17">
        <v>17.649999999999999</v>
      </c>
      <c r="E24" s="17">
        <v>10401.82</v>
      </c>
      <c r="F24" s="17">
        <v>17.649999999999999</v>
      </c>
      <c r="G24" s="18">
        <v>10401.82</v>
      </c>
      <c r="H24" s="16">
        <v>17.649999999999999</v>
      </c>
      <c r="I24" s="13">
        <f t="shared" si="8"/>
        <v>10384.17</v>
      </c>
      <c r="J24" s="55">
        <f t="shared" si="12"/>
        <v>10402.779</v>
      </c>
      <c r="K24" s="55">
        <f t="shared" si="13"/>
        <v>17.651</v>
      </c>
      <c r="L24" s="56">
        <f t="shared" si="14"/>
        <v>10385.128000000001</v>
      </c>
      <c r="M24" s="150"/>
      <c r="N24" s="117">
        <v>10402.779</v>
      </c>
      <c r="O24" s="55">
        <v>17.651</v>
      </c>
      <c r="P24" s="57">
        <f t="shared" si="15"/>
        <v>10385.128000000001</v>
      </c>
      <c r="R24" s="148"/>
      <c r="S24" s="148"/>
      <c r="T24" s="148"/>
    </row>
    <row r="25" spans="1:24" ht="15" customHeight="1">
      <c r="A25" s="155"/>
      <c r="B25" s="43" t="s">
        <v>4</v>
      </c>
      <c r="C25" s="14">
        <v>12563.09</v>
      </c>
      <c r="D25" s="15">
        <v>17.46</v>
      </c>
      <c r="E25" s="15">
        <v>12563.09</v>
      </c>
      <c r="F25" s="15">
        <v>17.46</v>
      </c>
      <c r="G25" s="15">
        <v>12563.09</v>
      </c>
      <c r="H25" s="16">
        <v>17.46</v>
      </c>
      <c r="I25" s="13">
        <f t="shared" si="8"/>
        <v>12545.630000000001</v>
      </c>
      <c r="J25" s="55">
        <f t="shared" si="12"/>
        <v>12563.808999999999</v>
      </c>
      <c r="K25" s="55">
        <f t="shared" si="13"/>
        <v>17.460999999999999</v>
      </c>
      <c r="L25" s="56">
        <f t="shared" si="14"/>
        <v>12546.348</v>
      </c>
      <c r="M25" s="150"/>
      <c r="N25" s="117">
        <v>12563.808999999999</v>
      </c>
      <c r="O25" s="55">
        <v>17.460999999999999</v>
      </c>
      <c r="P25" s="57">
        <f t="shared" si="15"/>
        <v>12546.348</v>
      </c>
      <c r="R25" s="148"/>
      <c r="S25" s="148"/>
      <c r="T25" s="148"/>
    </row>
    <row r="26" spans="1:24" ht="15" customHeight="1">
      <c r="A26" s="155"/>
      <c r="B26" s="43" t="s">
        <v>21</v>
      </c>
      <c r="C26" s="14">
        <v>5074.1899999999996</v>
      </c>
      <c r="D26" s="15">
        <v>24.94</v>
      </c>
      <c r="E26" s="15">
        <v>5074.1899999999996</v>
      </c>
      <c r="F26" s="15">
        <v>24.94</v>
      </c>
      <c r="G26" s="15">
        <v>5074.1899999999996</v>
      </c>
      <c r="H26" s="16">
        <v>24.94</v>
      </c>
      <c r="I26" s="13">
        <f t="shared" si="8"/>
        <v>5049.25</v>
      </c>
      <c r="J26" s="55">
        <f t="shared" si="12"/>
        <v>5074.1899999999996</v>
      </c>
      <c r="K26" s="55">
        <f t="shared" si="13"/>
        <v>24.943999999999999</v>
      </c>
      <c r="L26" s="56">
        <f t="shared" si="14"/>
        <v>5049.2459999999992</v>
      </c>
      <c r="M26" s="150"/>
      <c r="N26" s="117">
        <v>5074.1899999999996</v>
      </c>
      <c r="O26" s="55">
        <v>24.943999999999999</v>
      </c>
      <c r="P26" s="57">
        <f t="shared" si="15"/>
        <v>5049.2459999999992</v>
      </c>
      <c r="R26" s="148"/>
      <c r="S26" s="148"/>
      <c r="T26" s="148"/>
    </row>
    <row r="27" spans="1:24" ht="15" customHeight="1">
      <c r="A27" s="155"/>
      <c r="B27" s="43" t="s">
        <v>22</v>
      </c>
      <c r="C27" s="14">
        <v>14715.35</v>
      </c>
      <c r="D27" s="15">
        <v>8.0399999999999991</v>
      </c>
      <c r="E27" s="15">
        <v>14715.35</v>
      </c>
      <c r="F27" s="15">
        <v>8.0399999999999991</v>
      </c>
      <c r="G27" s="15">
        <v>14715.35</v>
      </c>
      <c r="H27" s="16">
        <v>8.0399999999999991</v>
      </c>
      <c r="I27" s="13">
        <f t="shared" si="8"/>
        <v>14707.31</v>
      </c>
      <c r="J27" s="55">
        <f t="shared" si="12"/>
        <v>14716.6</v>
      </c>
      <c r="K27" s="55">
        <f t="shared" si="13"/>
        <v>8.0370000000000008</v>
      </c>
      <c r="L27" s="56">
        <f t="shared" si="14"/>
        <v>14708.563</v>
      </c>
      <c r="M27" s="150"/>
      <c r="N27" s="117">
        <v>14716.6</v>
      </c>
      <c r="O27" s="55">
        <v>8.0370000000000008</v>
      </c>
      <c r="P27" s="57">
        <f t="shared" si="15"/>
        <v>14708.563</v>
      </c>
      <c r="R27" s="146" t="s">
        <v>84</v>
      </c>
      <c r="S27" s="146"/>
      <c r="T27" s="146"/>
      <c r="U27" s="133"/>
      <c r="V27" s="133"/>
    </row>
    <row r="28" spans="1:24" ht="15" customHeight="1">
      <c r="A28" s="155"/>
      <c r="B28" s="41" t="s">
        <v>5</v>
      </c>
      <c r="C28" s="19">
        <v>13688.19</v>
      </c>
      <c r="D28" s="20">
        <v>16.21</v>
      </c>
      <c r="E28" s="20">
        <v>13688.19</v>
      </c>
      <c r="F28" s="20">
        <v>16.21</v>
      </c>
      <c r="G28" s="20">
        <v>13688.19</v>
      </c>
      <c r="H28" s="21">
        <v>16.21</v>
      </c>
      <c r="I28" s="13">
        <f t="shared" si="8"/>
        <v>13671.980000000001</v>
      </c>
      <c r="J28" s="55">
        <f t="shared" si="12"/>
        <v>13688.87</v>
      </c>
      <c r="K28" s="55">
        <f t="shared" si="13"/>
        <v>16.207000000000001</v>
      </c>
      <c r="L28" s="56">
        <f t="shared" si="14"/>
        <v>13672.663</v>
      </c>
      <c r="M28" s="150"/>
      <c r="N28" s="117">
        <v>13688.87</v>
      </c>
      <c r="O28" s="55">
        <v>16.207000000000001</v>
      </c>
      <c r="P28" s="57">
        <f t="shared" si="15"/>
        <v>13672.663</v>
      </c>
      <c r="R28" s="147" t="s">
        <v>91</v>
      </c>
      <c r="S28" s="147"/>
      <c r="T28" s="147"/>
      <c r="U28" s="133"/>
      <c r="V28" s="134"/>
    </row>
    <row r="29" spans="1:24" ht="15.75" customHeight="1">
      <c r="A29" s="155"/>
      <c r="B29" s="41" t="s">
        <v>6</v>
      </c>
      <c r="C29" s="19">
        <v>16210.02</v>
      </c>
      <c r="D29" s="20">
        <v>7.45</v>
      </c>
      <c r="E29" s="20">
        <v>16210.02</v>
      </c>
      <c r="F29" s="20">
        <v>7.45</v>
      </c>
      <c r="G29" s="20">
        <v>16210.02</v>
      </c>
      <c r="H29" s="21">
        <v>7.45</v>
      </c>
      <c r="I29" s="13">
        <f t="shared" si="8"/>
        <v>16202.57</v>
      </c>
      <c r="J29" s="55">
        <f t="shared" si="12"/>
        <v>16213.027</v>
      </c>
      <c r="K29" s="55">
        <f t="shared" si="13"/>
        <v>7.4470000000000001</v>
      </c>
      <c r="L29" s="56">
        <f t="shared" ref="L29" si="16">J29-K29</f>
        <v>16205.58</v>
      </c>
      <c r="M29" s="150"/>
      <c r="N29" s="117">
        <v>16213.027</v>
      </c>
      <c r="O29" s="55">
        <v>7.4470000000000001</v>
      </c>
      <c r="P29" s="57">
        <f t="shared" si="15"/>
        <v>16205.58</v>
      </c>
      <c r="R29" s="128" t="s">
        <v>85</v>
      </c>
      <c r="S29" s="128" t="s">
        <v>86</v>
      </c>
      <c r="T29" s="128" t="s">
        <v>87</v>
      </c>
      <c r="U29" s="128" t="s">
        <v>90</v>
      </c>
      <c r="V29" s="128" t="s">
        <v>92</v>
      </c>
    </row>
    <row r="30" spans="1:24" ht="15" customHeight="1">
      <c r="A30" s="155"/>
      <c r="B30" s="41" t="s">
        <v>7</v>
      </c>
      <c r="C30" s="19">
        <v>20291.86</v>
      </c>
      <c r="D30" s="20">
        <v>3.48</v>
      </c>
      <c r="E30" s="20">
        <v>20291.86</v>
      </c>
      <c r="F30" s="20">
        <v>3.48</v>
      </c>
      <c r="G30" s="20">
        <v>20291.86</v>
      </c>
      <c r="H30" s="21">
        <v>3.48</v>
      </c>
      <c r="I30" s="13">
        <f t="shared" si="8"/>
        <v>20288.38</v>
      </c>
      <c r="J30" s="114">
        <f>N30-T30</f>
        <v>17569.847000000002</v>
      </c>
      <c r="K30" s="114">
        <f>O30</f>
        <v>3.48</v>
      </c>
      <c r="L30" s="115">
        <f>J30-K30</f>
        <v>17566.367000000002</v>
      </c>
      <c r="M30" s="150"/>
      <c r="N30" s="117">
        <v>20296.847000000002</v>
      </c>
      <c r="O30" s="55">
        <v>3.48</v>
      </c>
      <c r="P30" s="57">
        <f t="shared" si="15"/>
        <v>20293.367000000002</v>
      </c>
      <c r="Q30" s="132"/>
      <c r="R30" s="115">
        <v>1450</v>
      </c>
      <c r="S30" s="115">
        <v>1277</v>
      </c>
      <c r="T30" s="115">
        <f>SUM(R30:S30)</f>
        <v>2727</v>
      </c>
      <c r="U30" s="115">
        <f>O30</f>
        <v>3.48</v>
      </c>
      <c r="V30" s="115">
        <f>T30-U30</f>
        <v>2723.52</v>
      </c>
      <c r="X30" s="127"/>
    </row>
    <row r="31" spans="1:24" ht="15" customHeight="1">
      <c r="A31" s="155"/>
      <c r="B31" s="41" t="s">
        <v>8</v>
      </c>
      <c r="C31" s="19">
        <v>14081.07</v>
      </c>
      <c r="D31" s="20">
        <v>20.52</v>
      </c>
      <c r="E31" s="20">
        <v>14081.07</v>
      </c>
      <c r="F31" s="20">
        <v>20.52</v>
      </c>
      <c r="G31" s="20">
        <v>14081.07</v>
      </c>
      <c r="H31" s="21">
        <v>20.52</v>
      </c>
      <c r="I31" s="13">
        <f t="shared" si="8"/>
        <v>14060.55</v>
      </c>
      <c r="J31" s="114">
        <f t="shared" ref="J31:J32" si="17">N31-T31</f>
        <v>12287.968999999999</v>
      </c>
      <c r="K31" s="114">
        <f t="shared" ref="K31:K32" si="18">O31</f>
        <v>20.521999999999998</v>
      </c>
      <c r="L31" s="115">
        <f t="shared" ref="L31:L32" si="19">J31-K31</f>
        <v>12267.446999999998</v>
      </c>
      <c r="M31" s="150"/>
      <c r="N31" s="117">
        <v>14086.31</v>
      </c>
      <c r="O31" s="55">
        <v>20.521999999999998</v>
      </c>
      <c r="P31" s="57">
        <f t="shared" si="15"/>
        <v>14065.787999999999</v>
      </c>
      <c r="Q31" s="90"/>
      <c r="R31" s="115">
        <f>908825/1000</f>
        <v>908.82500000000005</v>
      </c>
      <c r="S31" s="115">
        <f>889516/1000</f>
        <v>889.51599999999996</v>
      </c>
      <c r="T31" s="115">
        <f t="shared" ref="T31:T35" si="20">SUM(R31:S31)</f>
        <v>1798.3409999999999</v>
      </c>
      <c r="U31" s="115">
        <f t="shared" ref="U31:U32" si="21">O31</f>
        <v>20.521999999999998</v>
      </c>
      <c r="V31" s="115">
        <f t="shared" ref="V31:V35" si="22">T31-U31</f>
        <v>1777.819</v>
      </c>
    </row>
    <row r="32" spans="1:24" ht="15" customHeight="1">
      <c r="A32" s="155"/>
      <c r="B32" s="41" t="s">
        <v>16</v>
      </c>
      <c r="C32" s="19">
        <v>21285.18</v>
      </c>
      <c r="D32" s="20">
        <v>8.27</v>
      </c>
      <c r="E32" s="20">
        <v>21285.18</v>
      </c>
      <c r="F32" s="20">
        <v>8.27</v>
      </c>
      <c r="G32" s="20">
        <v>21285.18</v>
      </c>
      <c r="H32" s="21">
        <v>8.27</v>
      </c>
      <c r="I32" s="13">
        <f t="shared" si="8"/>
        <v>21276.91</v>
      </c>
      <c r="J32" s="114">
        <f t="shared" si="17"/>
        <v>18351.416000000001</v>
      </c>
      <c r="K32" s="114">
        <f t="shared" si="18"/>
        <v>8.2710000000000008</v>
      </c>
      <c r="L32" s="115">
        <f t="shared" si="19"/>
        <v>18343.145</v>
      </c>
      <c r="M32" s="150"/>
      <c r="N32" s="117">
        <v>21286.416000000001</v>
      </c>
      <c r="O32" s="55">
        <v>8.2710000000000008</v>
      </c>
      <c r="P32" s="57">
        <f t="shared" si="15"/>
        <v>21278.145</v>
      </c>
      <c r="R32" s="115">
        <v>1519</v>
      </c>
      <c r="S32" s="115">
        <v>1416</v>
      </c>
      <c r="T32" s="115">
        <f t="shared" si="20"/>
        <v>2935</v>
      </c>
      <c r="U32" s="115">
        <f t="shared" si="21"/>
        <v>8.2710000000000008</v>
      </c>
      <c r="V32" s="115">
        <f t="shared" si="22"/>
        <v>2926.7289999999998</v>
      </c>
    </row>
    <row r="33" spans="1:22" ht="15" customHeight="1" thickBot="1">
      <c r="A33" s="44" t="s">
        <v>28</v>
      </c>
      <c r="B33" s="42" t="s">
        <v>20</v>
      </c>
      <c r="C33" s="23">
        <f>SUM(C21:C32)</f>
        <v>174492.06</v>
      </c>
      <c r="D33" s="24"/>
      <c r="E33" s="24"/>
      <c r="F33" s="24"/>
      <c r="G33" s="24"/>
      <c r="H33" s="23">
        <f>SUM(H21:H32)</f>
        <v>160.72999999999999</v>
      </c>
      <c r="I33" s="22">
        <f>C33-H33</f>
        <v>174331.33</v>
      </c>
      <c r="J33" s="37">
        <f>SUM(J21:J32)</f>
        <v>167057.19900000002</v>
      </c>
      <c r="K33" s="37">
        <f>SUM(K21:K32)</f>
        <v>160.72699999999998</v>
      </c>
      <c r="L33" s="37">
        <f>SUM(L21:L32)</f>
        <v>166896.47199999998</v>
      </c>
      <c r="M33" s="151"/>
      <c r="N33" s="123">
        <f>SUM(N21:N32)</f>
        <v>174517.54</v>
      </c>
      <c r="O33" s="120">
        <f>SUM(O21:O32)</f>
        <v>160.72699999999998</v>
      </c>
      <c r="P33" s="121">
        <f>N33-O33</f>
        <v>174356.81299999999</v>
      </c>
      <c r="R33" s="129">
        <f>SUM(R30:R32)</f>
        <v>3877.8249999999998</v>
      </c>
      <c r="S33" s="129">
        <f>SUM(S30:S32)</f>
        <v>3582.5160000000001</v>
      </c>
      <c r="T33" s="129">
        <f>SUM(T30:T32)</f>
        <v>7460.3410000000003</v>
      </c>
      <c r="U33" s="129">
        <f>SUM(U30:U32)</f>
        <v>32.272999999999996</v>
      </c>
      <c r="V33" s="129">
        <f>SUM(V30:V32)</f>
        <v>7428.0679999999993</v>
      </c>
    </row>
    <row r="34" spans="1:22" ht="15" customHeight="1">
      <c r="A34" s="154">
        <v>2022</v>
      </c>
      <c r="B34" s="41" t="s">
        <v>10</v>
      </c>
      <c r="C34" s="14">
        <v>16812.221999999998</v>
      </c>
      <c r="D34" s="15">
        <v>12.604000000000003</v>
      </c>
      <c r="E34" s="15">
        <v>16812.221999999998</v>
      </c>
      <c r="F34" s="15">
        <v>12.604000000000003</v>
      </c>
      <c r="G34" s="15">
        <v>16812.221999999998</v>
      </c>
      <c r="H34" s="16">
        <v>12.604000000000003</v>
      </c>
      <c r="I34" s="13">
        <f t="shared" ref="I34:I35" si="23">C34-H34</f>
        <v>16799.617999999999</v>
      </c>
      <c r="J34" s="114">
        <f>N34-T34</f>
        <v>14492.325000000001</v>
      </c>
      <c r="K34" s="114">
        <f>O34</f>
        <v>12.603999999999999</v>
      </c>
      <c r="L34" s="115">
        <f>J34-K34</f>
        <v>14479.721000000001</v>
      </c>
      <c r="M34" s="149">
        <f>ROUNDDOWN(L36*$B$41,0)</f>
        <v>8765</v>
      </c>
      <c r="N34" s="122">
        <v>16812.325000000001</v>
      </c>
      <c r="O34" s="118">
        <v>12.603999999999999</v>
      </c>
      <c r="P34" s="119">
        <f t="shared" si="15"/>
        <v>16799.721000000001</v>
      </c>
      <c r="R34" s="115">
        <v>1160</v>
      </c>
      <c r="S34" s="115">
        <v>1160</v>
      </c>
      <c r="T34" s="115">
        <f t="shared" si="20"/>
        <v>2320</v>
      </c>
      <c r="U34" s="115">
        <f>O34</f>
        <v>12.603999999999999</v>
      </c>
      <c r="V34" s="115">
        <f t="shared" si="22"/>
        <v>2307.3960000000002</v>
      </c>
    </row>
    <row r="35" spans="1:22" ht="15" customHeight="1">
      <c r="A35" s="155"/>
      <c r="B35" s="41" t="s">
        <v>1</v>
      </c>
      <c r="C35" s="14">
        <f>13054.007/28</f>
        <v>466.21453571428572</v>
      </c>
      <c r="D35" s="15">
        <v>11.149000000000001</v>
      </c>
      <c r="E35" s="15">
        <v>13054.007000000003</v>
      </c>
      <c r="F35" s="15">
        <v>11.149000000000001</v>
      </c>
      <c r="G35" s="15">
        <v>13054.007000000003</v>
      </c>
      <c r="H35" s="16">
        <f>11.149/28</f>
        <v>0.39817857142857138</v>
      </c>
      <c r="I35" s="13">
        <f t="shared" si="23"/>
        <v>465.81635714285716</v>
      </c>
      <c r="J35" s="114">
        <f>N35-T35</f>
        <v>402.63603571428564</v>
      </c>
      <c r="K35" s="114">
        <f>O35</f>
        <v>0.39817857142857138</v>
      </c>
      <c r="L35" s="115">
        <f>J35-K35</f>
        <v>402.23785714285708</v>
      </c>
      <c r="M35" s="150"/>
      <c r="N35" s="117">
        <f>13054.077*(1/28)</f>
        <v>466.21703571428566</v>
      </c>
      <c r="O35" s="55">
        <f>11.149*(1/28)</f>
        <v>0.39817857142857138</v>
      </c>
      <c r="P35" s="57">
        <f t="shared" si="15"/>
        <v>465.8188571428571</v>
      </c>
      <c r="R35" s="115">
        <f>(1/28)*872976/1000</f>
        <v>31.177714285714284</v>
      </c>
      <c r="S35" s="115">
        <f>(1/28)*907292/1000</f>
        <v>32.403285714285715</v>
      </c>
      <c r="T35" s="115">
        <f t="shared" si="20"/>
        <v>63.581000000000003</v>
      </c>
      <c r="U35" s="115">
        <f>O35</f>
        <v>0.39817857142857138</v>
      </c>
      <c r="V35" s="115">
        <f t="shared" si="22"/>
        <v>63.18282142857143</v>
      </c>
    </row>
    <row r="36" spans="1:22" ht="15" customHeight="1" thickBot="1">
      <c r="A36" s="44" t="s">
        <v>37</v>
      </c>
      <c r="B36" s="42" t="s">
        <v>20</v>
      </c>
      <c r="C36" s="59">
        <f>SUM(C34:C35)</f>
        <v>17278.436535714285</v>
      </c>
      <c r="D36" s="59"/>
      <c r="E36" s="59"/>
      <c r="F36" s="59"/>
      <c r="G36" s="59"/>
      <c r="H36" s="59">
        <f>SUM(H34:H35)</f>
        <v>13.002178571428574</v>
      </c>
      <c r="I36" s="60">
        <f>C36-H36</f>
        <v>17265.434357142858</v>
      </c>
      <c r="J36" s="37">
        <f>SUM(J34:J35)</f>
        <v>14894.961035714286</v>
      </c>
      <c r="K36" s="37">
        <f>SUM(K34:K35)</f>
        <v>13.002178571428571</v>
      </c>
      <c r="L36" s="38">
        <f>SUM(L34:L35)</f>
        <v>14881.958857142858</v>
      </c>
      <c r="M36" s="151"/>
      <c r="N36" s="123">
        <f>SUM(N34:N35)</f>
        <v>17278.542035714287</v>
      </c>
      <c r="O36" s="120">
        <f>SUM(O34:O35)</f>
        <v>13.002178571428571</v>
      </c>
      <c r="P36" s="121">
        <f>N36-O36</f>
        <v>17265.53985714286</v>
      </c>
      <c r="R36" s="129">
        <f>SUM(R34:R35)</f>
        <v>1191.1777142857143</v>
      </c>
      <c r="S36" s="129">
        <f>SUM(S34:S35)</f>
        <v>1192.4032857142856</v>
      </c>
      <c r="T36" s="129">
        <f>SUM(T34:T35)</f>
        <v>2383.5810000000001</v>
      </c>
      <c r="U36" s="129">
        <f>SUM(U34:U35)</f>
        <v>13.002178571428571</v>
      </c>
      <c r="V36" s="129">
        <f>SUM(V34:V35)</f>
        <v>2370.5788214285717</v>
      </c>
    </row>
    <row r="37" spans="1:22" s="64" customFormat="1" ht="36.6" customHeight="1" thickBot="1">
      <c r="A37" s="1"/>
      <c r="B37" s="58" t="s">
        <v>13</v>
      </c>
      <c r="C37" s="63">
        <f>C7+C20+C33+C36</f>
        <v>420604.99653571431</v>
      </c>
      <c r="D37" s="62" t="e">
        <f>+#REF!+#REF!+#REF!+#REF!+#REF!+#REF!+#REF!+#REF!+#REF!+#REF!+#REF!+#REF!+#REF!</f>
        <v>#REF!</v>
      </c>
      <c r="E37" s="62" t="e">
        <f>+#REF!+#REF!+#REF!+#REF!+#REF!+#REF!+#REF!+#REF!+#REF!+#REF!+#REF!+#REF!+#REF!</f>
        <v>#REF!</v>
      </c>
      <c r="F37" s="62" t="e">
        <f>+#REF!+#REF!+#REF!+#REF!+#REF!+#REF!+#REF!+#REF!+#REF!+#REF!+#REF!+#REF!+#REF!</f>
        <v>#REF!</v>
      </c>
      <c r="G37" s="62" t="e">
        <f>+#REF!+#REF!+#REF!+#REF!+#REF!+#REF!+#REF!+#REF!+#REF!+#REF!+#REF!+#REF!+#REF!</f>
        <v>#REF!</v>
      </c>
      <c r="H37" s="63">
        <f>H7+H20+H33+H36</f>
        <v>362.65217857142858</v>
      </c>
      <c r="I37" s="63">
        <f>C37-H37</f>
        <v>420242.34435714287</v>
      </c>
      <c r="J37" s="61">
        <f>J7+J20+J33+J36</f>
        <v>411319.64803571434</v>
      </c>
      <c r="K37" s="61">
        <f t="shared" ref="K37" si="24">K7+K20+K33+K36</f>
        <v>362.64767857142851</v>
      </c>
      <c r="L37" s="61">
        <f>SUM(L7,L20,L33,L36)</f>
        <v>410957.00035714277</v>
      </c>
      <c r="M37" s="65">
        <f>ROUNDDOWN(SUM(M3:M36),0)</f>
        <v>242052</v>
      </c>
      <c r="N37" s="63">
        <f>N7+N20+N33+N36</f>
        <v>421163.57003571431</v>
      </c>
      <c r="O37" s="63">
        <f t="shared" ref="O37" si="25">O7+O20+O33+O36</f>
        <v>362.64767857142851</v>
      </c>
      <c r="P37" s="63">
        <f>N37-O37</f>
        <v>420800.9223571429</v>
      </c>
      <c r="R37"/>
      <c r="S37"/>
      <c r="T37"/>
      <c r="U37"/>
      <c r="V37"/>
    </row>
    <row r="38" spans="1:22" s="27" customFormat="1" ht="36.6" customHeight="1">
      <c r="A38" s="6"/>
      <c r="B38" s="2"/>
      <c r="C38" s="4"/>
      <c r="D38" s="2"/>
      <c r="E38" s="2"/>
      <c r="F38" s="3"/>
      <c r="G38" s="2"/>
      <c r="H38" s="2"/>
      <c r="I38" s="5"/>
      <c r="J38" s="68">
        <f>J37*365/B49</f>
        <v>172763.71868013317</v>
      </c>
      <c r="K38" s="68">
        <f>K37*365/B49</f>
        <v>152.32037132171624</v>
      </c>
      <c r="L38" s="68">
        <f>L37*365/B49</f>
        <v>172611.39830881142</v>
      </c>
      <c r="M38" s="2"/>
      <c r="N38" s="2"/>
      <c r="O38" s="2"/>
      <c r="P38" s="2"/>
      <c r="R38" s="112" t="s">
        <v>88</v>
      </c>
      <c r="S38"/>
      <c r="T38"/>
    </row>
    <row r="39" spans="1:22" s="27" customFormat="1" ht="36.6" customHeight="1">
      <c r="A39" s="6"/>
      <c r="B39" s="2"/>
      <c r="C39" s="4"/>
      <c r="D39" s="2"/>
      <c r="E39" s="2"/>
      <c r="F39" s="3"/>
      <c r="G39" s="2"/>
      <c r="H39" s="2"/>
      <c r="I39"/>
      <c r="J39"/>
      <c r="K39"/>
      <c r="L39"/>
      <c r="M39"/>
      <c r="O39" s="2"/>
      <c r="P39" s="130"/>
    </row>
    <row r="40" spans="1:22" s="27" customFormat="1" ht="59.25" customHeight="1">
      <c r="A40" s="25" t="s">
        <v>102</v>
      </c>
      <c r="B40" s="26">
        <f>+L37</f>
        <v>410957.00035714277</v>
      </c>
      <c r="C40"/>
      <c r="D40"/>
      <c r="E40"/>
      <c r="F40"/>
      <c r="G40"/>
      <c r="H40"/>
      <c r="I40" s="160" t="s">
        <v>69</v>
      </c>
      <c r="J40" s="160"/>
      <c r="K40" s="160"/>
      <c r="L40" s="160"/>
      <c r="M40" s="166" t="s">
        <v>61</v>
      </c>
      <c r="N40" s="167"/>
      <c r="O40" s="167"/>
      <c r="P40" s="168"/>
      <c r="Q40" s="164" t="s">
        <v>55</v>
      </c>
      <c r="R40" s="164" t="s">
        <v>56</v>
      </c>
      <c r="S40" s="164" t="s">
        <v>62</v>
      </c>
      <c r="T40" s="162" t="s">
        <v>75</v>
      </c>
      <c r="U40" s="164" t="s">
        <v>76</v>
      </c>
    </row>
    <row r="41" spans="1:22" ht="40.5" customHeight="1">
      <c r="A41" s="25" t="s">
        <v>31</v>
      </c>
      <c r="B41" s="40">
        <v>0.58899999999999997</v>
      </c>
      <c r="C41"/>
      <c r="D41"/>
      <c r="E41"/>
      <c r="F41"/>
      <c r="G41"/>
      <c r="H41"/>
      <c r="I41" s="161" t="s">
        <v>63</v>
      </c>
      <c r="J41" s="161"/>
      <c r="K41" s="159" t="s">
        <v>64</v>
      </c>
      <c r="L41" s="159"/>
      <c r="M41" s="169" t="s">
        <v>63</v>
      </c>
      <c r="N41" s="170"/>
      <c r="O41" s="171" t="s">
        <v>64</v>
      </c>
      <c r="P41" s="172"/>
      <c r="Q41" s="165"/>
      <c r="R41" s="165"/>
      <c r="S41" s="165"/>
      <c r="T41" s="163"/>
      <c r="U41" s="165"/>
    </row>
    <row r="42" spans="1:22" ht="49.5" customHeight="1">
      <c r="A42" s="25" t="s">
        <v>34</v>
      </c>
      <c r="B42" s="45">
        <f>163.2/175</f>
        <v>0.9325714285714285</v>
      </c>
      <c r="C42"/>
      <c r="D42"/>
      <c r="E42"/>
      <c r="F42"/>
      <c r="G42"/>
      <c r="H42"/>
      <c r="I42" s="31" t="s">
        <v>65</v>
      </c>
      <c r="J42" s="107">
        <f>L7</f>
        <v>47966.362500000003</v>
      </c>
      <c r="K42" s="33" t="s">
        <v>65</v>
      </c>
      <c r="L42" s="100">
        <f>M3</f>
        <v>28252</v>
      </c>
      <c r="M42" s="67" t="s">
        <v>65</v>
      </c>
      <c r="N42" s="106">
        <f>163200*S42/365</f>
        <v>47842.191780821915</v>
      </c>
      <c r="O42" s="33" t="s">
        <v>65</v>
      </c>
      <c r="P42" s="30">
        <f>N42*$B$41</f>
        <v>28179.050958904107</v>
      </c>
      <c r="Q42" s="94">
        <v>42262</v>
      </c>
      <c r="R42" s="94">
        <v>42368</v>
      </c>
      <c r="S42" s="27">
        <f>R42-Q42+1</f>
        <v>107</v>
      </c>
      <c r="T42" s="109">
        <f>(J42-N42)/N42</f>
        <v>2.5954228800166121E-3</v>
      </c>
      <c r="U42" s="109">
        <f>(L42-P42)/P42</f>
        <v>2.5887685572619566E-3</v>
      </c>
    </row>
    <row r="43" spans="1:22" ht="63.6" customHeight="1">
      <c r="A43" s="25" t="s">
        <v>82</v>
      </c>
      <c r="B43" s="45">
        <f>1-((175-163.2)/2)/175</f>
        <v>0.9662857142857143</v>
      </c>
      <c r="C43"/>
      <c r="D43"/>
      <c r="E43"/>
      <c r="F43"/>
      <c r="G43"/>
      <c r="H43"/>
      <c r="I43" s="31" t="s">
        <v>66</v>
      </c>
      <c r="J43" s="107">
        <f>L20</f>
        <v>181212.20699999999</v>
      </c>
      <c r="K43" s="33" t="s">
        <v>66</v>
      </c>
      <c r="L43" s="100">
        <f>M8</f>
        <v>106733</v>
      </c>
      <c r="M43" s="67" t="s">
        <v>66</v>
      </c>
      <c r="N43" s="106">
        <v>163200</v>
      </c>
      <c r="O43" s="33" t="s">
        <v>66</v>
      </c>
      <c r="P43" s="30">
        <v>96124.799999999988</v>
      </c>
      <c r="Q43" s="94">
        <v>42369</v>
      </c>
      <c r="R43" s="94">
        <v>42734</v>
      </c>
      <c r="S43" s="27">
        <f>R43-Q43</f>
        <v>365</v>
      </c>
      <c r="T43" s="109">
        <f t="shared" ref="T43:T46" si="26">(J43-N43)/N43</f>
        <v>0.11036891544117644</v>
      </c>
      <c r="U43" s="109">
        <f t="shared" ref="U43:U46" si="27">(L43-P43)/P43</f>
        <v>0.11035861713106308</v>
      </c>
    </row>
    <row r="44" spans="1:22" ht="71.25" customHeight="1">
      <c r="A44" s="27"/>
      <c r="B44" s="27"/>
      <c r="C44"/>
      <c r="D44"/>
      <c r="E44"/>
      <c r="F44"/>
      <c r="G44"/>
      <c r="H44"/>
      <c r="I44" s="31" t="s">
        <v>67</v>
      </c>
      <c r="J44" s="107">
        <f>L33</f>
        <v>166896.47199999998</v>
      </c>
      <c r="K44" s="33" t="s">
        <v>67</v>
      </c>
      <c r="L44" s="100">
        <f>M21</f>
        <v>98302</v>
      </c>
      <c r="M44" s="67" t="s">
        <v>67</v>
      </c>
      <c r="N44" s="106">
        <v>163200</v>
      </c>
      <c r="O44" s="33" t="s">
        <v>67</v>
      </c>
      <c r="P44" s="30">
        <v>96124.799999999988</v>
      </c>
      <c r="Q44" s="94">
        <v>42735</v>
      </c>
      <c r="R44" s="94">
        <v>43099</v>
      </c>
      <c r="S44" s="27">
        <f>R44-Q44+1</f>
        <v>365</v>
      </c>
      <c r="T44" s="109">
        <f t="shared" si="26"/>
        <v>2.2649950980392033E-2</v>
      </c>
      <c r="U44" s="109">
        <f t="shared" si="27"/>
        <v>2.2649722028030353E-2</v>
      </c>
      <c r="V44" s="110"/>
    </row>
    <row r="45" spans="1:22" ht="54" customHeight="1">
      <c r="A45" s="35" t="s">
        <v>30</v>
      </c>
      <c r="B45" s="39">
        <f>100*(J46-N46)/J46</f>
        <v>5.4523620114437055</v>
      </c>
      <c r="C45"/>
      <c r="D45"/>
      <c r="E45"/>
      <c r="F45"/>
      <c r="G45"/>
      <c r="H45"/>
      <c r="I45" s="31" t="s">
        <v>68</v>
      </c>
      <c r="J45" s="107">
        <f>L36</f>
        <v>14881.958857142858</v>
      </c>
      <c r="K45" s="33" t="s">
        <v>68</v>
      </c>
      <c r="L45" s="100">
        <f>M34</f>
        <v>8765</v>
      </c>
      <c r="M45" s="67" t="s">
        <v>68</v>
      </c>
      <c r="N45" s="106">
        <f>163200*S45/365</f>
        <v>14307.945205479453</v>
      </c>
      <c r="O45" s="33" t="s">
        <v>68</v>
      </c>
      <c r="P45" s="30">
        <f>N45*$B$41</f>
        <v>8427.3797260273968</v>
      </c>
      <c r="Q45" s="94">
        <v>43100</v>
      </c>
      <c r="R45" s="94">
        <v>43131</v>
      </c>
      <c r="S45" s="27">
        <f>R45-Q45+1</f>
        <v>32</v>
      </c>
      <c r="T45" s="109">
        <f t="shared" si="26"/>
        <v>4.011852459733891E-2</v>
      </c>
      <c r="U45" s="109">
        <f t="shared" si="27"/>
        <v>4.0062307021705171E-2</v>
      </c>
    </row>
    <row r="46" spans="1:22" ht="36" customHeight="1">
      <c r="A46" s="35" t="s">
        <v>29</v>
      </c>
      <c r="B46" s="39">
        <f>100*(L46-P46)/L46</f>
        <v>5.4517084407765832</v>
      </c>
      <c r="C46"/>
      <c r="D46"/>
      <c r="E46"/>
      <c r="F46"/>
      <c r="G46"/>
      <c r="H46"/>
      <c r="I46" s="32" t="s">
        <v>32</v>
      </c>
      <c r="J46" s="108">
        <f>SUM(J42:J45)</f>
        <v>410957.00035714277</v>
      </c>
      <c r="K46" s="34" t="s">
        <v>33</v>
      </c>
      <c r="L46" s="101">
        <f>SUM(L42:L45)</f>
        <v>242052</v>
      </c>
      <c r="M46" s="99" t="s">
        <v>32</v>
      </c>
      <c r="N46" s="105">
        <f>SUM(N42:N45)</f>
        <v>388550.13698630134</v>
      </c>
      <c r="O46" s="97" t="s">
        <v>33</v>
      </c>
      <c r="P46" s="96">
        <f>SUM(P42:P45)</f>
        <v>228856.03068493147</v>
      </c>
      <c r="S46" s="98">
        <f>SUM(S42:S45)</f>
        <v>869</v>
      </c>
      <c r="T46" s="109">
        <f t="shared" si="26"/>
        <v>5.7667881794187609E-2</v>
      </c>
      <c r="U46" s="109">
        <f t="shared" si="27"/>
        <v>5.7660570602290857E-2</v>
      </c>
    </row>
    <row r="47" spans="1:22" ht="24.6" customHeight="1">
      <c r="A47" s="27"/>
      <c r="B47" s="27"/>
      <c r="C47"/>
      <c r="D47"/>
      <c r="E47"/>
      <c r="F47"/>
      <c r="G47"/>
      <c r="H47"/>
      <c r="I47" s="32" t="s">
        <v>70</v>
      </c>
      <c r="J47" s="101">
        <f>J46*365/$S$46</f>
        <v>172611.39830881142</v>
      </c>
      <c r="K47" s="34" t="s">
        <v>71</v>
      </c>
      <c r="L47" s="101">
        <f>L46*365/$S$46</f>
        <v>101667.41081703106</v>
      </c>
      <c r="M47" s="28"/>
      <c r="N47" s="27"/>
      <c r="O47" s="27"/>
      <c r="P47" s="27"/>
    </row>
    <row r="48" spans="1:22">
      <c r="A48" s="27"/>
      <c r="B48" s="27"/>
      <c r="C48"/>
      <c r="D48"/>
      <c r="E48"/>
      <c r="F48"/>
      <c r="G48"/>
      <c r="H48"/>
      <c r="I48"/>
      <c r="J48"/>
      <c r="K48"/>
      <c r="L48" s="27"/>
      <c r="M48" s="28"/>
      <c r="N48" s="27"/>
      <c r="O48" s="27"/>
      <c r="P48" s="27"/>
    </row>
    <row r="49" spans="1:20" ht="26.45" customHeight="1">
      <c r="A49" s="66" t="s">
        <v>39</v>
      </c>
      <c r="B49" s="2">
        <f>S46</f>
        <v>869</v>
      </c>
      <c r="C49" s="27"/>
      <c r="D49" s="27"/>
      <c r="E49" s="27"/>
      <c r="F49" s="27"/>
      <c r="G49" s="27"/>
      <c r="H49"/>
      <c r="I49"/>
      <c r="J49"/>
      <c r="K49"/>
      <c r="L49" s="27"/>
      <c r="M49" s="28"/>
      <c r="N49" s="27"/>
      <c r="O49" s="27"/>
      <c r="P49" s="27"/>
    </row>
    <row r="50" spans="1:20">
      <c r="A50" s="27"/>
      <c r="B50"/>
      <c r="C50" s="27"/>
      <c r="D50" s="27"/>
      <c r="E50" s="27"/>
      <c r="F50" s="27"/>
      <c r="G50" s="27"/>
      <c r="H50"/>
      <c r="I50"/>
      <c r="J50"/>
      <c r="K50"/>
      <c r="L50" s="27"/>
      <c r="M50" s="28"/>
      <c r="N50" s="27"/>
      <c r="O50" s="27"/>
      <c r="P50" s="27"/>
      <c r="Q50" s="98" t="s">
        <v>79</v>
      </c>
      <c r="R50" s="98"/>
      <c r="S50" s="111">
        <v>43022</v>
      </c>
    </row>
    <row r="51" spans="1:20">
      <c r="A51" s="27"/>
      <c r="B51" s="27"/>
      <c r="C51" s="27"/>
      <c r="D51" s="27"/>
      <c r="E51" s="27"/>
      <c r="F51" s="27"/>
      <c r="G51" s="27"/>
      <c r="H51"/>
      <c r="I51"/>
      <c r="J51"/>
      <c r="K51"/>
      <c r="L51" s="27"/>
      <c r="M51" s="28"/>
      <c r="N51" s="27"/>
      <c r="O51" s="27"/>
      <c r="P51" s="27"/>
      <c r="Q51" s="98" t="s">
        <v>80</v>
      </c>
      <c r="R51" s="98"/>
      <c r="S51" s="111">
        <v>43064</v>
      </c>
    </row>
    <row r="52" spans="1:20">
      <c r="A52" s="27"/>
      <c r="B52" s="27"/>
      <c r="C52" s="27"/>
      <c r="D52" s="27"/>
      <c r="E52" s="27"/>
      <c r="F52" s="27"/>
      <c r="G52" s="27"/>
      <c r="H52"/>
      <c r="I52"/>
      <c r="J52"/>
      <c r="K52"/>
      <c r="L52" s="27"/>
      <c r="M52" s="28"/>
      <c r="N52" s="27"/>
      <c r="O52" s="27"/>
      <c r="P52" s="27"/>
    </row>
    <row r="53" spans="1:20">
      <c r="A53" s="27"/>
      <c r="B53" s="27"/>
      <c r="C53" s="27"/>
      <c r="D53" s="27"/>
      <c r="E53" s="27"/>
      <c r="F53" s="27"/>
      <c r="G53" s="27"/>
      <c r="H53"/>
      <c r="I53"/>
      <c r="J53"/>
      <c r="K53"/>
      <c r="L53" s="27"/>
      <c r="M53" s="28"/>
      <c r="N53" s="27"/>
      <c r="O53" s="27"/>
      <c r="P53" s="27"/>
      <c r="Q53" s="112" t="s">
        <v>81</v>
      </c>
    </row>
    <row r="54" spans="1:20">
      <c r="H54"/>
      <c r="I54"/>
      <c r="J54"/>
      <c r="K54"/>
    </row>
    <row r="55" spans="1:20">
      <c r="Q55" s="90" t="s">
        <v>55</v>
      </c>
      <c r="R55" s="90" t="s">
        <v>56</v>
      </c>
      <c r="S55" s="90" t="s">
        <v>57</v>
      </c>
      <c r="T55" s="113" t="s">
        <v>83</v>
      </c>
    </row>
    <row r="56" spans="1:20">
      <c r="Q56" s="116">
        <v>43022</v>
      </c>
      <c r="R56" s="116">
        <v>43038</v>
      </c>
      <c r="S56" s="113">
        <f>R56-Q56</f>
        <v>16</v>
      </c>
      <c r="T56" s="1">
        <f>31-S56</f>
        <v>15</v>
      </c>
    </row>
    <row r="57" spans="1:20">
      <c r="Q57" s="116">
        <v>43064</v>
      </c>
      <c r="R57" s="116">
        <v>43068</v>
      </c>
      <c r="S57" s="113">
        <f>R57-Q57</f>
        <v>4</v>
      </c>
      <c r="T57" s="1">
        <f>30-S57</f>
        <v>26</v>
      </c>
    </row>
    <row r="58" spans="1:20">
      <c r="Q58" s="112"/>
      <c r="R58" s="112"/>
      <c r="S58" s="112"/>
    </row>
    <row r="59" spans="1:20">
      <c r="Q59" s="112"/>
      <c r="R59" s="112"/>
      <c r="S59" s="112"/>
    </row>
    <row r="60" spans="1:20">
      <c r="D60" s="29"/>
      <c r="E60" s="29"/>
      <c r="F60" s="29"/>
      <c r="G60" s="29"/>
      <c r="L60" s="131"/>
      <c r="Q60" s="112"/>
      <c r="R60" s="112"/>
      <c r="S60" s="112"/>
    </row>
    <row r="61" spans="1:20">
      <c r="D61" s="29"/>
      <c r="E61" s="29"/>
      <c r="F61" s="29"/>
      <c r="G61" s="29"/>
      <c r="Q61" s="112"/>
      <c r="R61" s="112"/>
      <c r="S61" s="112"/>
    </row>
    <row r="62" spans="1:20">
      <c r="D62" s="29"/>
      <c r="E62" s="29"/>
      <c r="F62" s="29"/>
      <c r="G62" s="29"/>
    </row>
    <row r="63" spans="1:20">
      <c r="D63" s="29"/>
      <c r="E63" s="29"/>
      <c r="F63" s="29"/>
      <c r="G63" s="29"/>
    </row>
    <row r="64" spans="1:20">
      <c r="D64" s="29"/>
      <c r="E64" s="29"/>
      <c r="F64" s="29"/>
      <c r="G64" s="29"/>
    </row>
    <row r="65" spans="4:7">
      <c r="D65" s="29"/>
      <c r="E65" s="29"/>
      <c r="F65" s="29"/>
      <c r="G65" s="29"/>
    </row>
  </sheetData>
  <mergeCells count="24">
    <mergeCell ref="K41:L41"/>
    <mergeCell ref="I40:L40"/>
    <mergeCell ref="I41:J41"/>
    <mergeCell ref="T40:T41"/>
    <mergeCell ref="U40:U41"/>
    <mergeCell ref="R40:R41"/>
    <mergeCell ref="S40:S41"/>
    <mergeCell ref="M40:P40"/>
    <mergeCell ref="Q40:Q41"/>
    <mergeCell ref="M41:N41"/>
    <mergeCell ref="O41:P41"/>
    <mergeCell ref="A34:A35"/>
    <mergeCell ref="M34:M36"/>
    <mergeCell ref="A3:A6"/>
    <mergeCell ref="J1:L1"/>
    <mergeCell ref="N1:P1"/>
    <mergeCell ref="M8:M20"/>
    <mergeCell ref="M3:M7"/>
    <mergeCell ref="R27:T27"/>
    <mergeCell ref="R28:T28"/>
    <mergeCell ref="R23:T26"/>
    <mergeCell ref="M21:M33"/>
    <mergeCell ref="A8:A19"/>
    <mergeCell ref="A21:A32"/>
  </mergeCells>
  <phoneticPr fontId="0" type="noConversion"/>
  <printOptions horizontalCentered="1" verticalCentered="1"/>
  <pageMargins left="0.55118110236220474" right="0.55118110236220474" top="0.78740157480314965" bottom="0.78740157480314965" header="0.51181102362204722" footer="0.51181102362204722"/>
  <pageSetup paperSize="9" scale="49" orientation="landscape" r:id="rId1"/>
  <headerFooter alignWithMargins="0">
    <oddHeader>&amp;C&amp;"Verdana,Kalın"&amp;22HAMZALI HEPP ELECTRICITY GENERATION AND EMISSIONS REDUCTION VALUES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1F2E-F6AF-4B03-B26E-933E7B47A396}">
  <dimension ref="A1:O38"/>
  <sheetViews>
    <sheetView topLeftCell="B1" zoomScaleNormal="100" workbookViewId="0">
      <selection activeCell="F18" sqref="F18"/>
    </sheetView>
  </sheetViews>
  <sheetFormatPr defaultRowHeight="12.75"/>
  <cols>
    <col min="1" max="1" width="33" bestFit="1" customWidth="1"/>
    <col min="2" max="2" width="15.75" customWidth="1"/>
    <col min="3" max="3" width="11.875" customWidth="1"/>
    <col min="4" max="4" width="33.125" bestFit="1" customWidth="1"/>
    <col min="5" max="5" width="10.625" customWidth="1"/>
    <col min="6" max="6" width="10.875" customWidth="1"/>
    <col min="7" max="7" width="24.75" customWidth="1"/>
    <col min="8" max="8" width="11.875" bestFit="1" customWidth="1"/>
    <col min="10" max="13" width="14.75" customWidth="1"/>
    <col min="14" max="14" width="10.25" customWidth="1"/>
    <col min="15" max="15" width="10.625" customWidth="1"/>
  </cols>
  <sheetData>
    <row r="1" spans="1:15" ht="55.15" customHeight="1">
      <c r="A1" s="174" t="s">
        <v>93</v>
      </c>
      <c r="B1" s="175"/>
      <c r="C1" s="175"/>
      <c r="D1" s="175"/>
      <c r="E1" s="176"/>
      <c r="F1" s="2"/>
      <c r="H1" s="81" t="s">
        <v>49</v>
      </c>
      <c r="I1" s="82">
        <f>Detail!J46</f>
        <v>410957.00035714277</v>
      </c>
    </row>
    <row r="2" spans="1:15">
      <c r="A2" s="177"/>
      <c r="B2" s="178"/>
      <c r="C2" s="178"/>
      <c r="D2" s="178"/>
      <c r="E2" s="178"/>
      <c r="F2" s="2"/>
    </row>
    <row r="3" spans="1:15">
      <c r="A3" s="179" t="s">
        <v>50</v>
      </c>
      <c r="B3" s="179"/>
      <c r="C3" s="179"/>
      <c r="D3" s="179"/>
      <c r="E3" s="179"/>
      <c r="F3" s="179"/>
      <c r="G3" s="136" t="s">
        <v>40</v>
      </c>
    </row>
    <row r="4" spans="1:15">
      <c r="A4" s="86" t="s">
        <v>94</v>
      </c>
      <c r="B4" s="86">
        <v>413.78</v>
      </c>
      <c r="C4" s="85" t="s">
        <v>97</v>
      </c>
      <c r="D4" s="86" t="s">
        <v>96</v>
      </c>
      <c r="E4" s="137">
        <v>317.45</v>
      </c>
      <c r="F4" s="85" t="s">
        <v>97</v>
      </c>
      <c r="G4" s="180" t="s">
        <v>100</v>
      </c>
      <c r="H4" s="180"/>
    </row>
    <row r="5" spans="1:15">
      <c r="A5" s="86" t="s">
        <v>95</v>
      </c>
      <c r="B5" s="84">
        <v>211208</v>
      </c>
      <c r="C5" s="85" t="s">
        <v>41</v>
      </c>
      <c r="D5" s="86" t="s">
        <v>95</v>
      </c>
      <c r="E5" s="84">
        <v>211208</v>
      </c>
      <c r="F5" s="85" t="s">
        <v>41</v>
      </c>
      <c r="G5" s="181" t="s">
        <v>101</v>
      </c>
      <c r="H5" s="180"/>
    </row>
    <row r="6" spans="1:15">
      <c r="A6" s="87" t="s">
        <v>51</v>
      </c>
      <c r="B6" s="87">
        <f>+B4/B5*1000</f>
        <v>1.9591113972955569</v>
      </c>
      <c r="C6" s="88" t="s">
        <v>52</v>
      </c>
      <c r="D6" s="87" t="s">
        <v>53</v>
      </c>
      <c r="E6" s="87">
        <f>+E4/E5*1000</f>
        <v>1.5030207189121623</v>
      </c>
      <c r="F6" s="88" t="s">
        <v>52</v>
      </c>
    </row>
    <row r="7" spans="1:15" ht="24" customHeight="1">
      <c r="A7" s="135" t="s">
        <v>98</v>
      </c>
      <c r="B7" s="104">
        <f>C15</f>
        <v>803</v>
      </c>
      <c r="C7" s="85" t="s">
        <v>54</v>
      </c>
      <c r="D7" s="135" t="s">
        <v>99</v>
      </c>
      <c r="E7" s="104">
        <f>C23</f>
        <v>616</v>
      </c>
      <c r="F7" s="85" t="s">
        <v>54</v>
      </c>
    </row>
    <row r="10" spans="1:15" ht="51">
      <c r="A10" s="102"/>
      <c r="B10" s="102" t="s">
        <v>72</v>
      </c>
      <c r="C10" s="89" t="s">
        <v>73</v>
      </c>
      <c r="D10" s="90" t="s">
        <v>55</v>
      </c>
      <c r="E10" s="90" t="s">
        <v>56</v>
      </c>
      <c r="F10" s="90" t="s">
        <v>57</v>
      </c>
      <c r="J10" s="160" t="s">
        <v>69</v>
      </c>
      <c r="K10" s="160"/>
      <c r="L10" s="160" t="s">
        <v>61</v>
      </c>
      <c r="M10" s="160"/>
      <c r="N10" s="173" t="s">
        <v>108</v>
      </c>
      <c r="O10" s="173" t="s">
        <v>109</v>
      </c>
    </row>
    <row r="11" spans="1:15" ht="31.5">
      <c r="A11" s="91" t="s">
        <v>58</v>
      </c>
      <c r="B11" s="103">
        <f>Detail!$J$42</f>
        <v>47966.362500000003</v>
      </c>
      <c r="C11" s="92">
        <f>ROUNDDOWN((B11*$B$6/1000),0)</f>
        <v>93</v>
      </c>
      <c r="D11" s="93">
        <v>42262</v>
      </c>
      <c r="E11" s="93">
        <v>42368</v>
      </c>
      <c r="F11" s="27">
        <f>E11-D11</f>
        <v>106</v>
      </c>
      <c r="J11" s="143" t="s">
        <v>106</v>
      </c>
      <c r="K11" s="143" t="s">
        <v>107</v>
      </c>
      <c r="L11" s="143" t="s">
        <v>106</v>
      </c>
      <c r="M11" s="143" t="s">
        <v>107</v>
      </c>
      <c r="N11" s="173"/>
      <c r="O11" s="173"/>
    </row>
    <row r="12" spans="1:15">
      <c r="A12" s="83">
        <v>2020</v>
      </c>
      <c r="B12" s="103">
        <f>Detail!$J$43</f>
        <v>181212.20699999999</v>
      </c>
      <c r="C12" s="92">
        <f t="shared" ref="C12:C14" si="0">ROUNDDOWN((B12*$B$6/1000),0)</f>
        <v>355</v>
      </c>
      <c r="D12" s="94">
        <v>42369</v>
      </c>
      <c r="E12" s="94">
        <v>42734</v>
      </c>
      <c r="F12" s="27">
        <f>E12-D12</f>
        <v>365</v>
      </c>
      <c r="J12" s="141">
        <f>C11</f>
        <v>93</v>
      </c>
      <c r="K12" s="141">
        <f>C19</f>
        <v>72</v>
      </c>
      <c r="L12" s="141">
        <f>C26</f>
        <v>93</v>
      </c>
      <c r="M12" s="142">
        <f>C34</f>
        <v>71</v>
      </c>
      <c r="N12" s="144">
        <f>(J12-L12)/L12</f>
        <v>0</v>
      </c>
      <c r="O12" s="144">
        <f>(K12-M12)/M12</f>
        <v>1.4084507042253521E-2</v>
      </c>
    </row>
    <row r="13" spans="1:15">
      <c r="A13" s="83">
        <v>2021</v>
      </c>
      <c r="B13" s="103">
        <f>Detail!$J$44</f>
        <v>166896.47199999998</v>
      </c>
      <c r="C13" s="92">
        <f t="shared" si="0"/>
        <v>326</v>
      </c>
      <c r="D13" s="94">
        <v>42735</v>
      </c>
      <c r="E13" s="94">
        <v>43099</v>
      </c>
      <c r="F13" s="27">
        <f>E13-D13</f>
        <v>364</v>
      </c>
      <c r="J13" s="141">
        <f t="shared" ref="J13:J16" si="1">C12</f>
        <v>355</v>
      </c>
      <c r="K13" s="141">
        <f t="shared" ref="K13:K16" si="2">C20</f>
        <v>272</v>
      </c>
      <c r="L13" s="141">
        <f t="shared" ref="L13:L16" si="3">C27</f>
        <v>319</v>
      </c>
      <c r="M13" s="142">
        <f t="shared" ref="M13:M16" si="4">C35</f>
        <v>245</v>
      </c>
      <c r="N13" s="144">
        <f>(J13-L13)/L13</f>
        <v>0.11285266457680251</v>
      </c>
      <c r="O13" s="144">
        <f t="shared" ref="O13:O16" si="5">(K13-M13)/M13</f>
        <v>0.11020408163265306</v>
      </c>
    </row>
    <row r="14" spans="1:15">
      <c r="A14" s="83" t="s">
        <v>59</v>
      </c>
      <c r="B14" s="103">
        <f>Detail!$J$45</f>
        <v>14881.958857142858</v>
      </c>
      <c r="C14" s="92">
        <f t="shared" si="0"/>
        <v>29</v>
      </c>
      <c r="D14" s="94">
        <v>43100</v>
      </c>
      <c r="E14" s="94">
        <v>43131</v>
      </c>
      <c r="F14" s="27">
        <f>E14-D14</f>
        <v>31</v>
      </c>
      <c r="J14" s="141">
        <f t="shared" si="1"/>
        <v>326</v>
      </c>
      <c r="K14" s="141">
        <f t="shared" si="2"/>
        <v>250</v>
      </c>
      <c r="L14" s="141">
        <f t="shared" si="3"/>
        <v>319</v>
      </c>
      <c r="M14" s="142">
        <f t="shared" si="4"/>
        <v>245</v>
      </c>
      <c r="N14" s="144">
        <f t="shared" ref="N14:N16" si="6">(J14-L14)/L14</f>
        <v>2.1943573667711599E-2</v>
      </c>
      <c r="O14" s="144">
        <f t="shared" si="5"/>
        <v>2.0408163265306121E-2</v>
      </c>
    </row>
    <row r="15" spans="1:15">
      <c r="A15" s="139" t="s">
        <v>60</v>
      </c>
      <c r="B15" s="103">
        <f>Detail!$J$46</f>
        <v>410957.00035714277</v>
      </c>
      <c r="C15" s="145">
        <f>SUM(C11:C14)</f>
        <v>803</v>
      </c>
      <c r="F15" s="95">
        <f>SUM(F11:F14)</f>
        <v>866</v>
      </c>
      <c r="J15" s="141">
        <f t="shared" si="1"/>
        <v>29</v>
      </c>
      <c r="K15" s="141">
        <f t="shared" si="2"/>
        <v>22</v>
      </c>
      <c r="L15" s="141">
        <f t="shared" si="3"/>
        <v>28</v>
      </c>
      <c r="M15" s="142">
        <f t="shared" si="4"/>
        <v>21</v>
      </c>
      <c r="N15" s="144">
        <f t="shared" si="6"/>
        <v>3.5714285714285712E-2</v>
      </c>
      <c r="O15" s="144">
        <f t="shared" si="5"/>
        <v>4.7619047619047616E-2</v>
      </c>
    </row>
    <row r="16" spans="1:15">
      <c r="A16" s="140"/>
      <c r="J16" s="182">
        <f t="shared" si="1"/>
        <v>803</v>
      </c>
      <c r="K16" s="182">
        <f t="shared" si="2"/>
        <v>616</v>
      </c>
      <c r="L16" s="182">
        <f t="shared" si="3"/>
        <v>759</v>
      </c>
      <c r="M16" s="183">
        <f t="shared" si="4"/>
        <v>582</v>
      </c>
      <c r="N16" s="184">
        <f t="shared" si="6"/>
        <v>5.7971014492753624E-2</v>
      </c>
      <c r="O16" s="184">
        <f t="shared" si="5"/>
        <v>5.8419243986254296E-2</v>
      </c>
    </row>
    <row r="17" spans="1:6">
      <c r="A17" s="140"/>
    </row>
    <row r="18" spans="1:6" ht="51">
      <c r="A18" s="102"/>
      <c r="B18" s="102" t="s">
        <v>72</v>
      </c>
      <c r="C18" s="89" t="s">
        <v>74</v>
      </c>
      <c r="D18" s="90" t="s">
        <v>55</v>
      </c>
      <c r="E18" s="90" t="s">
        <v>56</v>
      </c>
      <c r="F18" s="90" t="s">
        <v>57</v>
      </c>
    </row>
    <row r="19" spans="1:6">
      <c r="A19" s="91" t="s">
        <v>58</v>
      </c>
      <c r="B19" s="103">
        <f>Detail!$J$42</f>
        <v>47966.362500000003</v>
      </c>
      <c r="C19" s="92">
        <f>ROUNDDOWN((B19*$E$6/1000),0)</f>
        <v>72</v>
      </c>
      <c r="D19" s="93">
        <v>42262</v>
      </c>
      <c r="E19" s="93">
        <v>42368</v>
      </c>
      <c r="F19" s="27">
        <f>E19-D19</f>
        <v>106</v>
      </c>
    </row>
    <row r="20" spans="1:6">
      <c r="A20" s="83">
        <v>2020</v>
      </c>
      <c r="B20" s="103">
        <f>Detail!$J$43</f>
        <v>181212.20699999999</v>
      </c>
      <c r="C20" s="92">
        <f t="shared" ref="C20:C22" si="7">ROUNDDOWN((B20*$E$6/1000),0)</f>
        <v>272</v>
      </c>
      <c r="D20" s="94">
        <v>42369</v>
      </c>
      <c r="E20" s="94">
        <v>42734</v>
      </c>
      <c r="F20" s="27">
        <f>E20-D20</f>
        <v>365</v>
      </c>
    </row>
    <row r="21" spans="1:6">
      <c r="A21" s="83">
        <v>2021</v>
      </c>
      <c r="B21" s="103">
        <f>Detail!$J$44</f>
        <v>166896.47199999998</v>
      </c>
      <c r="C21" s="92">
        <f t="shared" si="7"/>
        <v>250</v>
      </c>
      <c r="D21" s="94">
        <v>42735</v>
      </c>
      <c r="E21" s="94">
        <v>43099</v>
      </c>
      <c r="F21" s="27">
        <f>E21-D21</f>
        <v>364</v>
      </c>
    </row>
    <row r="22" spans="1:6">
      <c r="A22" s="83" t="s">
        <v>59</v>
      </c>
      <c r="B22" s="103">
        <f>Detail!$J$45</f>
        <v>14881.958857142858</v>
      </c>
      <c r="C22" s="92">
        <f t="shared" si="7"/>
        <v>22</v>
      </c>
      <c r="D22" s="94">
        <v>43100</v>
      </c>
      <c r="E22" s="94">
        <v>43131</v>
      </c>
      <c r="F22" s="27">
        <f>E22-D22</f>
        <v>31</v>
      </c>
    </row>
    <row r="23" spans="1:6">
      <c r="A23" s="139" t="s">
        <v>60</v>
      </c>
      <c r="B23" s="103">
        <f>Detail!$J$46</f>
        <v>410957.00035714277</v>
      </c>
      <c r="C23" s="145">
        <f>SUM(C19:C22)</f>
        <v>616</v>
      </c>
      <c r="F23" s="95">
        <f>SUM(F19:F22)</f>
        <v>866</v>
      </c>
    </row>
    <row r="25" spans="1:6" ht="51">
      <c r="A25" s="102"/>
      <c r="B25" s="102" t="s">
        <v>103</v>
      </c>
      <c r="C25" s="102" t="s">
        <v>104</v>
      </c>
    </row>
    <row r="26" spans="1:6">
      <c r="A26" s="91" t="s">
        <v>58</v>
      </c>
      <c r="B26" s="103">
        <f>Detail!N42</f>
        <v>47842.191780821915</v>
      </c>
      <c r="C26" s="92">
        <f>ROUNDDOWN((B26*$B$6/1000),0)</f>
        <v>93</v>
      </c>
    </row>
    <row r="27" spans="1:6">
      <c r="A27" s="83">
        <v>2020</v>
      </c>
      <c r="B27" s="103">
        <f>Detail!N43</f>
        <v>163200</v>
      </c>
      <c r="C27" s="92">
        <f t="shared" ref="C27:C29" si="8">ROUNDDOWN((B27*$B$6/1000),0)</f>
        <v>319</v>
      </c>
    </row>
    <row r="28" spans="1:6">
      <c r="A28" s="83">
        <v>2021</v>
      </c>
      <c r="B28" s="103">
        <f>Detail!N44</f>
        <v>163200</v>
      </c>
      <c r="C28" s="92">
        <f t="shared" si="8"/>
        <v>319</v>
      </c>
    </row>
    <row r="29" spans="1:6">
      <c r="A29" s="83" t="s">
        <v>59</v>
      </c>
      <c r="B29" s="103">
        <f>Detail!N45</f>
        <v>14307.945205479453</v>
      </c>
      <c r="C29" s="92">
        <f t="shared" si="8"/>
        <v>28</v>
      </c>
    </row>
    <row r="30" spans="1:6">
      <c r="A30" s="139" t="s">
        <v>60</v>
      </c>
      <c r="B30" s="103">
        <f>Detail!N46</f>
        <v>388550.13698630134</v>
      </c>
      <c r="C30" s="92">
        <f>SUM(C26:C29)</f>
        <v>759</v>
      </c>
    </row>
    <row r="33" spans="1:3" ht="51">
      <c r="A33" s="102"/>
      <c r="B33" s="102" t="s">
        <v>103</v>
      </c>
      <c r="C33" s="102" t="s">
        <v>105</v>
      </c>
    </row>
    <row r="34" spans="1:3">
      <c r="A34" s="91" t="s">
        <v>58</v>
      </c>
      <c r="B34" s="103">
        <v>47842.191780821915</v>
      </c>
      <c r="C34" s="92">
        <f>ROUNDDOWN((B34*$E$6/1000),0)</f>
        <v>71</v>
      </c>
    </row>
    <row r="35" spans="1:3">
      <c r="A35" s="83">
        <v>2020</v>
      </c>
      <c r="B35" s="103">
        <v>163200</v>
      </c>
      <c r="C35" s="92">
        <f t="shared" ref="C35:C37" si="9">ROUNDDOWN((B35*$E$6/1000),0)</f>
        <v>245</v>
      </c>
    </row>
    <row r="36" spans="1:3">
      <c r="A36" s="83">
        <v>2021</v>
      </c>
      <c r="B36" s="103">
        <v>163200</v>
      </c>
      <c r="C36" s="92">
        <f t="shared" si="9"/>
        <v>245</v>
      </c>
    </row>
    <row r="37" spans="1:3">
      <c r="A37" s="83" t="s">
        <v>59</v>
      </c>
      <c r="B37" s="103">
        <v>14307.945205479453</v>
      </c>
      <c r="C37" s="92">
        <f t="shared" si="9"/>
        <v>21</v>
      </c>
    </row>
    <row r="38" spans="1:3">
      <c r="A38" s="139" t="s">
        <v>60</v>
      </c>
      <c r="B38" s="103">
        <v>388550.13698630134</v>
      </c>
      <c r="C38" s="92">
        <f>SUM(C34:C37)</f>
        <v>582</v>
      </c>
    </row>
  </sheetData>
  <mergeCells count="9">
    <mergeCell ref="J10:K10"/>
    <mergeCell ref="L10:M10"/>
    <mergeCell ref="N10:N11"/>
    <mergeCell ref="O10:O11"/>
    <mergeCell ref="A1:E1"/>
    <mergeCell ref="A2:E2"/>
    <mergeCell ref="A3:F3"/>
    <mergeCell ref="G4:H4"/>
    <mergeCell ref="G5:H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28ED-132C-49A4-9827-C79EDACBC7A4}">
  <dimension ref="A1:G6"/>
  <sheetViews>
    <sheetView workbookViewId="0">
      <selection activeCell="D6" sqref="D6"/>
    </sheetView>
  </sheetViews>
  <sheetFormatPr defaultRowHeight="12.75"/>
  <cols>
    <col min="1" max="1" width="13.875" customWidth="1"/>
    <col min="2" max="4" width="11.125" customWidth="1"/>
    <col min="5" max="5" width="12.5" customWidth="1"/>
    <col min="6" max="6" width="10.125" customWidth="1"/>
    <col min="7" max="7" width="13.375" customWidth="1"/>
  </cols>
  <sheetData>
    <row r="1" spans="1:7" ht="61.9" customHeight="1">
      <c r="A1" s="69"/>
      <c r="B1" s="70" t="s">
        <v>42</v>
      </c>
      <c r="C1" s="70" t="s">
        <v>77</v>
      </c>
      <c r="D1" s="70" t="s">
        <v>78</v>
      </c>
      <c r="E1" s="70" t="s">
        <v>43</v>
      </c>
      <c r="F1" s="70" t="s">
        <v>44</v>
      </c>
      <c r="G1" s="71" t="s">
        <v>45</v>
      </c>
    </row>
    <row r="2" spans="1:7" ht="74.25" customHeight="1">
      <c r="A2" s="72" t="s">
        <v>46</v>
      </c>
      <c r="B2" s="74">
        <f>Detail!L42</f>
        <v>28252</v>
      </c>
      <c r="C2" s="74">
        <f>'SOX NOX'!C11</f>
        <v>93</v>
      </c>
      <c r="D2" s="74">
        <f>'SOX NOX'!C19</f>
        <v>72</v>
      </c>
      <c r="E2" s="73">
        <f>Detail!J42</f>
        <v>47966.362500000003</v>
      </c>
      <c r="F2" s="75">
        <v>10</v>
      </c>
      <c r="G2" s="76" t="s">
        <v>47</v>
      </c>
    </row>
    <row r="3" spans="1:7" ht="33.6" customHeight="1">
      <c r="A3" s="72">
        <v>2020</v>
      </c>
      <c r="B3" s="74">
        <f>Detail!L43</f>
        <v>106733</v>
      </c>
      <c r="C3" s="74">
        <f>'SOX NOX'!C12</f>
        <v>355</v>
      </c>
      <c r="D3" s="74">
        <f>'SOX NOX'!C20</f>
        <v>272</v>
      </c>
      <c r="E3" s="73">
        <f>Detail!J43</f>
        <v>181212.20699999999</v>
      </c>
      <c r="F3" s="75">
        <v>10</v>
      </c>
      <c r="G3" s="76" t="s">
        <v>47</v>
      </c>
    </row>
    <row r="4" spans="1:7" ht="33.6" customHeight="1">
      <c r="A4" s="72">
        <v>2021</v>
      </c>
      <c r="B4" s="74">
        <f>Detail!L44</f>
        <v>98302</v>
      </c>
      <c r="C4" s="74">
        <f>'SOX NOX'!C13</f>
        <v>326</v>
      </c>
      <c r="D4" s="74">
        <f>'SOX NOX'!C21</f>
        <v>250</v>
      </c>
      <c r="E4" s="73">
        <f>Detail!J44</f>
        <v>166896.47199999998</v>
      </c>
      <c r="F4" s="75">
        <v>10</v>
      </c>
      <c r="G4" s="76" t="s">
        <v>47</v>
      </c>
    </row>
    <row r="5" spans="1:7" ht="52.5" customHeight="1">
      <c r="A5" s="72" t="s">
        <v>48</v>
      </c>
      <c r="B5" s="74">
        <f>Detail!L45</f>
        <v>8765</v>
      </c>
      <c r="C5" s="74">
        <f>'SOX NOX'!C14</f>
        <v>29</v>
      </c>
      <c r="D5" s="74">
        <f>'SOX NOX'!C22</f>
        <v>22</v>
      </c>
      <c r="E5" s="73">
        <f>Detail!J45</f>
        <v>14881.958857142858</v>
      </c>
      <c r="F5" s="75">
        <v>10</v>
      </c>
      <c r="G5" s="76" t="s">
        <v>47</v>
      </c>
    </row>
    <row r="6" spans="1:7" ht="33.6" customHeight="1" thickBot="1">
      <c r="A6" s="77" t="s">
        <v>20</v>
      </c>
      <c r="B6" s="79">
        <f>Detail!L46</f>
        <v>242052</v>
      </c>
      <c r="C6" s="79">
        <f>'SOX NOX'!C15</f>
        <v>803</v>
      </c>
      <c r="D6" s="79">
        <f>'SOX NOX'!C23</f>
        <v>616</v>
      </c>
      <c r="E6" s="78">
        <f>Detail!J46</f>
        <v>410957.00035714277</v>
      </c>
      <c r="F6" s="80">
        <v>10</v>
      </c>
      <c r="G6" s="13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</vt:lpstr>
      <vt:lpstr>SOX NOX</vt:lpstr>
      <vt:lpstr>Vintages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Pioneer Carbon</dc:creator>
  <cp:lastModifiedBy>Dell</cp:lastModifiedBy>
  <cp:lastPrinted>2010-03-31T07:56:50Z</cp:lastPrinted>
  <dcterms:created xsi:type="dcterms:W3CDTF">2008-02-05T09:57:55Z</dcterms:created>
  <dcterms:modified xsi:type="dcterms:W3CDTF">2024-12-04T12:33:07Z</dcterms:modified>
</cp:coreProperties>
</file>