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626"/>
  <workbookPr/>
  <mc:AlternateContent xmlns:mc="http://schemas.openxmlformats.org/markup-compatibility/2006">
    <mc:Choice Requires="x15">
      <x15ac:absPath xmlns:x15ac="http://schemas.microsoft.com/office/spreadsheetml/2010/11/ac" url="C:\Users\Dinesh\Desktop\Dinesh\1. Dinesh Projects\1. Completed Projects\Cataloluk GS RCP\GS 3rd round comments_14.08.2023\PP response_21.08\"/>
    </mc:Choice>
  </mc:AlternateContent>
  <xr:revisionPtr revIDLastSave="0" documentId="13_ncr:1_{4CE92537-51E2-4E3F-899F-649A5524E03E}" xr6:coauthVersionLast="47" xr6:coauthVersionMax="47" xr10:uidLastSave="{00000000-0000-0000-0000-000000000000}"/>
  <bookViews>
    <workbookView xWindow="-110" yWindow="-110" windowWidth="19420" windowHeight="10300" xr2:uid="{00000000-000D-0000-FFFF-FFFF00000000}"/>
  </bookViews>
  <sheets>
    <sheet name="ER" sheetId="1" r:id="rId1"/>
    <sheet name="Power Density" sheetId="2" r:id="rId2"/>
    <sheet name="NG" sheetId="3" r:id="rId3"/>
    <sheet name="NOx-SOx" sheetId="4" r:id="rId4"/>
  </sheets>
  <externalReferences>
    <externalReference r:id="rId5"/>
  </externalReferences>
  <definedNames>
    <definedName name="ectract?">#REF!</definedName>
    <definedName name="_xlnm.Extract">#REF!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39" i="3" l="1"/>
  <c r="H32" i="3"/>
  <c r="H42" i="3" s="1"/>
  <c r="H26" i="3"/>
  <c r="H19" i="3"/>
  <c r="H35" i="4"/>
  <c r="H28" i="4"/>
  <c r="H38" i="4" s="1"/>
  <c r="H22" i="4"/>
  <c r="H15" i="4"/>
  <c r="C24" i="4"/>
  <c r="C23" i="4" s="1"/>
  <c r="H25" i="4" l="1"/>
  <c r="H29" i="3"/>
  <c r="T3" i="1" l="1"/>
  <c r="P10" i="1"/>
  <c r="L10" i="1" s="1"/>
  <c r="P3" i="1"/>
  <c r="L3" i="1" s="1"/>
  <c r="P13" i="1" l="1"/>
  <c r="D7" i="4" l="1"/>
  <c r="D6" i="4"/>
  <c r="D5" i="4"/>
  <c r="B6" i="3"/>
  <c r="B7" i="3" s="1"/>
  <c r="B13" i="3" s="1"/>
  <c r="B24" i="3" l="1"/>
  <c r="D24" i="3" s="1"/>
  <c r="B25" i="3"/>
  <c r="D25" i="3" s="1"/>
  <c r="B20" i="3"/>
  <c r="D20" i="3" s="1"/>
  <c r="B21" i="3"/>
  <c r="D21" i="3" s="1"/>
  <c r="B23" i="3"/>
  <c r="D23" i="3" s="1"/>
  <c r="B22" i="3"/>
  <c r="D22" i="3" s="1"/>
  <c r="B19" i="3"/>
  <c r="B26" i="3"/>
  <c r="D26" i="3" s="1"/>
  <c r="D9" i="4"/>
  <c r="D8" i="4"/>
  <c r="B18" i="4"/>
  <c r="D18" i="4" s="1"/>
  <c r="B19" i="4"/>
  <c r="D19" i="4" s="1"/>
  <c r="B22" i="4"/>
  <c r="D22" i="4" s="1"/>
  <c r="B20" i="4"/>
  <c r="D20" i="4" s="1"/>
  <c r="B16" i="4"/>
  <c r="D16" i="4" s="1"/>
  <c r="B17" i="4"/>
  <c r="D17" i="4" s="1"/>
  <c r="B21" i="4"/>
  <c r="D21" i="4" s="1"/>
  <c r="B15" i="4"/>
  <c r="B8" i="3"/>
  <c r="B28" i="3" l="1"/>
  <c r="D19" i="3"/>
  <c r="B9" i="3"/>
  <c r="B14" i="3"/>
  <c r="B34" i="4"/>
  <c r="D34" i="4" s="1"/>
  <c r="B29" i="4"/>
  <c r="D29" i="4" s="1"/>
  <c r="B30" i="4"/>
  <c r="D30" i="4" s="1"/>
  <c r="B35" i="4"/>
  <c r="D35" i="4" s="1"/>
  <c r="B31" i="4"/>
  <c r="D31" i="4" s="1"/>
  <c r="B32" i="4"/>
  <c r="D32" i="4" s="1"/>
  <c r="B33" i="4"/>
  <c r="D33" i="4" s="1"/>
  <c r="B28" i="4"/>
  <c r="B24" i="4"/>
  <c r="D15" i="4"/>
  <c r="E32" i="1"/>
  <c r="L8" i="1"/>
  <c r="L9" i="1"/>
  <c r="B38" i="3" l="1"/>
  <c r="D38" i="3" s="1"/>
  <c r="B34" i="3"/>
  <c r="D34" i="3" s="1"/>
  <c r="B32" i="3"/>
  <c r="B35" i="3"/>
  <c r="D35" i="3" s="1"/>
  <c r="B37" i="3"/>
  <c r="D37" i="3" s="1"/>
  <c r="B36" i="3"/>
  <c r="D36" i="3" s="1"/>
  <c r="B33" i="3"/>
  <c r="D33" i="3" s="1"/>
  <c r="B39" i="3"/>
  <c r="D39" i="3" s="1"/>
  <c r="B37" i="4"/>
  <c r="D28" i="4"/>
  <c r="B27" i="3"/>
  <c r="D27" i="3" s="1"/>
  <c r="D28" i="3"/>
  <c r="B23" i="4"/>
  <c r="D23" i="4" s="1"/>
  <c r="D24" i="4"/>
  <c r="I4" i="1"/>
  <c r="I5" i="1"/>
  <c r="I6" i="1"/>
  <c r="I7" i="1"/>
  <c r="I8" i="1"/>
  <c r="I9" i="1"/>
  <c r="I10" i="1"/>
  <c r="L4" i="1"/>
  <c r="L5" i="1"/>
  <c r="L6" i="1"/>
  <c r="L7" i="1"/>
  <c r="C3" i="2"/>
  <c r="B41" i="3" l="1"/>
  <c r="D32" i="3"/>
  <c r="L12" i="1"/>
  <c r="L11" i="1" s="1"/>
  <c r="B36" i="4"/>
  <c r="D36" i="4" s="1"/>
  <c r="D37" i="4"/>
  <c r="C8" i="1"/>
  <c r="C6" i="1" s="1"/>
  <c r="I12" i="1"/>
  <c r="I3" i="1"/>
  <c r="H10" i="1" l="1"/>
  <c r="H3" i="1"/>
  <c r="B40" i="3"/>
  <c r="D40" i="3" s="1"/>
  <c r="D41" i="3"/>
  <c r="J10" i="1"/>
  <c r="H8" i="1"/>
  <c r="J8" i="1" s="1"/>
  <c r="H9" i="1"/>
  <c r="J9" i="1" s="1"/>
  <c r="H7" i="1"/>
  <c r="J7" i="1" s="1"/>
  <c r="H6" i="1"/>
  <c r="J6" i="1" s="1"/>
  <c r="H5" i="1"/>
  <c r="J5" i="1" s="1"/>
  <c r="H4" i="1"/>
  <c r="J4" i="1" s="1"/>
  <c r="C5" i="1"/>
  <c r="C4" i="1" s="1"/>
  <c r="S6" i="1" s="1"/>
  <c r="H13" i="1" l="1"/>
  <c r="H12" i="1" s="1"/>
  <c r="J3" i="1"/>
  <c r="J13" i="1" s="1"/>
  <c r="J12" i="1" s="1"/>
  <c r="S7" i="1" l="1"/>
</calcChain>
</file>

<file path=xl/sharedStrings.xml><?xml version="1.0" encoding="utf-8"?>
<sst xmlns="http://schemas.openxmlformats.org/spreadsheetml/2006/main" count="218" uniqueCount="153">
  <si>
    <r>
      <t>ER</t>
    </r>
    <r>
      <rPr>
        <vertAlign val="subscript"/>
        <sz val="18"/>
        <color theme="1"/>
        <rFont val="Calibri"/>
        <family val="2"/>
        <charset val="162"/>
        <scheme val="minor"/>
      </rPr>
      <t>y</t>
    </r>
    <r>
      <rPr>
        <sz val="18"/>
        <color theme="1"/>
        <rFont val="Calibri"/>
        <family val="2"/>
        <charset val="162"/>
        <scheme val="minor"/>
      </rPr>
      <t xml:space="preserve"> = BE</t>
    </r>
    <r>
      <rPr>
        <vertAlign val="subscript"/>
        <sz val="18"/>
        <color theme="1"/>
        <rFont val="Calibri"/>
        <family val="2"/>
        <charset val="162"/>
        <scheme val="minor"/>
      </rPr>
      <t>y</t>
    </r>
    <r>
      <rPr>
        <sz val="18"/>
        <color theme="1"/>
        <rFont val="Calibri"/>
        <family val="2"/>
        <charset val="162"/>
        <scheme val="minor"/>
      </rPr>
      <t xml:space="preserve"> - PE</t>
    </r>
    <r>
      <rPr>
        <vertAlign val="subscript"/>
        <sz val="18"/>
        <color theme="1"/>
        <rFont val="Calibri"/>
        <family val="2"/>
        <charset val="162"/>
        <scheme val="minor"/>
      </rPr>
      <t>y</t>
    </r>
  </si>
  <si>
    <t>Years</t>
  </si>
  <si>
    <t>Description</t>
  </si>
  <si>
    <t>Value</t>
  </si>
  <si>
    <t>Unit</t>
  </si>
  <si>
    <t>Reference</t>
  </si>
  <si>
    <r>
      <t>ER</t>
    </r>
    <r>
      <rPr>
        <vertAlign val="subscript"/>
        <sz val="11"/>
        <color theme="1"/>
        <rFont val="Calibri"/>
        <family val="2"/>
        <charset val="162"/>
        <scheme val="minor"/>
      </rPr>
      <t>y</t>
    </r>
  </si>
  <si>
    <t>Emission Reductions in year y</t>
  </si>
  <si>
    <t>tCO2e/yr</t>
  </si>
  <si>
    <r>
      <t>BE</t>
    </r>
    <r>
      <rPr>
        <vertAlign val="subscript"/>
        <sz val="11"/>
        <color theme="1"/>
        <rFont val="Calibri"/>
        <family val="2"/>
        <charset val="162"/>
        <scheme val="minor"/>
      </rPr>
      <t>y</t>
    </r>
  </si>
  <si>
    <t xml:space="preserve">Baseline Emissions in year y </t>
  </si>
  <si>
    <r>
      <t>EG</t>
    </r>
    <r>
      <rPr>
        <vertAlign val="subscript"/>
        <sz val="11"/>
        <color theme="1"/>
        <rFont val="Calibri"/>
        <family val="2"/>
        <charset val="162"/>
        <scheme val="minor"/>
      </rPr>
      <t>facility,y</t>
    </r>
  </si>
  <si>
    <t xml:space="preserve">Quantity of net electricity generation supplied by the project plant/unit to the grid in year y </t>
  </si>
  <si>
    <t>MWh/yr</t>
  </si>
  <si>
    <r>
      <t>EF</t>
    </r>
    <r>
      <rPr>
        <vertAlign val="subscript"/>
        <sz val="11"/>
        <color theme="1"/>
        <rFont val="Calibri"/>
        <family val="2"/>
        <charset val="162"/>
        <scheme val="minor"/>
      </rPr>
      <t>grid,CM,y</t>
    </r>
  </si>
  <si>
    <t xml:space="preserve">Combined margin CO2 emission factor for grid connected power generation in year y calculated using the latest version of the “Tool to calculate the emission factor for an electricity system” </t>
  </si>
  <si>
    <t>t CO2/MWh</t>
  </si>
  <si>
    <r>
      <t>PE</t>
    </r>
    <r>
      <rPr>
        <vertAlign val="subscript"/>
        <sz val="18"/>
        <color theme="1"/>
        <rFont val="Calibri"/>
        <family val="2"/>
        <charset val="162"/>
        <scheme val="minor"/>
      </rPr>
      <t>y</t>
    </r>
  </si>
  <si>
    <r>
      <t>PE</t>
    </r>
    <r>
      <rPr>
        <vertAlign val="subscript"/>
        <sz val="11"/>
        <color theme="1"/>
        <rFont val="Calibri"/>
        <family val="2"/>
        <charset val="162"/>
        <scheme val="minor"/>
      </rPr>
      <t>y</t>
    </r>
  </si>
  <si>
    <t xml:space="preserve">Project Emissions in year y </t>
  </si>
  <si>
    <r>
      <t>BE</t>
    </r>
    <r>
      <rPr>
        <vertAlign val="subscript"/>
        <sz val="18"/>
        <color theme="1"/>
        <rFont val="Calibri"/>
        <family val="2"/>
        <charset val="162"/>
        <scheme val="minor"/>
      </rPr>
      <t>y</t>
    </r>
    <r>
      <rPr>
        <sz val="18"/>
        <color theme="1"/>
        <rFont val="Calibri"/>
        <family val="2"/>
        <charset val="162"/>
        <scheme val="minor"/>
      </rPr>
      <t xml:space="preserve"> = EG</t>
    </r>
    <r>
      <rPr>
        <vertAlign val="subscript"/>
        <sz val="18"/>
        <color theme="1"/>
        <rFont val="Calibri"/>
        <family val="2"/>
        <charset val="162"/>
        <scheme val="minor"/>
      </rPr>
      <t>facility,y</t>
    </r>
    <r>
      <rPr>
        <sz val="18"/>
        <color theme="1"/>
        <rFont val="Calibri"/>
        <family val="2"/>
        <charset val="162"/>
        <scheme val="minor"/>
      </rPr>
      <t xml:space="preserve"> x EF</t>
    </r>
    <r>
      <rPr>
        <vertAlign val="subscript"/>
        <sz val="18"/>
        <color theme="1"/>
        <rFont val="Calibri"/>
        <family val="2"/>
        <charset val="162"/>
        <scheme val="minor"/>
      </rPr>
      <t>grid,CM,y</t>
    </r>
  </si>
  <si>
    <t>TOTAL CREDITING PERIOD</t>
  </si>
  <si>
    <t>TOTAL</t>
  </si>
  <si>
    <r>
      <t>Estimation of baseline emissions in tons of CO</t>
    </r>
    <r>
      <rPr>
        <b/>
        <vertAlign val="subscript"/>
        <sz val="11"/>
        <rFont val="Calibri"/>
        <family val="2"/>
        <charset val="162"/>
        <scheme val="minor"/>
      </rPr>
      <t>2</t>
    </r>
    <r>
      <rPr>
        <b/>
        <sz val="11"/>
        <rFont val="Calibri"/>
        <family val="2"/>
        <charset val="162"/>
        <scheme val="minor"/>
      </rPr>
      <t>e</t>
    </r>
  </si>
  <si>
    <r>
      <t>Estimation of project emissions in tons of CO</t>
    </r>
    <r>
      <rPr>
        <b/>
        <vertAlign val="subscript"/>
        <sz val="11"/>
        <rFont val="Calibri"/>
        <family val="2"/>
        <charset val="162"/>
        <scheme val="minor"/>
      </rPr>
      <t>2</t>
    </r>
    <r>
      <rPr>
        <b/>
        <sz val="11"/>
        <rFont val="Calibri"/>
        <family val="2"/>
        <charset val="162"/>
        <scheme val="minor"/>
      </rPr>
      <t>e</t>
    </r>
  </si>
  <si>
    <r>
      <t>Estimation emission reductions in tons of CO</t>
    </r>
    <r>
      <rPr>
        <b/>
        <vertAlign val="subscript"/>
        <sz val="11"/>
        <rFont val="Calibri"/>
        <family val="2"/>
        <charset val="162"/>
        <scheme val="minor"/>
      </rPr>
      <t>2</t>
    </r>
    <r>
      <rPr>
        <b/>
        <sz val="11"/>
        <rFont val="Calibri"/>
        <family val="2"/>
        <charset val="162"/>
        <scheme val="minor"/>
      </rPr>
      <t>e</t>
    </r>
  </si>
  <si>
    <t>ANNUAL AVERAGE</t>
  </si>
  <si>
    <t>Weighting factor</t>
  </si>
  <si>
    <r>
      <t>W</t>
    </r>
    <r>
      <rPr>
        <b/>
        <vertAlign val="subscript"/>
        <sz val="10"/>
        <color indexed="9"/>
        <rFont val="Calibri"/>
        <family val="2"/>
      </rPr>
      <t>OM</t>
    </r>
  </si>
  <si>
    <r>
      <t>W</t>
    </r>
    <r>
      <rPr>
        <b/>
        <vertAlign val="subscript"/>
        <sz val="10"/>
        <color indexed="9"/>
        <rFont val="Calibri"/>
        <family val="2"/>
      </rPr>
      <t>BM</t>
    </r>
  </si>
  <si>
    <t xml:space="preserve">For solar, wind  Projects </t>
  </si>
  <si>
    <r>
      <t>All other Projects; 1</t>
    </r>
    <r>
      <rPr>
        <vertAlign val="superscript"/>
        <sz val="10"/>
        <color indexed="8"/>
        <rFont val="Calibri"/>
        <family val="2"/>
      </rPr>
      <t>st</t>
    </r>
    <r>
      <rPr>
        <sz val="10"/>
        <color indexed="8"/>
        <rFont val="Calibri"/>
        <family val="2"/>
      </rPr>
      <t xml:space="preserve"> crediting period</t>
    </r>
  </si>
  <si>
    <r>
      <t xml:space="preserve">                             2</t>
    </r>
    <r>
      <rPr>
        <vertAlign val="superscript"/>
        <sz val="10"/>
        <color indexed="8"/>
        <rFont val="Calibri"/>
        <family val="2"/>
      </rPr>
      <t>nd</t>
    </r>
    <r>
      <rPr>
        <sz val="10"/>
        <color indexed="8"/>
        <rFont val="Calibri"/>
        <family val="2"/>
      </rPr>
      <t xml:space="preserve"> - 3</t>
    </r>
    <r>
      <rPr>
        <vertAlign val="superscript"/>
        <sz val="10"/>
        <color indexed="8"/>
        <rFont val="Calibri"/>
        <family val="2"/>
      </rPr>
      <t>rd</t>
    </r>
    <r>
      <rPr>
        <sz val="10"/>
        <color indexed="8"/>
        <rFont val="Calibri"/>
        <family val="2"/>
      </rPr>
      <t xml:space="preserve"> crediting period</t>
    </r>
  </si>
  <si>
    <t>OM</t>
  </si>
  <si>
    <t>BM</t>
  </si>
  <si>
    <t>CM</t>
  </si>
  <si>
    <t>tCO2/MWh</t>
  </si>
  <si>
    <t>Parameter</t>
  </si>
  <si>
    <t>Description &amp; Unit</t>
  </si>
  <si>
    <t>PD=</t>
  </si>
  <si>
    <t>Power density of the project activity (W/m2)</t>
  </si>
  <si>
    <t>CapPJ=</t>
  </si>
  <si>
    <t xml:space="preserve">Installed capacity of the hydro power plant after the implementation of the project activity (W) </t>
  </si>
  <si>
    <t>CapBL=</t>
  </si>
  <si>
    <t>Installed capacity of the hydro power plant before the implementation of the project activity (W). For new hydro power plants, this value is zero</t>
  </si>
  <si>
    <t>APJ=</t>
  </si>
  <si>
    <t>Area of the reservoir measured in the surface of the water, after the implementation of the project activity, when the reservoir is full (m2)</t>
  </si>
  <si>
    <t>ABL=</t>
  </si>
  <si>
    <t xml:space="preserve">Area of the reservoir measured in the surface of the water, before the implementation of the project activity, when the reservoir is full (m2).  For new reservoirs, this value is zero. </t>
  </si>
  <si>
    <t>The proposed project activity involves the generation of electricity which does not cause any significant emissions. Therefore project emissions are considered as “0”.</t>
  </si>
  <si>
    <t>Estimation of electricity generation</t>
  </si>
  <si>
    <t>Operational and build margin values were taken from the Ministry of Energy and Natural Resources 2019 calculations(most recent value). CM has been calculated according to the weighing factors stated in the methodology.</t>
  </si>
  <si>
    <t>7 years</t>
  </si>
  <si>
    <t>https://enerji.gov.tr/Media/Dizin/EVCED/tr/%C3%87evreVe%C4%B0klim/%C4%B0klimDe%C4%9Fi%C5%9Fikli%C4%9Fi/T%C3%BCrkiyeUlusalElektrik%C5%9EebekesiEmisyonFakt%C3%B6r%C3%BC/Belgeler/EK-2.pdf</t>
  </si>
  <si>
    <t>Indicator: Access to investment</t>
  </si>
  <si>
    <t>Source</t>
  </si>
  <si>
    <t>NG consumption in 2020</t>
  </si>
  <si>
    <t>1000 m3</t>
  </si>
  <si>
    <t>https://www.teias.gov.tr/tr-TR/turkiye-elektrik-uretim-iletim-istatistikleri</t>
  </si>
  <si>
    <t>References\38-Grafik III.I - 2020 Yılı Türkiye Elektrik Enerjisi Üretiminin Kaynaklara Göre Dağılımı.docx</t>
  </si>
  <si>
    <t>Generation in 2020</t>
  </si>
  <si>
    <t>GWh</t>
  </si>
  <si>
    <t xml:space="preserve">https://www.teias.gov.tr/tr-TR/turkiye-elektrik-uretim-iletim-istatistikleri </t>
  </si>
  <si>
    <t>NG Price</t>
  </si>
  <si>
    <t>TRY/Sm3*</t>
  </si>
  <si>
    <t>https://portal.enerya.com.tr/DogalGazBirimFiyatlari/index.xhtml?city=07</t>
  </si>
  <si>
    <t>Electricity Generated in Cerit WPP</t>
  </si>
  <si>
    <t>Corresponding NG Saving</t>
  </si>
  <si>
    <t>Corresponding Saving in TL</t>
  </si>
  <si>
    <t>TL</t>
  </si>
  <si>
    <t>Corresponding Saving in €</t>
  </si>
  <si>
    <t>EUR</t>
  </si>
  <si>
    <t xml:space="preserve">Average Exchange Rate </t>
  </si>
  <si>
    <t>€/TRY**</t>
  </si>
  <si>
    <t>For 2021-2022 (most available data)</t>
  </si>
  <si>
    <t>https://evds2.tcmb.gov.tr/index.php?/evds/serieMarket/#collapse_2</t>
  </si>
  <si>
    <t>Per annum</t>
  </si>
  <si>
    <t>Indicator : Air Quality</t>
  </si>
  <si>
    <t>SO2 Emission (2020)</t>
  </si>
  <si>
    <t>Gg</t>
  </si>
  <si>
    <t>NOx Emission (2020)</t>
  </si>
  <si>
    <t>National Electricity Generation 2020</t>
  </si>
  <si>
    <t>SO2 EF</t>
  </si>
  <si>
    <t>kg/MWh</t>
  </si>
  <si>
    <t>NOx EF</t>
  </si>
  <si>
    <t>Net Electricity Production (MWh)</t>
  </si>
  <si>
    <t>MWh</t>
  </si>
  <si>
    <t>tons</t>
  </si>
  <si>
    <t xml:space="preserve">Annual Estimated NOx reduction </t>
  </si>
  <si>
    <t>..\References\turkey-s-irr-2021_tr_20211101034946.pdf</t>
  </si>
  <si>
    <t>https://webdosya.csb.gov.tr/db/cygm/menu/turkey-s-irr-2021_tr_20211101034946.pdf</t>
  </si>
  <si>
    <t>..\References\38-Grafik III.I - 2020 Yılı Türkiye Elektrik Enerjisi Üretiminin Kaynaklara Göre Dağılımı.docx</t>
  </si>
  <si>
    <t>KAYNAK</t>
  </si>
  <si>
    <t>ÜRETİM (GWh)</t>
  </si>
  <si>
    <t>KATKISI (%)</t>
  </si>
  <si>
    <t>İthal Kömür</t>
  </si>
  <si>
    <t>62.505,6</t>
  </si>
  <si>
    <t>20,38</t>
  </si>
  <si>
    <t>Taşkömürü + Asfaltit</t>
  </si>
  <si>
    <t>5.368,1</t>
  </si>
  <si>
    <t>1,75</t>
  </si>
  <si>
    <t>Linyit</t>
  </si>
  <si>
    <t>37.938,4</t>
  </si>
  <si>
    <t>12,37</t>
  </si>
  <si>
    <t>Doğal Gaz</t>
  </si>
  <si>
    <t>70.931,3</t>
  </si>
  <si>
    <t>23,13</t>
  </si>
  <si>
    <t>Sıvı Yakıtlar</t>
  </si>
  <si>
    <t>322,7</t>
  </si>
  <si>
    <t>0,11</t>
  </si>
  <si>
    <t>Barajlı</t>
  </si>
  <si>
    <t>57.463,9</t>
  </si>
  <si>
    <t>18,74</t>
  </si>
  <si>
    <t>D.Göl ve Akarsu</t>
  </si>
  <si>
    <t>20.630,4</t>
  </si>
  <si>
    <t>6,73</t>
  </si>
  <si>
    <t>Rüzgar</t>
  </si>
  <si>
    <t>24.828,2</t>
  </si>
  <si>
    <t>8,10</t>
  </si>
  <si>
    <t>Yenilenebilir Atık+Atık Isı</t>
  </si>
  <si>
    <t>5.736,6</t>
  </si>
  <si>
    <t>1,87</t>
  </si>
  <si>
    <t>Jeotermal</t>
  </si>
  <si>
    <t>10.027,7</t>
  </si>
  <si>
    <t>3,27</t>
  </si>
  <si>
    <t>Güneş</t>
  </si>
  <si>
    <t>10.950,2</t>
  </si>
  <si>
    <t>3,57</t>
  </si>
  <si>
    <t>TOPLAM</t>
  </si>
  <si>
    <t>306.703,1</t>
  </si>
  <si>
    <t>100,00</t>
  </si>
  <si>
    <t>01/04/2017-01/01/2018 (275 Days)</t>
  </si>
  <si>
    <t>date 1</t>
  </si>
  <si>
    <t>date 2</t>
  </si>
  <si>
    <t>Total (number of days)</t>
  </si>
  <si>
    <t># number of days</t>
  </si>
  <si>
    <t xml:space="preserve">The GS VER credit that will be excluded from the 2nd crediting period </t>
  </si>
  <si>
    <t>GS VER will be left after not claimed credits</t>
  </si>
  <si>
    <t>B.6.4. Summary of ex ante estimates of emission reductions</t>
  </si>
  <si>
    <t>Annual Average</t>
  </si>
  <si>
    <t>Baseline estimate</t>
  </si>
  <si>
    <t>Project estimate</t>
  </si>
  <si>
    <t>Net benefit</t>
  </si>
  <si>
    <t xml:space="preserve">Annual Estimated SOx reduction </t>
  </si>
  <si>
    <t>NOX</t>
  </si>
  <si>
    <t>SOX</t>
  </si>
  <si>
    <r>
      <t>T</t>
    </r>
    <r>
      <rPr>
        <b/>
        <sz val="11"/>
        <color theme="1"/>
        <rFont val="Calibri"/>
        <family val="2"/>
        <charset val="162"/>
        <scheme val="minor"/>
      </rPr>
      <t>otal</t>
    </r>
  </si>
  <si>
    <t>Saving for Cost</t>
  </si>
  <si>
    <t>Saving for NG</t>
  </si>
  <si>
    <t xml:space="preserve">TL </t>
  </si>
  <si>
    <t>m3 NG</t>
  </si>
  <si>
    <t>01/01/2024-30/03/2024 (91 Days)</t>
  </si>
  <si>
    <t>Bform2020.pdf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</si>
</sst>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_-* #,##0.00_-;\-* #,##0.00_-;_-* &quot;-&quot;??_-;_-@_-"/>
    <numFmt numFmtId="165" formatCode="0.0000"/>
    <numFmt numFmtId="166" formatCode="_-* #,##0_-;\-* #,##0_-;_-* &quot;-&quot;??_-;_-@_-"/>
    <numFmt numFmtId="167" formatCode="_-* #,##0.00\ _T_L_-;\-* #,##0.00\ _T_L_-;_-* &quot;-&quot;??\ _T_L_-;_-@_-"/>
    <numFmt numFmtId="168" formatCode="_(* #,##0.0_);_(* \(#,##0.0\);_(* &quot;-&quot;??_);_(@_)"/>
    <numFmt numFmtId="169" formatCode="_(* #,##0.00_);_(* \(#,##0.00\);_(* &quot;-&quot;??_);_(@_)"/>
    <numFmt numFmtId="170" formatCode="_(* #,##0_);_(* \(#,##0\);_(* &quot;-&quot;??_);_(@_)"/>
  </numFmts>
  <fonts count="32" x14ac:knownFonts="1">
    <font>
      <sz val="11"/>
      <color theme="1"/>
      <name val="Calibri"/>
      <family val="2"/>
      <charset val="162"/>
      <scheme val="minor"/>
    </font>
    <font>
      <b/>
      <sz val="11"/>
      <color theme="1"/>
      <name val="Calibri"/>
      <family val="2"/>
      <charset val="162"/>
      <scheme val="minor"/>
    </font>
    <font>
      <sz val="18"/>
      <color theme="1"/>
      <name val="Calibri"/>
      <family val="2"/>
      <charset val="162"/>
      <scheme val="minor"/>
    </font>
    <font>
      <vertAlign val="subscript"/>
      <sz val="18"/>
      <color theme="1"/>
      <name val="Calibri"/>
      <family val="2"/>
      <charset val="162"/>
      <scheme val="minor"/>
    </font>
    <font>
      <b/>
      <sz val="11"/>
      <name val="Calibri"/>
      <family val="2"/>
      <charset val="162"/>
      <scheme val="minor"/>
    </font>
    <font>
      <vertAlign val="subscript"/>
      <sz val="11"/>
      <color theme="1"/>
      <name val="Calibri"/>
      <family val="2"/>
      <charset val="162"/>
      <scheme val="minor"/>
    </font>
    <font>
      <sz val="12"/>
      <name val="Calibri"/>
      <family val="2"/>
      <charset val="162"/>
      <scheme val="minor"/>
    </font>
    <font>
      <b/>
      <sz val="12"/>
      <name val="Calibri"/>
      <family val="2"/>
      <charset val="162"/>
      <scheme val="minor"/>
    </font>
    <font>
      <b/>
      <sz val="12"/>
      <color theme="1"/>
      <name val="Calibri"/>
      <family val="2"/>
      <charset val="162"/>
      <scheme val="minor"/>
    </font>
    <font>
      <b/>
      <vertAlign val="subscript"/>
      <sz val="11"/>
      <name val="Calibri"/>
      <family val="2"/>
      <charset val="162"/>
      <scheme val="minor"/>
    </font>
    <font>
      <u/>
      <sz val="11"/>
      <color theme="10"/>
      <name val="Calibri"/>
      <family val="2"/>
      <charset val="162"/>
      <scheme val="minor"/>
    </font>
    <font>
      <sz val="11"/>
      <color theme="1"/>
      <name val="Calibri"/>
      <family val="2"/>
      <charset val="162"/>
      <scheme val="minor"/>
    </font>
    <font>
      <b/>
      <sz val="10"/>
      <color theme="0"/>
      <name val="Calibri"/>
      <family val="2"/>
      <scheme val="minor"/>
    </font>
    <font>
      <sz val="10"/>
      <color theme="0"/>
      <name val="Calibri"/>
      <family val="2"/>
      <scheme val="minor"/>
    </font>
    <font>
      <b/>
      <vertAlign val="subscript"/>
      <sz val="10"/>
      <color indexed="9"/>
      <name val="Calibri"/>
      <family val="2"/>
    </font>
    <font>
      <sz val="10"/>
      <color theme="1"/>
      <name val="Calibri"/>
      <family val="2"/>
      <scheme val="minor"/>
    </font>
    <font>
      <vertAlign val="superscript"/>
      <sz val="10"/>
      <color indexed="8"/>
      <name val="Calibri"/>
      <family val="2"/>
    </font>
    <font>
      <sz val="10"/>
      <color indexed="8"/>
      <name val="Calibri"/>
      <family val="2"/>
    </font>
    <font>
      <sz val="10"/>
      <name val="Verdana"/>
    </font>
    <font>
      <b/>
      <sz val="10"/>
      <name val="Verdana"/>
      <family val="2"/>
      <charset val="162"/>
    </font>
    <font>
      <sz val="10"/>
      <name val="Verdana"/>
      <family val="2"/>
      <charset val="162"/>
    </font>
    <font>
      <u/>
      <sz val="10"/>
      <color indexed="12"/>
      <name val="Verdana"/>
      <family val="2"/>
      <charset val="162"/>
    </font>
    <font>
      <u/>
      <sz val="9"/>
      <color indexed="12"/>
      <name val="Verdana"/>
      <family val="2"/>
      <charset val="162"/>
    </font>
    <font>
      <b/>
      <sz val="11"/>
      <name val="Arial"/>
      <family val="2"/>
      <charset val="162"/>
    </font>
    <font>
      <sz val="11"/>
      <name val="Arial"/>
      <family val="2"/>
      <charset val="162"/>
    </font>
    <font>
      <b/>
      <sz val="12"/>
      <color rgb="FFFFFFFF"/>
      <name val="Times New Roman"/>
      <family val="1"/>
      <charset val="162"/>
    </font>
    <font>
      <b/>
      <sz val="12"/>
      <color rgb="FF000000"/>
      <name val="Times New Roman"/>
      <family val="1"/>
      <charset val="162"/>
    </font>
    <font>
      <b/>
      <sz val="12"/>
      <color theme="1"/>
      <name val="Times New Roman"/>
      <family val="1"/>
      <charset val="162"/>
    </font>
    <font>
      <sz val="12"/>
      <color rgb="FF000000"/>
      <name val="Times New Roman"/>
      <family val="1"/>
      <charset val="162"/>
    </font>
    <font>
      <sz val="12"/>
      <color theme="1"/>
      <name val="Times New Roman"/>
      <family val="1"/>
      <charset val="162"/>
    </font>
    <font>
      <sz val="12"/>
      <color theme="1"/>
      <name val="Calibri"/>
      <family val="2"/>
      <charset val="162"/>
      <scheme val="minor"/>
    </font>
    <font>
      <b/>
      <sz val="10"/>
      <name val="Verdana"/>
      <family val="2"/>
    </font>
  </fonts>
  <fills count="13">
    <fill>
      <patternFill patternType="none"/>
    </fill>
    <fill>
      <patternFill patternType="gray125"/>
    </fill>
    <fill>
      <patternFill patternType="solid">
        <fgColor indexed="53"/>
        <bgColor indexed="64"/>
      </patternFill>
    </fill>
    <fill>
      <patternFill patternType="solid">
        <fgColor theme="4" tint="-0.249977111117893"/>
        <bgColor indexed="64"/>
      </patternFill>
    </fill>
    <fill>
      <patternFill patternType="solid">
        <fgColor rgb="FFFFC000"/>
        <bgColor indexed="64"/>
      </patternFill>
    </fill>
    <fill>
      <patternFill patternType="solid">
        <fgColor rgb="FFFFFF00"/>
        <bgColor indexed="64"/>
      </patternFill>
    </fill>
    <fill>
      <patternFill patternType="solid">
        <fgColor rgb="FF92D050"/>
        <bgColor indexed="64"/>
      </patternFill>
    </fill>
    <fill>
      <patternFill patternType="solid">
        <fgColor rgb="FF4F81BD"/>
        <bgColor indexed="64"/>
      </patternFill>
    </fill>
    <fill>
      <patternFill patternType="solid">
        <fgColor rgb="FFDBE5F1"/>
        <bgColor indexed="64"/>
      </patternFill>
    </fill>
    <fill>
      <patternFill patternType="solid">
        <fgColor theme="7"/>
        <bgColor indexed="64"/>
      </patternFill>
    </fill>
    <fill>
      <patternFill patternType="solid">
        <fgColor theme="7" tint="0.79998168889431442"/>
        <bgColor indexed="64"/>
      </patternFill>
    </fill>
    <fill>
      <patternFill patternType="solid">
        <fgColor theme="4"/>
        <bgColor indexed="64"/>
      </patternFill>
    </fill>
    <fill>
      <patternFill patternType="solid">
        <fgColor theme="9"/>
        <bgColor indexed="64"/>
      </patternFill>
    </fill>
  </fills>
  <borders count="26">
    <border>
      <left/>
      <right/>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ck">
        <color auto="1"/>
      </left>
      <right/>
      <top style="thick">
        <color auto="1"/>
      </top>
      <bottom/>
      <diagonal/>
    </border>
    <border>
      <left/>
      <right/>
      <top style="thick">
        <color auto="1"/>
      </top>
      <bottom/>
      <diagonal/>
    </border>
    <border>
      <left/>
      <right style="thick">
        <color auto="1"/>
      </right>
      <top style="thick">
        <color auto="1"/>
      </top>
      <bottom/>
      <diagonal/>
    </border>
    <border>
      <left style="thick">
        <color auto="1"/>
      </left>
      <right/>
      <top/>
      <bottom style="thin">
        <color theme="4" tint="0.39991454817346722"/>
      </bottom>
      <diagonal/>
    </border>
    <border>
      <left/>
      <right/>
      <top/>
      <bottom style="thin">
        <color theme="4" tint="0.39991454817346722"/>
      </bottom>
      <diagonal/>
    </border>
    <border>
      <left/>
      <right style="thin">
        <color theme="4" tint="0.39991454817346722"/>
      </right>
      <top style="thin">
        <color theme="4" tint="0.39991454817346722"/>
      </top>
      <bottom style="thin">
        <color theme="4" tint="0.39991454817346722"/>
      </bottom>
      <diagonal/>
    </border>
    <border>
      <left/>
      <right style="thick">
        <color auto="1"/>
      </right>
      <top/>
      <bottom/>
      <diagonal/>
    </border>
    <border>
      <left style="thick">
        <color auto="1"/>
      </left>
      <right style="thin">
        <color theme="4" tint="0.39991454817346722"/>
      </right>
      <top style="thin">
        <color theme="4" tint="0.39991454817346722"/>
      </top>
      <bottom style="thin">
        <color theme="4" tint="0.39991454817346722"/>
      </bottom>
      <diagonal/>
    </border>
    <border>
      <left style="thin">
        <color theme="4" tint="0.39991454817346722"/>
      </left>
      <right style="thin">
        <color theme="4" tint="0.39991454817346722"/>
      </right>
      <top style="thin">
        <color theme="4" tint="0.39991454817346722"/>
      </top>
      <bottom style="thin">
        <color theme="4" tint="0.39991454817346722"/>
      </bottom>
      <diagonal/>
    </border>
    <border>
      <left style="thick">
        <color auto="1"/>
      </left>
      <right/>
      <top/>
      <bottom/>
      <diagonal/>
    </border>
    <border>
      <left style="thick">
        <color auto="1"/>
      </left>
      <right/>
      <top/>
      <bottom style="thick">
        <color auto="1"/>
      </bottom>
      <diagonal/>
    </border>
    <border>
      <left/>
      <right/>
      <top/>
      <bottom style="thick">
        <color auto="1"/>
      </bottom>
      <diagonal/>
    </border>
    <border>
      <left/>
      <right style="thick">
        <color auto="1"/>
      </right>
      <top/>
      <bottom style="thick">
        <color auto="1"/>
      </bottom>
      <diagonal/>
    </border>
    <border>
      <left style="medium">
        <color indexed="64"/>
      </left>
      <right/>
      <top style="medium">
        <color indexed="64"/>
      </top>
      <bottom/>
      <diagonal/>
    </border>
    <border>
      <left/>
      <right/>
      <top style="medium">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rgb="FF4F81BD"/>
      </left>
      <right/>
      <top style="medium">
        <color rgb="FF4F81BD"/>
      </top>
      <bottom style="medium">
        <color rgb="FF4F81BD"/>
      </bottom>
      <diagonal/>
    </border>
    <border>
      <left/>
      <right/>
      <top style="medium">
        <color rgb="FF4F81BD"/>
      </top>
      <bottom style="medium">
        <color rgb="FF4F81BD"/>
      </bottom>
      <diagonal/>
    </border>
    <border>
      <left/>
      <right style="medium">
        <color rgb="FF4F81BD"/>
      </right>
      <top style="medium">
        <color rgb="FF4F81BD"/>
      </top>
      <bottom style="medium">
        <color rgb="FF4F81BD"/>
      </bottom>
      <diagonal/>
    </border>
    <border>
      <left style="medium">
        <color rgb="FF95B3D7"/>
      </left>
      <right style="medium">
        <color rgb="FF95B3D7"/>
      </right>
      <top/>
      <bottom style="medium">
        <color rgb="FF95B3D7"/>
      </bottom>
      <diagonal/>
    </border>
    <border>
      <left/>
      <right style="medium">
        <color rgb="FF95B3D7"/>
      </right>
      <top/>
      <bottom style="medium">
        <color rgb="FF95B3D7"/>
      </bottom>
      <diagonal/>
    </border>
  </borders>
  <cellStyleXfs count="7">
    <xf numFmtId="0" fontId="0" fillId="0" borderId="0"/>
    <xf numFmtId="0" fontId="10" fillId="0" borderId="0" applyNumberFormat="0" applyFill="0" applyBorder="0" applyAlignment="0" applyProtection="0"/>
    <xf numFmtId="164" fontId="11" fillId="0" borderId="0" applyFont="0" applyFill="0" applyBorder="0" applyAlignment="0" applyProtection="0"/>
    <xf numFmtId="0" fontId="18" fillId="0" borderId="0"/>
    <xf numFmtId="0" fontId="10" fillId="0" borderId="0" applyNumberFormat="0" applyFill="0" applyBorder="0" applyAlignment="0" applyProtection="0"/>
    <xf numFmtId="0" fontId="11" fillId="0" borderId="0"/>
    <xf numFmtId="167" fontId="11" fillId="0" borderId="0" applyFont="0" applyFill="0" applyBorder="0" applyAlignment="0" applyProtection="0"/>
  </cellStyleXfs>
  <cellXfs count="113">
    <xf numFmtId="0" fontId="0" fillId="0" borderId="0" xfId="0"/>
    <xf numFmtId="0" fontId="2" fillId="0" borderId="1" xfId="0" applyFont="1" applyBorder="1"/>
    <xf numFmtId="0" fontId="4" fillId="2" borderId="2" xfId="0" applyFont="1" applyFill="1" applyBorder="1" applyAlignment="1">
      <alignment horizontal="center" vertical="center" wrapText="1"/>
    </xf>
    <xf numFmtId="0" fontId="4" fillId="2" borderId="2" xfId="0" applyFont="1" applyFill="1" applyBorder="1" applyAlignment="1">
      <alignment horizontal="center" vertical="top" wrapText="1"/>
    </xf>
    <xf numFmtId="0" fontId="2" fillId="0" borderId="0" xfId="0" applyFont="1" applyAlignment="1">
      <alignment vertical="center"/>
    </xf>
    <xf numFmtId="0" fontId="2" fillId="0" borderId="0" xfId="0" applyFont="1" applyAlignment="1">
      <alignment horizontal="left"/>
    </xf>
    <xf numFmtId="3" fontId="6" fillId="0" borderId="2" xfId="0" applyNumberFormat="1" applyFont="1" applyBorder="1" applyAlignment="1">
      <alignment horizontal="center" vertical="center" wrapText="1"/>
    </xf>
    <xf numFmtId="3" fontId="7" fillId="0" borderId="2" xfId="0" applyNumberFormat="1" applyFont="1" applyBorder="1" applyAlignment="1">
      <alignment horizontal="center" vertical="center" wrapText="1"/>
    </xf>
    <xf numFmtId="0" fontId="0" fillId="0" borderId="0" xfId="0" applyAlignment="1">
      <alignment horizontal="right"/>
    </xf>
    <xf numFmtId="3" fontId="0" fillId="0" borderId="0" xfId="0" applyNumberFormat="1"/>
    <xf numFmtId="0" fontId="0" fillId="0" borderId="0" xfId="0" applyAlignment="1">
      <alignment wrapText="1"/>
    </xf>
    <xf numFmtId="0" fontId="8" fillId="0" borderId="2" xfId="0" applyFont="1" applyBorder="1" applyAlignment="1">
      <alignment horizontal="center" vertical="center" wrapText="1"/>
    </xf>
    <xf numFmtId="0" fontId="0" fillId="0" borderId="0" xfId="0" applyAlignment="1">
      <alignment horizontal="left" vertical="center" wrapText="1"/>
    </xf>
    <xf numFmtId="165" fontId="0" fillId="0" borderId="0" xfId="0" applyNumberFormat="1"/>
    <xf numFmtId="0" fontId="1" fillId="0" borderId="2" xfId="0" applyFont="1" applyBorder="1" applyAlignment="1">
      <alignment horizontal="center" vertical="center"/>
    </xf>
    <xf numFmtId="166" fontId="1" fillId="0" borderId="2" xfId="2" applyNumberFormat="1" applyFont="1" applyBorder="1" applyAlignment="1">
      <alignment horizontal="center" vertical="center"/>
    </xf>
    <xf numFmtId="0" fontId="0" fillId="0" borderId="3" xfId="0" applyBorder="1"/>
    <xf numFmtId="0" fontId="0" fillId="0" borderId="4" xfId="0" applyBorder="1"/>
    <xf numFmtId="0" fontId="0" fillId="0" borderId="5" xfId="0" applyBorder="1"/>
    <xf numFmtId="2" fontId="12" fillId="3" borderId="6" xfId="0" applyNumberFormat="1" applyFont="1" applyFill="1" applyBorder="1" applyAlignment="1">
      <alignment vertical="center"/>
    </xf>
    <xf numFmtId="2" fontId="12" fillId="3" borderId="7" xfId="0" applyNumberFormat="1" applyFont="1" applyFill="1" applyBorder="1" applyAlignment="1">
      <alignment vertical="center"/>
    </xf>
    <xf numFmtId="2" fontId="12" fillId="3" borderId="8" xfId="0" applyNumberFormat="1" applyFont="1" applyFill="1" applyBorder="1" applyAlignment="1">
      <alignment vertical="center"/>
    </xf>
    <xf numFmtId="0" fontId="0" fillId="0" borderId="9" xfId="0" applyBorder="1"/>
    <xf numFmtId="0" fontId="13" fillId="3" borderId="10" xfId="0" applyFont="1" applyFill="1" applyBorder="1"/>
    <xf numFmtId="2" fontId="12" fillId="3" borderId="11" xfId="0" applyNumberFormat="1" applyFont="1" applyFill="1" applyBorder="1" applyAlignment="1">
      <alignment horizontal="center" vertical="center"/>
    </xf>
    <xf numFmtId="0" fontId="12" fillId="3" borderId="11" xfId="0" applyFont="1" applyFill="1" applyBorder="1" applyAlignment="1">
      <alignment horizontal="center"/>
    </xf>
    <xf numFmtId="0" fontId="15" fillId="0" borderId="10" xfId="0" applyFont="1" applyBorder="1" applyAlignment="1">
      <alignment wrapText="1"/>
    </xf>
    <xf numFmtId="0" fontId="15" fillId="0" borderId="11" xfId="0" applyFont="1" applyBorder="1" applyAlignment="1">
      <alignment horizontal="center"/>
    </xf>
    <xf numFmtId="0" fontId="15" fillId="0" borderId="10" xfId="0" applyFont="1" applyBorder="1"/>
    <xf numFmtId="0" fontId="0" fillId="0" borderId="12" xfId="0" applyBorder="1"/>
    <xf numFmtId="0" fontId="0" fillId="0" borderId="0" xfId="0" applyAlignment="1">
      <alignment horizontal="center" vertical="center"/>
    </xf>
    <xf numFmtId="0" fontId="0" fillId="0" borderId="9" xfId="0" applyBorder="1" applyAlignment="1">
      <alignment horizontal="center" vertical="center"/>
    </xf>
    <xf numFmtId="165" fontId="0" fillId="0" borderId="0" xfId="0" applyNumberFormat="1" applyAlignment="1">
      <alignment horizontal="center" vertical="center"/>
    </xf>
    <xf numFmtId="0" fontId="0" fillId="0" borderId="14" xfId="0" applyBorder="1"/>
    <xf numFmtId="0" fontId="0" fillId="0" borderId="15" xfId="0" applyBorder="1"/>
    <xf numFmtId="0" fontId="19" fillId="0" borderId="2" xfId="3" applyFont="1" applyBorder="1"/>
    <xf numFmtId="0" fontId="19" fillId="0" borderId="2" xfId="3" applyFont="1" applyBorder="1" applyAlignment="1">
      <alignment horizontal="center"/>
    </xf>
    <xf numFmtId="0" fontId="18" fillId="0" borderId="0" xfId="3"/>
    <xf numFmtId="0" fontId="18" fillId="0" borderId="2" xfId="3" applyBorder="1" applyAlignment="1">
      <alignment vertical="center" wrapText="1"/>
    </xf>
    <xf numFmtId="0" fontId="18" fillId="0" borderId="0" xfId="3" applyAlignment="1">
      <alignment vertical="center" wrapText="1"/>
    </xf>
    <xf numFmtId="0" fontId="20" fillId="0" borderId="2" xfId="3" applyFont="1" applyBorder="1" applyAlignment="1">
      <alignment vertical="center" wrapText="1"/>
    </xf>
    <xf numFmtId="0" fontId="20" fillId="0" borderId="2" xfId="3" applyFont="1" applyBorder="1" applyAlignment="1">
      <alignment horizontal="center" vertical="center" wrapText="1"/>
    </xf>
    <xf numFmtId="0" fontId="18" fillId="0" borderId="2" xfId="3" applyBorder="1" applyAlignment="1">
      <alignment horizontal="center" vertical="center" wrapText="1"/>
    </xf>
    <xf numFmtId="0" fontId="18" fillId="0" borderId="0" xfId="3" applyAlignment="1">
      <alignment horizontal="center" vertical="center"/>
    </xf>
    <xf numFmtId="166" fontId="6" fillId="0" borderId="2" xfId="2" applyNumberFormat="1" applyFont="1" applyBorder="1" applyAlignment="1">
      <alignment horizontal="center" vertical="center" wrapText="1"/>
    </xf>
    <xf numFmtId="0" fontId="0" fillId="0" borderId="0" xfId="0" applyAlignment="1">
      <alignment horizontal="center"/>
    </xf>
    <xf numFmtId="166" fontId="1" fillId="0" borderId="2" xfId="2" applyNumberFormat="1" applyFont="1" applyBorder="1" applyAlignment="1">
      <alignment horizontal="center"/>
    </xf>
    <xf numFmtId="1" fontId="19" fillId="4" borderId="2" xfId="3" applyNumberFormat="1" applyFont="1" applyFill="1" applyBorder="1" applyAlignment="1">
      <alignment horizontal="center" vertical="center" wrapText="1"/>
    </xf>
    <xf numFmtId="3" fontId="1" fillId="0" borderId="2" xfId="0" applyNumberFormat="1" applyFont="1" applyBorder="1" applyAlignment="1">
      <alignment vertical="center"/>
    </xf>
    <xf numFmtId="1" fontId="1" fillId="0" borderId="2" xfId="2" applyNumberFormat="1" applyFont="1" applyBorder="1" applyAlignment="1">
      <alignment horizontal="center" vertical="center"/>
    </xf>
    <xf numFmtId="0" fontId="21" fillId="0" borderId="0" xfId="4" applyFont="1" applyFill="1" applyBorder="1" applyAlignment="1" applyProtection="1">
      <alignment horizontal="center" vertical="center" wrapText="1"/>
    </xf>
    <xf numFmtId="0" fontId="11" fillId="0" borderId="0" xfId="5" applyAlignment="1">
      <alignment vertical="center"/>
    </xf>
    <xf numFmtId="168" fontId="0" fillId="0" borderId="0" xfId="6" applyNumberFormat="1" applyFont="1" applyFill="1" applyBorder="1" applyAlignment="1">
      <alignment horizontal="right" vertical="center"/>
    </xf>
    <xf numFmtId="0" fontId="22" fillId="0" borderId="0" xfId="4" applyFont="1" applyFill="1" applyBorder="1" applyAlignment="1" applyProtection="1"/>
    <xf numFmtId="0" fontId="11" fillId="0" borderId="0" xfId="5"/>
    <xf numFmtId="0" fontId="23" fillId="5" borderId="16" xfId="0" applyFont="1" applyFill="1" applyBorder="1" applyAlignment="1">
      <alignment vertical="center"/>
    </xf>
    <xf numFmtId="0" fontId="24" fillId="5" borderId="17" xfId="0" applyFont="1" applyFill="1" applyBorder="1" applyAlignment="1">
      <alignment vertical="center"/>
    </xf>
    <xf numFmtId="0" fontId="0" fillId="0" borderId="2" xfId="0" applyBorder="1" applyAlignment="1">
      <alignment vertical="center" wrapText="1"/>
    </xf>
    <xf numFmtId="169" fontId="11" fillId="0" borderId="2" xfId="5" applyNumberFormat="1" applyBorder="1"/>
    <xf numFmtId="0" fontId="10" fillId="0" borderId="19" xfId="1" applyBorder="1" applyAlignment="1" applyProtection="1">
      <alignment horizontal="left" vertical="center"/>
    </xf>
    <xf numFmtId="0" fontId="0" fillId="0" borderId="0" xfId="0" applyAlignment="1">
      <alignment vertical="center"/>
    </xf>
    <xf numFmtId="0" fontId="0" fillId="0" borderId="0" xfId="0" applyAlignment="1">
      <alignment vertical="center" wrapText="1"/>
    </xf>
    <xf numFmtId="0" fontId="10" fillId="0" borderId="0" xfId="1" applyAlignment="1">
      <alignment vertical="center" wrapText="1"/>
    </xf>
    <xf numFmtId="170" fontId="11" fillId="0" borderId="0" xfId="5" applyNumberFormat="1"/>
    <xf numFmtId="0" fontId="20" fillId="5" borderId="2" xfId="0" applyFont="1" applyFill="1" applyBorder="1" applyAlignment="1">
      <alignment vertical="center"/>
    </xf>
    <xf numFmtId="0" fontId="20" fillId="5" borderId="2" xfId="0" applyFont="1" applyFill="1" applyBorder="1" applyAlignment="1">
      <alignment horizontal="left" vertical="center"/>
    </xf>
    <xf numFmtId="0" fontId="0" fillId="0" borderId="2" xfId="0" applyBorder="1" applyAlignment="1">
      <alignment vertical="center"/>
    </xf>
    <xf numFmtId="164" fontId="0" fillId="0" borderId="2" xfId="2" applyFont="1" applyBorder="1" applyAlignment="1">
      <alignment horizontal="left" vertical="center"/>
    </xf>
    <xf numFmtId="164" fontId="0" fillId="6" borderId="2" xfId="2" applyFont="1" applyFill="1" applyBorder="1" applyAlignment="1">
      <alignment horizontal="left" vertical="center"/>
    </xf>
    <xf numFmtId="0" fontId="20" fillId="0" borderId="2" xfId="0" applyFont="1" applyBorder="1" applyAlignment="1">
      <alignment vertical="center"/>
    </xf>
    <xf numFmtId="0" fontId="20" fillId="0" borderId="0" xfId="0" applyFont="1" applyAlignment="1">
      <alignment vertical="center"/>
    </xf>
    <xf numFmtId="0" fontId="20" fillId="6" borderId="2" xfId="0" applyFont="1" applyFill="1" applyBorder="1" applyAlignment="1">
      <alignment vertical="center" wrapText="1"/>
    </xf>
    <xf numFmtId="0" fontId="25" fillId="7" borderId="21" xfId="0" applyFont="1" applyFill="1" applyBorder="1" applyAlignment="1">
      <alignment vertical="center"/>
    </xf>
    <xf numFmtId="0" fontId="25" fillId="7" borderId="22" xfId="0" applyFont="1" applyFill="1" applyBorder="1" applyAlignment="1">
      <alignment horizontal="right" vertical="center"/>
    </xf>
    <xf numFmtId="0" fontId="25" fillId="7" borderId="23" xfId="0" applyFont="1" applyFill="1" applyBorder="1" applyAlignment="1">
      <alignment horizontal="right" vertical="center"/>
    </xf>
    <xf numFmtId="0" fontId="26" fillId="8" borderId="24" xfId="0" applyFont="1" applyFill="1" applyBorder="1" applyAlignment="1">
      <alignment vertical="center"/>
    </xf>
    <xf numFmtId="0" fontId="28" fillId="8" borderId="25" xfId="0" applyFont="1" applyFill="1" applyBorder="1" applyAlignment="1">
      <alignment horizontal="right" vertical="center"/>
    </xf>
    <xf numFmtId="0" fontId="27" fillId="0" borderId="24" xfId="0" applyFont="1" applyBorder="1" applyAlignment="1">
      <alignment vertical="center"/>
    </xf>
    <xf numFmtId="0" fontId="29" fillId="0" borderId="25" xfId="0" applyFont="1" applyBorder="1" applyAlignment="1">
      <alignment horizontal="right" vertical="center"/>
    </xf>
    <xf numFmtId="0" fontId="27" fillId="0" borderId="25" xfId="0" applyFont="1" applyBorder="1" applyAlignment="1">
      <alignment horizontal="right" vertical="center"/>
    </xf>
    <xf numFmtId="0" fontId="0" fillId="0" borderId="0" xfId="0" applyAlignment="1">
      <alignment horizontal="center" vertical="center" wrapText="1"/>
    </xf>
    <xf numFmtId="0" fontId="7" fillId="2" borderId="2" xfId="0" applyFont="1" applyFill="1" applyBorder="1" applyAlignment="1">
      <alignment horizontal="center" vertical="center" wrapText="1"/>
    </xf>
    <xf numFmtId="14" fontId="30" fillId="0" borderId="2" xfId="0" applyNumberFormat="1" applyFont="1" applyBorder="1" applyAlignment="1">
      <alignment horizontal="center" vertical="center"/>
    </xf>
    <xf numFmtId="0" fontId="30" fillId="0" borderId="2" xfId="0" applyFont="1" applyBorder="1" applyAlignment="1">
      <alignment horizontal="center" vertical="center"/>
    </xf>
    <xf numFmtId="0" fontId="6" fillId="9" borderId="2" xfId="0" applyFont="1" applyFill="1" applyBorder="1" applyAlignment="1">
      <alignment horizontal="center" vertical="center" wrapText="1"/>
    </xf>
    <xf numFmtId="3" fontId="30" fillId="10" borderId="2" xfId="0" applyNumberFormat="1" applyFont="1" applyFill="1" applyBorder="1" applyAlignment="1">
      <alignment horizontal="center" vertical="center"/>
    </xf>
    <xf numFmtId="164" fontId="0" fillId="0" borderId="0" xfId="2" applyFont="1" applyAlignment="1">
      <alignment horizontal="center" vertical="center"/>
    </xf>
    <xf numFmtId="164" fontId="0" fillId="0" borderId="0" xfId="0" applyNumberFormat="1"/>
    <xf numFmtId="0" fontId="10" fillId="0" borderId="0" xfId="1" applyAlignment="1">
      <alignment horizontal="center" vertical="center" wrapText="1"/>
    </xf>
    <xf numFmtId="0" fontId="31" fillId="11" borderId="2" xfId="0" applyFont="1" applyFill="1" applyBorder="1" applyAlignment="1">
      <alignment vertical="center" wrapText="1"/>
    </xf>
    <xf numFmtId="1" fontId="8" fillId="0" borderId="2" xfId="0" applyNumberFormat="1" applyFont="1" applyBorder="1" applyAlignment="1">
      <alignment horizontal="center" vertical="center" wrapText="1"/>
    </xf>
    <xf numFmtId="0" fontId="20" fillId="12" borderId="2" xfId="0" applyFont="1" applyFill="1" applyBorder="1" applyAlignment="1">
      <alignment vertical="center" wrapText="1"/>
    </xf>
    <xf numFmtId="164" fontId="0" fillId="12" borderId="2" xfId="2" applyFont="1" applyFill="1" applyBorder="1" applyAlignment="1">
      <alignment horizontal="left" vertical="center"/>
    </xf>
    <xf numFmtId="0" fontId="0" fillId="4" borderId="2" xfId="0" applyFill="1" applyBorder="1" applyAlignment="1">
      <alignment vertical="center"/>
    </xf>
    <xf numFmtId="164" fontId="0" fillId="4" borderId="2" xfId="2" applyFont="1" applyFill="1" applyBorder="1" applyAlignment="1">
      <alignment horizontal="left" vertical="center"/>
    </xf>
    <xf numFmtId="0" fontId="8" fillId="0" borderId="0" xfId="0" applyFont="1" applyAlignment="1">
      <alignment horizontal="center" vertical="center" wrapText="1"/>
    </xf>
    <xf numFmtId="0" fontId="0" fillId="0" borderId="0" xfId="5" applyFont="1"/>
    <xf numFmtId="166" fontId="8" fillId="0" borderId="2" xfId="2" applyNumberFormat="1" applyFont="1" applyBorder="1" applyAlignment="1">
      <alignment horizontal="center" vertical="center" wrapText="1"/>
    </xf>
    <xf numFmtId="1" fontId="8" fillId="0" borderId="2" xfId="2" applyNumberFormat="1" applyFont="1" applyBorder="1" applyAlignment="1">
      <alignment horizontal="center" vertical="center" wrapText="1"/>
    </xf>
    <xf numFmtId="0" fontId="1" fillId="0" borderId="2" xfId="0" applyFont="1" applyBorder="1" applyAlignment="1">
      <alignment horizontal="center" vertical="center"/>
    </xf>
    <xf numFmtId="0" fontId="0" fillId="0" borderId="12" xfId="0" applyBorder="1" applyAlignment="1">
      <alignment horizontal="center" vertical="center" wrapText="1"/>
    </xf>
    <xf numFmtId="0" fontId="0" fillId="0" borderId="0" xfId="0" applyAlignment="1">
      <alignment horizontal="center" vertical="center" wrapText="1"/>
    </xf>
    <xf numFmtId="0" fontId="10" fillId="0" borderId="13" xfId="1" applyBorder="1" applyAlignment="1">
      <alignment horizontal="center" vertical="center" wrapText="1"/>
    </xf>
    <xf numFmtId="0" fontId="10" fillId="0" borderId="14" xfId="1" applyBorder="1" applyAlignment="1">
      <alignment horizontal="center" vertical="center" wrapText="1"/>
    </xf>
    <xf numFmtId="0" fontId="19" fillId="0" borderId="18" xfId="0" applyFont="1" applyBorder="1" applyAlignment="1">
      <alignment horizontal="center" vertical="center"/>
    </xf>
    <xf numFmtId="0" fontId="19" fillId="0" borderId="19" xfId="0" applyFont="1" applyBorder="1" applyAlignment="1">
      <alignment horizontal="center" vertical="center"/>
    </xf>
    <xf numFmtId="0" fontId="19" fillId="0" borderId="20" xfId="0" applyFont="1" applyBorder="1" applyAlignment="1">
      <alignment horizontal="center" vertical="center"/>
    </xf>
    <xf numFmtId="0" fontId="10" fillId="0" borderId="19" xfId="1" applyBorder="1" applyAlignment="1" applyProtection="1">
      <alignment horizontal="center" vertical="center" wrapText="1"/>
    </xf>
    <xf numFmtId="0" fontId="10" fillId="0" borderId="20" xfId="1" applyBorder="1" applyAlignment="1" applyProtection="1">
      <alignment horizontal="center" vertical="center" wrapText="1"/>
    </xf>
    <xf numFmtId="0" fontId="19" fillId="0" borderId="2" xfId="0" applyFont="1" applyBorder="1" applyAlignment="1">
      <alignment horizontal="center" vertical="center"/>
    </xf>
    <xf numFmtId="0" fontId="10" fillId="0" borderId="2" xfId="1" applyBorder="1" applyAlignment="1" applyProtection="1">
      <alignment horizontal="center" vertical="center"/>
    </xf>
    <xf numFmtId="0" fontId="10" fillId="0" borderId="18" xfId="1" applyBorder="1" applyAlignment="1" applyProtection="1">
      <alignment horizontal="center" vertical="center"/>
    </xf>
    <xf numFmtId="0" fontId="20" fillId="0" borderId="0" xfId="0" applyFont="1" applyAlignment="1">
      <alignment horizontal="center" vertical="center"/>
    </xf>
  </cellXfs>
  <cellStyles count="7">
    <cellStyle name="Comma" xfId="2" builtinId="3"/>
    <cellStyle name="Hyperlink" xfId="1" builtinId="8"/>
    <cellStyle name="Köprü 2" xfId="4" xr:uid="{00000000-0005-0000-0000-000001000000}"/>
    <cellStyle name="Normal" xfId="0" builtinId="0"/>
    <cellStyle name="Normal 2" xfId="3" xr:uid="{00000000-0005-0000-0000-000003000000}"/>
    <cellStyle name="Normal 9 2" xfId="5" xr:uid="{00000000-0005-0000-0000-000004000000}"/>
    <cellStyle name="Virgül 4 2" xfId="6" xr:uid="{00000000-0005-0000-0000-000006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7</xdr:col>
      <xdr:colOff>0</xdr:colOff>
      <xdr:row>16</xdr:row>
      <xdr:rowOff>0</xdr:rowOff>
    </xdr:from>
    <xdr:to>
      <xdr:col>12</xdr:col>
      <xdr:colOff>431145</xdr:colOff>
      <xdr:row>58</xdr:row>
      <xdr:rowOff>44951</xdr:rowOff>
    </xdr:to>
    <xdr:pic>
      <xdr:nvPicPr>
        <xdr:cNvPr id="2" name="Resim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11349318" y="6660776"/>
          <a:ext cx="6733333" cy="794285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352425</xdr:colOff>
      <xdr:row>1</xdr:row>
      <xdr:rowOff>333375</xdr:rowOff>
    </xdr:from>
    <xdr:to>
      <xdr:col>8</xdr:col>
      <xdr:colOff>190963</xdr:colOff>
      <xdr:row>2</xdr:row>
      <xdr:rowOff>647826</xdr:rowOff>
    </xdr:to>
    <xdr:pic>
      <xdr:nvPicPr>
        <xdr:cNvPr id="2" name="Picture 1">
          <a:extLst>
            <a:ext uri="{FF2B5EF4-FFF2-40B4-BE49-F238E27FC236}">
              <a16:creationId xmlns:a16="http://schemas.microsoft.com/office/drawing/2014/main" id="{89323B89-F3CE-437B-A291-40FF407BD08B}"/>
            </a:ext>
          </a:extLst>
        </xdr:cNvPr>
        <xdr:cNvPicPr>
          <a:picLocks noChangeAspect="1"/>
        </xdr:cNvPicPr>
      </xdr:nvPicPr>
      <xdr:blipFill>
        <a:blip xmlns:r="http://schemas.openxmlformats.org/officeDocument/2006/relationships" r:embed="rId1"/>
        <a:stretch>
          <a:fillRect/>
        </a:stretch>
      </xdr:blipFill>
      <xdr:spPr>
        <a:xfrm>
          <a:off x="5554980" y="493395"/>
          <a:ext cx="3313258" cy="906906"/>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10</xdr:col>
      <xdr:colOff>198120</xdr:colOff>
      <xdr:row>14</xdr:row>
      <xdr:rowOff>209550</xdr:rowOff>
    </xdr:from>
    <xdr:to>
      <xdr:col>20</xdr:col>
      <xdr:colOff>8514</xdr:colOff>
      <xdr:row>30</xdr:row>
      <xdr:rowOff>152470</xdr:rowOff>
    </xdr:to>
    <xdr:pic>
      <xdr:nvPicPr>
        <xdr:cNvPr id="3" name="Picture 2">
          <a:extLst>
            <a:ext uri="{FF2B5EF4-FFF2-40B4-BE49-F238E27FC236}">
              <a16:creationId xmlns:a16="http://schemas.microsoft.com/office/drawing/2014/main" id="{043BD437-00ED-81DC-298F-07352C146AFC}"/>
            </a:ext>
          </a:extLst>
        </xdr:cNvPr>
        <xdr:cNvPicPr>
          <a:picLocks noChangeAspect="1"/>
        </xdr:cNvPicPr>
      </xdr:nvPicPr>
      <xdr:blipFill>
        <a:blip xmlns:r="http://schemas.openxmlformats.org/officeDocument/2006/relationships" r:embed="rId1"/>
        <a:stretch>
          <a:fillRect/>
        </a:stretch>
      </xdr:blipFill>
      <xdr:spPr>
        <a:xfrm>
          <a:off x="10142220" y="3836670"/>
          <a:ext cx="5906394" cy="526168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Dell/Documents/8.%20ELESTA&#350;/&#199;ATALOLUK%20HEPP/2.%20ER%20Calculation/ER_Calculation_Sheet_&#199;ataloluk_v05.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R"/>
      <sheetName val="Power Density"/>
      <sheetName val="Natural Gas"/>
      <sheetName val="SOX NOX"/>
    </sheetNames>
    <sheetDataSet>
      <sheetData sheetId="0">
        <row r="7">
          <cell r="C7">
            <v>31990</v>
          </cell>
        </row>
      </sheetData>
      <sheetData sheetId="1"/>
      <sheetData sheetId="2"/>
      <sheetData sheetId="3"/>
    </sheetDataSet>
  </externalBook>
</externalLink>
</file>

<file path=xl/theme/theme1.xml><?xml version="1.0" encoding="utf-8"?>
<a:theme xmlns:a="http://schemas.openxmlformats.org/drawingml/2006/main" name="Office Teması">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Bform2020.pdf" TargetMode="External"/><Relationship Id="rId1" Type="http://schemas.openxmlformats.org/officeDocument/2006/relationships/hyperlink" Target="https://enerji.gov.tr/Media/Dizin/EVCED/tr/%C3%87evreVe%C4%B0klim/%C4%B0klimDe%C4%9Fi%C5%9Fikli%C4%9Fi/T%C3%BCrkiyeUlusalElektrik%C5%9EebekesiEmisyonFakt%C3%B6r%C3%BC/Belgeler/EK-2.pdf" TargetMode="Externa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hyperlink" Target="https://portal.enerya.com.tr/DogalGazBirimFiyatlari/index.xhtml?city=07" TargetMode="External"/><Relationship Id="rId2" Type="http://schemas.openxmlformats.org/officeDocument/2006/relationships/hyperlink" Target="https://www.teias.gov.tr/tr-TR/turkiye-elektrik-uretim-iletim-istatistikleri" TargetMode="External"/><Relationship Id="rId1" Type="http://schemas.openxmlformats.org/officeDocument/2006/relationships/hyperlink" Target="https://www.teias.gov.tr/tr-TR/turkiye-elektrik-uretim-iletim-istatistikleri" TargetMode="External"/><Relationship Id="rId6" Type="http://schemas.openxmlformats.org/officeDocument/2006/relationships/hyperlink" Target="../Round%201/Final%20Package%20for%20Review%20Round%201/References/38-Grafik%20III.I%20-%202020%20Y&#305;l&#305;%20T&#252;rkiye%20Elektrik%20Enerjisi%20&#220;retiminin%20Kaynaklara%20G&#246;re%20Da&#287;&#305;l&#305;m&#305;.docx" TargetMode="External"/><Relationship Id="rId5" Type="http://schemas.openxmlformats.org/officeDocument/2006/relationships/hyperlink" Target="../Round%201/Final%20Package%20for%20Review%20Round%201/References/38-Grafik%20III.I%20-%202020%20Y&#305;l&#305;%20T&#252;rkiye%20Elektrik%20Enerjisi%20&#220;retiminin%20Kaynaklara%20G&#246;re%20Da&#287;&#305;l&#305;m&#305;.docx" TargetMode="External"/><Relationship Id="rId4" Type="http://schemas.openxmlformats.org/officeDocument/2006/relationships/hyperlink" Target="https://evds2.tcmb.gov.tr/index.php?/evds/serieMarket/" TargetMode="External"/></Relationships>
</file>

<file path=xl/worksheets/_rels/sheet4.xml.rels><?xml version="1.0" encoding="UTF-8" standalone="yes"?>
<Relationships xmlns="http://schemas.openxmlformats.org/package/2006/relationships"><Relationship Id="rId3" Type="http://schemas.openxmlformats.org/officeDocument/2006/relationships/hyperlink" Target="../Round%201/References/38-Grafik%20III.I%20-%202020%20Y&#305;l&#305;%20T&#252;rkiye%20Elektrik%20Enerjisi%20&#220;retiminin%20Kaynaklara%20G&#246;re%20Da&#287;&#305;l&#305;m&#305;.docx" TargetMode="External"/><Relationship Id="rId2" Type="http://schemas.openxmlformats.org/officeDocument/2006/relationships/hyperlink" Target="../Round%201/References/turkey-s-irr-2021_tr_20211101034946.pdf" TargetMode="External"/><Relationship Id="rId1" Type="http://schemas.openxmlformats.org/officeDocument/2006/relationships/hyperlink" Target="../Round%201/References/turkey-s-irr-2021_tr_20211101034946.pdf" TargetMode="External"/><Relationship Id="rId5" Type="http://schemas.openxmlformats.org/officeDocument/2006/relationships/drawing" Target="../drawings/drawing3.xml"/><Relationship Id="rId4"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34"/>
  <sheetViews>
    <sheetView tabSelected="1" topLeftCell="D7" zoomScale="85" zoomScaleNormal="85" workbookViewId="0">
      <selection activeCell="H8" sqref="H8"/>
    </sheetView>
  </sheetViews>
  <sheetFormatPr defaultRowHeight="14.5" x14ac:dyDescent="0.35"/>
  <cols>
    <col min="1" max="1" width="25.54296875" customWidth="1"/>
    <col min="2" max="2" width="30.36328125" customWidth="1"/>
    <col min="3" max="4" width="15.08984375" customWidth="1"/>
    <col min="5" max="5" width="28.90625" customWidth="1"/>
    <col min="6" max="6" width="15.36328125" customWidth="1"/>
    <col min="7" max="7" width="35" bestFit="1" customWidth="1"/>
    <col min="8" max="8" width="22.08984375" customWidth="1"/>
    <col min="9" max="9" width="21" customWidth="1"/>
    <col min="10" max="10" width="20.81640625" customWidth="1"/>
    <col min="12" max="12" width="19.08984375" style="45" customWidth="1"/>
    <col min="14" max="14" width="22.54296875" bestFit="1" customWidth="1"/>
    <col min="15" max="15" width="11.6328125" bestFit="1" customWidth="1"/>
    <col min="18" max="18" width="24.90625" customWidth="1"/>
    <col min="19" max="19" width="24.6328125" bestFit="1" customWidth="1"/>
  </cols>
  <sheetData>
    <row r="1" spans="1:20" ht="15" thickBot="1" x14ac:dyDescent="0.4"/>
    <row r="2" spans="1:20" ht="47" thickBot="1" x14ac:dyDescent="0.75">
      <c r="A2" s="1" t="s">
        <v>0</v>
      </c>
      <c r="B2" s="8"/>
      <c r="G2" s="2" t="s">
        <v>1</v>
      </c>
      <c r="H2" s="2" t="s">
        <v>23</v>
      </c>
      <c r="I2" s="3" t="s">
        <v>24</v>
      </c>
      <c r="J2" s="2" t="s">
        <v>25</v>
      </c>
      <c r="L2" s="2" t="s">
        <v>50</v>
      </c>
      <c r="N2" s="81" t="s">
        <v>132</v>
      </c>
      <c r="O2" s="81" t="s">
        <v>133</v>
      </c>
      <c r="P2" s="84" t="s">
        <v>135</v>
      </c>
      <c r="R2" s="81" t="s">
        <v>132</v>
      </c>
      <c r="S2" s="81" t="s">
        <v>133</v>
      </c>
      <c r="T2" s="84" t="s">
        <v>135</v>
      </c>
    </row>
    <row r="3" spans="1:20" ht="15.5" x14ac:dyDescent="0.35">
      <c r="B3" t="s">
        <v>2</v>
      </c>
      <c r="C3" t="s">
        <v>3</v>
      </c>
      <c r="D3" t="s">
        <v>4</v>
      </c>
      <c r="E3" t="s">
        <v>5</v>
      </c>
      <c r="G3" s="11" t="s">
        <v>131</v>
      </c>
      <c r="H3" s="6">
        <f>ROUNDDOWN(P3*$C$6/365,0)</f>
        <v>11125</v>
      </c>
      <c r="I3" s="6">
        <f>C10</f>
        <v>0</v>
      </c>
      <c r="J3" s="7">
        <f>H3-I3</f>
        <v>11125</v>
      </c>
      <c r="L3" s="44">
        <f>(P3)*$C$7/365</f>
        <v>24102.054794520547</v>
      </c>
      <c r="N3" s="82">
        <v>42826</v>
      </c>
      <c r="O3" s="82">
        <v>43100</v>
      </c>
      <c r="P3" s="85">
        <f>+O3-N3+1</f>
        <v>275</v>
      </c>
      <c r="R3" s="82">
        <v>42826</v>
      </c>
      <c r="S3" s="82">
        <v>44889</v>
      </c>
      <c r="T3" s="85">
        <f>+S3-R3+1</f>
        <v>2064</v>
      </c>
    </row>
    <row r="4" spans="1:20" ht="16.5" x14ac:dyDescent="0.45">
      <c r="A4" s="8" t="s">
        <v>6</v>
      </c>
      <c r="B4" t="s">
        <v>7</v>
      </c>
      <c r="C4" s="9">
        <f>C5-C10</f>
        <v>14766</v>
      </c>
      <c r="D4" t="s">
        <v>8</v>
      </c>
      <c r="G4" s="11">
        <v>2018</v>
      </c>
      <c r="H4" s="6">
        <f t="shared" ref="H4:H9" si="0">$C$6</f>
        <v>14766</v>
      </c>
      <c r="I4" s="6">
        <f t="shared" ref="I4:I8" si="1">C11</f>
        <v>0</v>
      </c>
      <c r="J4" s="7">
        <f t="shared" ref="J4:J10" si="2">H4-I4</f>
        <v>14766</v>
      </c>
      <c r="L4" s="44">
        <f t="shared" ref="L4:L9" si="3">$C$7</f>
        <v>31990</v>
      </c>
      <c r="N4" s="82"/>
      <c r="O4" s="82"/>
      <c r="P4" s="85"/>
    </row>
    <row r="5" spans="1:20" ht="16.5" x14ac:dyDescent="0.45">
      <c r="A5" s="8" t="s">
        <v>9</v>
      </c>
      <c r="B5" t="s">
        <v>10</v>
      </c>
      <c r="C5" s="9">
        <f>C6</f>
        <v>14766</v>
      </c>
      <c r="D5" t="s">
        <v>8</v>
      </c>
      <c r="G5" s="11">
        <v>2019</v>
      </c>
      <c r="H5" s="6">
        <f t="shared" si="0"/>
        <v>14766</v>
      </c>
      <c r="I5" s="6">
        <f t="shared" si="1"/>
        <v>0</v>
      </c>
      <c r="J5" s="7">
        <f t="shared" si="2"/>
        <v>14766</v>
      </c>
      <c r="L5" s="44">
        <f t="shared" si="3"/>
        <v>31990</v>
      </c>
      <c r="N5" s="82"/>
      <c r="O5" s="82"/>
      <c r="P5" s="85"/>
    </row>
    <row r="6" spans="1:20" ht="43.5" x14ac:dyDescent="0.45">
      <c r="A6" t="s">
        <v>9</v>
      </c>
      <c r="B6" t="s">
        <v>10</v>
      </c>
      <c r="C6" s="9">
        <f>ROUNDDOWN(C7*C8,0)</f>
        <v>14766</v>
      </c>
      <c r="D6" t="s">
        <v>8</v>
      </c>
      <c r="G6" s="11">
        <v>2020</v>
      </c>
      <c r="H6" s="6">
        <f t="shared" si="0"/>
        <v>14766</v>
      </c>
      <c r="I6" s="6">
        <f t="shared" si="1"/>
        <v>0</v>
      </c>
      <c r="J6" s="7">
        <f t="shared" si="2"/>
        <v>14766</v>
      </c>
      <c r="L6" s="44">
        <f t="shared" si="3"/>
        <v>31990</v>
      </c>
      <c r="N6" s="82"/>
      <c r="O6" s="82"/>
      <c r="P6" s="85"/>
      <c r="R6" s="80" t="s">
        <v>136</v>
      </c>
      <c r="S6" s="86">
        <f>ROUNDDOWN(T3*C4/365,0)</f>
        <v>83498</v>
      </c>
    </row>
    <row r="7" spans="1:20" ht="44.5" x14ac:dyDescent="0.45">
      <c r="A7" t="s">
        <v>11</v>
      </c>
      <c r="B7" s="10" t="s">
        <v>12</v>
      </c>
      <c r="C7" s="9">
        <v>31990</v>
      </c>
      <c r="D7" t="s">
        <v>13</v>
      </c>
      <c r="E7" s="10"/>
      <c r="G7" s="11">
        <v>2021</v>
      </c>
      <c r="H7" s="6">
        <f t="shared" si="0"/>
        <v>14766</v>
      </c>
      <c r="I7" s="6">
        <f t="shared" si="1"/>
        <v>0</v>
      </c>
      <c r="J7" s="7">
        <f t="shared" si="2"/>
        <v>14766</v>
      </c>
      <c r="L7" s="44">
        <f t="shared" si="3"/>
        <v>31990</v>
      </c>
      <c r="N7" s="82"/>
      <c r="O7" s="82"/>
      <c r="P7" s="85"/>
      <c r="R7" t="s">
        <v>137</v>
      </c>
      <c r="S7" s="87">
        <f>H13-S6</f>
        <v>19904</v>
      </c>
    </row>
    <row r="8" spans="1:20" ht="92.4" customHeight="1" x14ac:dyDescent="0.45">
      <c r="A8" t="s">
        <v>14</v>
      </c>
      <c r="B8" s="10" t="s">
        <v>15</v>
      </c>
      <c r="C8" s="13">
        <f>E32</f>
        <v>0.46160000000000001</v>
      </c>
      <c r="D8" t="s">
        <v>16</v>
      </c>
      <c r="E8" s="88" t="s">
        <v>152</v>
      </c>
      <c r="G8" s="11">
        <v>2022</v>
      </c>
      <c r="H8" s="6">
        <f t="shared" si="0"/>
        <v>14766</v>
      </c>
      <c r="I8" s="6">
        <f t="shared" si="1"/>
        <v>0</v>
      </c>
      <c r="J8" s="7">
        <f t="shared" si="2"/>
        <v>14766</v>
      </c>
      <c r="L8" s="44">
        <f t="shared" si="3"/>
        <v>31990</v>
      </c>
      <c r="N8" s="82"/>
      <c r="O8" s="82"/>
      <c r="P8" s="85"/>
    </row>
    <row r="9" spans="1:20" ht="87" x14ac:dyDescent="0.35">
      <c r="A9" s="4" t="s">
        <v>17</v>
      </c>
      <c r="B9" s="12" t="s">
        <v>49</v>
      </c>
      <c r="C9">
        <v>0</v>
      </c>
      <c r="G9" s="11">
        <v>2023</v>
      </c>
      <c r="H9" s="6">
        <f t="shared" si="0"/>
        <v>14766</v>
      </c>
      <c r="I9" s="6">
        <f>C18</f>
        <v>0</v>
      </c>
      <c r="J9" s="7">
        <f t="shared" si="2"/>
        <v>14766</v>
      </c>
      <c r="L9" s="44">
        <f t="shared" si="3"/>
        <v>31990</v>
      </c>
      <c r="N9" s="83"/>
      <c r="O9" s="83"/>
      <c r="P9" s="85"/>
    </row>
    <row r="10" spans="1:20" ht="39.65" customHeight="1" x14ac:dyDescent="0.45">
      <c r="A10" s="8" t="s">
        <v>18</v>
      </c>
      <c r="B10" t="s">
        <v>19</v>
      </c>
      <c r="C10" s="9">
        <v>0</v>
      </c>
      <c r="D10" t="s">
        <v>8</v>
      </c>
      <c r="G10" s="11" t="s">
        <v>151</v>
      </c>
      <c r="H10" s="6">
        <f>ROUNDDOWN(P10*$C$6/365,0)</f>
        <v>3681</v>
      </c>
      <c r="I10" s="6">
        <f>B20</f>
        <v>0</v>
      </c>
      <c r="J10" s="7">
        <f t="shared" si="2"/>
        <v>3681</v>
      </c>
      <c r="L10" s="44">
        <f>P10*$C$7/365</f>
        <v>7975.58904109589</v>
      </c>
      <c r="N10" s="82">
        <v>45292</v>
      </c>
      <c r="O10" s="82">
        <v>45382</v>
      </c>
      <c r="P10" s="85">
        <f>+O10-N10+1</f>
        <v>91</v>
      </c>
    </row>
    <row r="11" spans="1:20" ht="15.5" x14ac:dyDescent="0.35">
      <c r="G11" s="14" t="s">
        <v>21</v>
      </c>
      <c r="H11" s="99" t="s">
        <v>52</v>
      </c>
      <c r="I11" s="99"/>
      <c r="J11" s="99"/>
      <c r="L11" s="46">
        <f>L12/7</f>
        <v>32002.520547945205</v>
      </c>
      <c r="N11" s="83"/>
      <c r="O11" s="83"/>
      <c r="P11" s="85"/>
    </row>
    <row r="12" spans="1:20" ht="15.5" x14ac:dyDescent="0.35">
      <c r="G12" s="14" t="s">
        <v>26</v>
      </c>
      <c r="H12" s="15">
        <f>H13/7</f>
        <v>14771.714285714286</v>
      </c>
      <c r="I12" s="49">
        <f t="shared" ref="I12" si="4">I13/5</f>
        <v>0</v>
      </c>
      <c r="J12" s="15">
        <f>J13/7</f>
        <v>14771.714285714286</v>
      </c>
      <c r="L12" s="46">
        <f>SUM(L3:L10)</f>
        <v>224017.64383561644</v>
      </c>
      <c r="N12" s="83"/>
      <c r="O12" s="83"/>
      <c r="P12" s="85"/>
    </row>
    <row r="13" spans="1:20" ht="15.5" x14ac:dyDescent="0.35">
      <c r="G13" s="14" t="s">
        <v>22</v>
      </c>
      <c r="H13" s="48">
        <f>SUM(H3:H10)</f>
        <v>103402</v>
      </c>
      <c r="I13" s="14">
        <v>0</v>
      </c>
      <c r="J13" s="48">
        <f>SUM(J3:J10)</f>
        <v>103402</v>
      </c>
      <c r="N13" s="83" t="s">
        <v>134</v>
      </c>
      <c r="O13" s="83"/>
      <c r="P13" s="85">
        <f>+P3+P10</f>
        <v>366</v>
      </c>
    </row>
    <row r="14" spans="1:20" x14ac:dyDescent="0.35">
      <c r="H14" s="30"/>
      <c r="I14" s="30"/>
      <c r="J14" s="30"/>
    </row>
    <row r="15" spans="1:20" ht="26.5" x14ac:dyDescent="0.7">
      <c r="A15" s="5" t="s">
        <v>20</v>
      </c>
    </row>
    <row r="16" spans="1:20" ht="23.5" x14ac:dyDescent="0.55000000000000004">
      <c r="A16" s="5"/>
    </row>
    <row r="17" spans="1:12" ht="23.5" x14ac:dyDescent="0.55000000000000004">
      <c r="A17" s="5"/>
    </row>
    <row r="20" spans="1:12" ht="15" thickBot="1" x14ac:dyDescent="0.4">
      <c r="K20" s="45"/>
      <c r="L20"/>
    </row>
    <row r="21" spans="1:12" ht="15" thickTop="1" x14ac:dyDescent="0.35">
      <c r="A21" s="16"/>
      <c r="B21" s="17"/>
      <c r="C21" s="17"/>
      <c r="D21" s="17"/>
      <c r="E21" s="17"/>
      <c r="F21" s="18"/>
      <c r="K21" s="45"/>
      <c r="L21"/>
    </row>
    <row r="22" spans="1:12" x14ac:dyDescent="0.35">
      <c r="A22" s="19" t="s">
        <v>27</v>
      </c>
      <c r="B22" s="20"/>
      <c r="C22" s="21"/>
      <c r="F22" s="22"/>
      <c r="K22" s="45"/>
      <c r="L22"/>
    </row>
    <row r="23" spans="1:12" ht="15" x14ac:dyDescent="0.4">
      <c r="A23" s="23"/>
      <c r="B23" s="24" t="s">
        <v>28</v>
      </c>
      <c r="C23" s="25" t="s">
        <v>29</v>
      </c>
      <c r="F23" s="22"/>
      <c r="K23" s="45"/>
      <c r="L23"/>
    </row>
    <row r="24" spans="1:12" x14ac:dyDescent="0.35">
      <c r="A24" s="26" t="s">
        <v>30</v>
      </c>
      <c r="B24" s="27">
        <v>0.75</v>
      </c>
      <c r="C24" s="27">
        <v>0.25</v>
      </c>
      <c r="F24" s="22"/>
      <c r="K24" s="45"/>
      <c r="L24"/>
    </row>
    <row r="25" spans="1:12" ht="28" x14ac:dyDescent="0.35">
      <c r="A25" s="26" t="s">
        <v>31</v>
      </c>
      <c r="B25" s="27">
        <v>0.5</v>
      </c>
      <c r="C25" s="27">
        <v>0.5</v>
      </c>
      <c r="F25" s="22"/>
      <c r="K25" s="45"/>
      <c r="L25"/>
    </row>
    <row r="26" spans="1:12" ht="15" x14ac:dyDescent="0.35">
      <c r="A26" s="28" t="s">
        <v>32</v>
      </c>
      <c r="B26" s="27">
        <v>0.25</v>
      </c>
      <c r="C26" s="27">
        <v>0.75</v>
      </c>
      <c r="F26" s="22"/>
      <c r="K26" s="45"/>
      <c r="L26"/>
    </row>
    <row r="27" spans="1:12" x14ac:dyDescent="0.35">
      <c r="A27" s="29"/>
      <c r="F27" s="22"/>
      <c r="K27" s="45"/>
      <c r="L27"/>
    </row>
    <row r="28" spans="1:12" ht="14.4" customHeight="1" x14ac:dyDescent="0.35">
      <c r="A28" s="29"/>
      <c r="F28" s="22"/>
      <c r="K28" s="45"/>
      <c r="L28"/>
    </row>
    <row r="29" spans="1:12" ht="14.4" customHeight="1" x14ac:dyDescent="0.35">
      <c r="A29" s="100" t="s">
        <v>51</v>
      </c>
      <c r="B29" s="101"/>
      <c r="C29" s="101"/>
      <c r="F29" s="22"/>
      <c r="K29" s="45"/>
      <c r="L29"/>
    </row>
    <row r="30" spans="1:12" x14ac:dyDescent="0.35">
      <c r="A30" s="100"/>
      <c r="B30" s="101"/>
      <c r="C30" s="101"/>
      <c r="D30" s="30" t="s">
        <v>33</v>
      </c>
      <c r="E30" s="30">
        <v>0.74239999999999995</v>
      </c>
      <c r="F30" s="31" t="s">
        <v>36</v>
      </c>
      <c r="K30" s="45"/>
      <c r="L30"/>
    </row>
    <row r="31" spans="1:12" x14ac:dyDescent="0.35">
      <c r="A31" s="100"/>
      <c r="B31" s="101"/>
      <c r="C31" s="101"/>
      <c r="D31" s="30" t="s">
        <v>34</v>
      </c>
      <c r="E31" s="30">
        <v>0.36799999999999999</v>
      </c>
      <c r="F31" s="31" t="s">
        <v>36</v>
      </c>
      <c r="K31" s="45"/>
      <c r="L31"/>
    </row>
    <row r="32" spans="1:12" ht="15" customHeight="1" x14ac:dyDescent="0.35">
      <c r="A32" s="100"/>
      <c r="B32" s="101"/>
      <c r="C32" s="101"/>
      <c r="D32" s="30" t="s">
        <v>35</v>
      </c>
      <c r="E32" s="32">
        <f>(E30*0.25)+(E31*0.75)</f>
        <v>0.46160000000000001</v>
      </c>
      <c r="F32" s="31" t="s">
        <v>36</v>
      </c>
      <c r="K32" s="45"/>
      <c r="L32"/>
    </row>
    <row r="33" spans="1:12" ht="15" customHeight="1" thickBot="1" x14ac:dyDescent="0.4">
      <c r="A33" s="102" t="s">
        <v>53</v>
      </c>
      <c r="B33" s="103"/>
      <c r="C33" s="103"/>
      <c r="D33" s="33"/>
      <c r="E33" s="33"/>
      <c r="F33" s="34"/>
      <c r="K33" s="45"/>
      <c r="L33"/>
    </row>
    <row r="34" spans="1:12" ht="15" thickTop="1" x14ac:dyDescent="0.35">
      <c r="K34" s="45"/>
      <c r="L34"/>
    </row>
  </sheetData>
  <mergeCells count="3">
    <mergeCell ref="H11:J11"/>
    <mergeCell ref="A29:C32"/>
    <mergeCell ref="A33:C33"/>
  </mergeCells>
  <hyperlinks>
    <hyperlink ref="A33" r:id="rId1" xr:uid="{00000000-0004-0000-0000-000000000000}"/>
    <hyperlink ref="E8" r:id="rId2" xr:uid="{00000000-0004-0000-0000-000001000000}"/>
  </hyperlinks>
  <pageMargins left="0.7" right="0.7" top="0.75" bottom="0.75" header="0.3" footer="0.3"/>
  <pageSetup paperSize="9" orientation="portrait" r:id="rId3"/>
  <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G7"/>
  <sheetViews>
    <sheetView zoomScale="80" zoomScaleNormal="80" workbookViewId="0">
      <selection activeCell="H20" sqref="H20"/>
    </sheetView>
  </sheetViews>
  <sheetFormatPr defaultColWidth="8.90625" defaultRowHeight="13.5" x14ac:dyDescent="0.3"/>
  <cols>
    <col min="1" max="1" width="11.90625" style="37" bestFit="1" customWidth="1"/>
    <col min="2" max="2" width="50.54296875" style="37" bestFit="1" customWidth="1"/>
    <col min="3" max="3" width="13.90625" style="43" bestFit="1" customWidth="1"/>
    <col min="4" max="4" width="8.90625" style="37"/>
    <col min="5" max="6" width="9.36328125" style="37" customWidth="1"/>
    <col min="7" max="16384" width="8.90625" style="37"/>
  </cols>
  <sheetData>
    <row r="2" spans="1:7" ht="46.75" customHeight="1" x14ac:dyDescent="0.3">
      <c r="A2" s="35" t="s">
        <v>37</v>
      </c>
      <c r="B2" s="35" t="s">
        <v>38</v>
      </c>
      <c r="C2" s="36" t="s">
        <v>3</v>
      </c>
    </row>
    <row r="3" spans="1:7" s="39" customFormat="1" ht="53.4" customHeight="1" x14ac:dyDescent="0.35">
      <c r="A3" s="38" t="s">
        <v>39</v>
      </c>
      <c r="B3" s="38" t="s">
        <v>40</v>
      </c>
      <c r="C3" s="47">
        <f>(C4-C5)/(C6-C7)</f>
        <v>40.84464849262482</v>
      </c>
    </row>
    <row r="4" spans="1:7" s="39" customFormat="1" ht="53.4" customHeight="1" x14ac:dyDescent="0.35">
      <c r="A4" s="40" t="s">
        <v>41</v>
      </c>
      <c r="B4" s="38" t="s">
        <v>42</v>
      </c>
      <c r="C4" s="47">
        <v>9540000</v>
      </c>
    </row>
    <row r="5" spans="1:7" s="39" customFormat="1" ht="53.4" customHeight="1" x14ac:dyDescent="0.3">
      <c r="A5" s="40" t="s">
        <v>43</v>
      </c>
      <c r="B5" s="38" t="s">
        <v>44</v>
      </c>
      <c r="C5" s="41">
        <v>0</v>
      </c>
      <c r="E5" s="37"/>
      <c r="F5" s="37"/>
      <c r="G5" s="37"/>
    </row>
    <row r="6" spans="1:7" s="39" customFormat="1" ht="53.4" customHeight="1" x14ac:dyDescent="0.3">
      <c r="A6" s="40" t="s">
        <v>45</v>
      </c>
      <c r="B6" s="38" t="s">
        <v>46</v>
      </c>
      <c r="C6" s="47">
        <v>233567.93</v>
      </c>
      <c r="E6" s="37"/>
      <c r="F6" s="37"/>
      <c r="G6" s="37"/>
    </row>
    <row r="7" spans="1:7" s="39" customFormat="1" ht="53.4" customHeight="1" x14ac:dyDescent="0.35">
      <c r="A7" s="40" t="s">
        <v>47</v>
      </c>
      <c r="B7" s="38" t="s">
        <v>48</v>
      </c>
      <c r="C7" s="42">
        <v>0</v>
      </c>
    </row>
  </sheetData>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J42"/>
  <sheetViews>
    <sheetView topLeftCell="A22" zoomScale="85" zoomScaleNormal="85" workbookViewId="0">
      <selection activeCell="A39" sqref="A39"/>
    </sheetView>
  </sheetViews>
  <sheetFormatPr defaultColWidth="10.6328125" defaultRowHeight="14.5" x14ac:dyDescent="0.35"/>
  <cols>
    <col min="1" max="1" width="28.453125" style="54" customWidth="1"/>
    <col min="2" max="2" width="22.36328125" style="54" customWidth="1"/>
    <col min="3" max="3" width="36.81640625" style="54" customWidth="1"/>
    <col min="4" max="4" width="22.453125" style="54" customWidth="1"/>
    <col min="5" max="5" width="12.08984375" style="54" customWidth="1"/>
    <col min="6" max="6" width="12.1796875" style="54" customWidth="1"/>
    <col min="7" max="7" width="11.453125" style="54" customWidth="1"/>
    <col min="8" max="8" width="9.6328125" style="54" customWidth="1"/>
    <col min="9" max="16384" width="10.6328125" style="54"/>
  </cols>
  <sheetData>
    <row r="1" spans="1:10" ht="15" thickBot="1" x14ac:dyDescent="0.4">
      <c r="A1" s="50"/>
      <c r="B1" s="50"/>
      <c r="C1" s="51"/>
      <c r="D1" s="52"/>
      <c r="E1" s="51"/>
      <c r="F1" s="53"/>
      <c r="G1" s="51"/>
      <c r="H1" s="51"/>
      <c r="I1" s="51"/>
      <c r="J1" s="51"/>
    </row>
    <row r="2" spans="1:10" x14ac:dyDescent="0.35">
      <c r="A2" s="55" t="s">
        <v>54</v>
      </c>
      <c r="B2" s="56"/>
      <c r="C2" s="56"/>
      <c r="D2" s="104" t="s">
        <v>55</v>
      </c>
      <c r="E2" s="105"/>
      <c r="F2" s="105"/>
      <c r="G2" s="105"/>
      <c r="H2" s="106"/>
      <c r="I2" s="51"/>
      <c r="J2" s="51"/>
    </row>
    <row r="3" spans="1:10" x14ac:dyDescent="0.35">
      <c r="A3" s="57" t="s">
        <v>56</v>
      </c>
      <c r="B3" s="58">
        <v>15228703</v>
      </c>
      <c r="C3" s="57" t="s">
        <v>57</v>
      </c>
      <c r="D3" s="59" t="s">
        <v>58</v>
      </c>
      <c r="E3" s="59"/>
      <c r="F3" s="107" t="s">
        <v>59</v>
      </c>
      <c r="G3" s="107"/>
      <c r="H3" s="108"/>
      <c r="I3" s="51"/>
      <c r="J3" s="51"/>
    </row>
    <row r="4" spans="1:10" x14ac:dyDescent="0.35">
      <c r="A4" s="57" t="s">
        <v>60</v>
      </c>
      <c r="B4" s="58">
        <v>70931.3</v>
      </c>
      <c r="C4" s="57" t="s">
        <v>61</v>
      </c>
      <c r="D4" s="59" t="s">
        <v>62</v>
      </c>
      <c r="E4" s="59"/>
      <c r="F4" s="107" t="s">
        <v>59</v>
      </c>
      <c r="G4" s="107"/>
      <c r="H4" s="108"/>
      <c r="I4" s="51"/>
      <c r="J4" s="51"/>
    </row>
    <row r="5" spans="1:10" x14ac:dyDescent="0.35">
      <c r="A5" s="57" t="s">
        <v>63</v>
      </c>
      <c r="B5" s="58">
        <v>2.79</v>
      </c>
      <c r="C5" s="57" t="s">
        <v>64</v>
      </c>
      <c r="D5" s="107" t="s">
        <v>65</v>
      </c>
      <c r="E5" s="107"/>
      <c r="F5" s="107"/>
      <c r="G5" s="107"/>
      <c r="H5" s="108"/>
      <c r="I5" s="51"/>
      <c r="J5" s="51"/>
    </row>
    <row r="6" spans="1:10" ht="29" x14ac:dyDescent="0.35">
      <c r="A6" s="57" t="s">
        <v>66</v>
      </c>
      <c r="B6" s="58">
        <f>[1]ER!C7/1000</f>
        <v>31.99</v>
      </c>
      <c r="C6" s="57" t="s">
        <v>61</v>
      </c>
      <c r="D6" s="60"/>
      <c r="E6" s="60"/>
      <c r="F6" s="60"/>
      <c r="G6" s="60"/>
      <c r="H6" s="60"/>
      <c r="I6" s="51"/>
      <c r="J6" s="51"/>
    </row>
    <row r="7" spans="1:10" x14ac:dyDescent="0.35">
      <c r="A7" s="57" t="s">
        <v>67</v>
      </c>
      <c r="B7" s="58">
        <f>+B6/B4*B3</f>
        <v>6868.1415534467851</v>
      </c>
      <c r="C7" s="57" t="s">
        <v>57</v>
      </c>
      <c r="D7" s="60"/>
      <c r="E7" s="60"/>
      <c r="F7" s="60"/>
      <c r="G7" s="60"/>
      <c r="H7" s="60"/>
      <c r="I7" s="51"/>
      <c r="J7" s="51"/>
    </row>
    <row r="8" spans="1:10" x14ac:dyDescent="0.35">
      <c r="A8" s="57" t="s">
        <v>68</v>
      </c>
      <c r="B8" s="58">
        <f>+B7*B5*1000</f>
        <v>19162114.934116527</v>
      </c>
      <c r="C8" s="57" t="s">
        <v>69</v>
      </c>
      <c r="D8" s="60"/>
      <c r="E8" s="60"/>
      <c r="F8" s="60"/>
      <c r="G8" s="60"/>
      <c r="H8" s="60"/>
      <c r="I8" s="51"/>
      <c r="J8" s="51"/>
    </row>
    <row r="9" spans="1:10" x14ac:dyDescent="0.35">
      <c r="A9" s="57" t="s">
        <v>70</v>
      </c>
      <c r="B9" s="58">
        <f>+B8/B10</f>
        <v>1130844.5068100798</v>
      </c>
      <c r="C9" s="57" t="s">
        <v>71</v>
      </c>
      <c r="D9" s="60"/>
      <c r="E9" s="60"/>
      <c r="F9" s="60"/>
      <c r="G9" s="60"/>
      <c r="H9" s="60"/>
    </row>
    <row r="10" spans="1:10" ht="87" x14ac:dyDescent="0.35">
      <c r="A10" s="57" t="s">
        <v>72</v>
      </c>
      <c r="B10" s="58">
        <v>16.944959999999998</v>
      </c>
      <c r="C10" s="57" t="s">
        <v>73</v>
      </c>
      <c r="D10" s="61" t="s">
        <v>74</v>
      </c>
      <c r="E10" s="62" t="s">
        <v>75</v>
      </c>
      <c r="F10" s="60"/>
      <c r="G10" s="60"/>
      <c r="H10" s="60"/>
    </row>
    <row r="13" spans="1:10" x14ac:dyDescent="0.35">
      <c r="A13" s="54" t="s">
        <v>76</v>
      </c>
      <c r="B13" s="63">
        <f>ROUNDDOWN(B7*1000,0)</f>
        <v>6868141</v>
      </c>
      <c r="C13" s="96" t="s">
        <v>150</v>
      </c>
    </row>
    <row r="14" spans="1:10" x14ac:dyDescent="0.35">
      <c r="B14" s="63">
        <f>ROUNDDOWN(B8,0)</f>
        <v>19162114</v>
      </c>
      <c r="C14" s="96" t="s">
        <v>149</v>
      </c>
    </row>
    <row r="15" spans="1:10" x14ac:dyDescent="0.35">
      <c r="A15"/>
    </row>
    <row r="16" spans="1:10" ht="14.4" customHeight="1" x14ac:dyDescent="0.35">
      <c r="A16"/>
    </row>
    <row r="17" spans="1:9" ht="15.5" x14ac:dyDescent="0.35">
      <c r="A17" s="95" t="s">
        <v>148</v>
      </c>
    </row>
    <row r="18" spans="1:9" ht="40.5" x14ac:dyDescent="0.35">
      <c r="A18" s="89" t="s">
        <v>138</v>
      </c>
      <c r="B18" s="89" t="s">
        <v>140</v>
      </c>
      <c r="C18" s="89" t="s">
        <v>141</v>
      </c>
      <c r="D18" s="89" t="s">
        <v>142</v>
      </c>
      <c r="E18"/>
      <c r="F18" s="81" t="s">
        <v>132</v>
      </c>
      <c r="G18" s="81" t="s">
        <v>133</v>
      </c>
      <c r="H18" s="84" t="s">
        <v>135</v>
      </c>
    </row>
    <row r="19" spans="1:9" ht="31" x14ac:dyDescent="0.35">
      <c r="A19" s="11" t="s">
        <v>131</v>
      </c>
      <c r="B19" s="97">
        <f>ROUNDDOWN(H19*$B$13/365,0)</f>
        <v>5174626</v>
      </c>
      <c r="C19" s="98">
        <v>0</v>
      </c>
      <c r="D19" s="97">
        <f>B19-C19</f>
        <v>5174626</v>
      </c>
      <c r="E19"/>
      <c r="F19" s="82">
        <v>42826</v>
      </c>
      <c r="G19" s="82">
        <v>43100</v>
      </c>
      <c r="H19" s="85">
        <f>+G19-F19+1</f>
        <v>275</v>
      </c>
    </row>
    <row r="20" spans="1:9" ht="15.5" x14ac:dyDescent="0.35">
      <c r="A20" s="11">
        <v>2018</v>
      </c>
      <c r="B20" s="97">
        <f>$B$13</f>
        <v>6868141</v>
      </c>
      <c r="C20" s="98">
        <v>0</v>
      </c>
      <c r="D20" s="97">
        <f t="shared" ref="D20:D27" si="0">B20-C20</f>
        <v>6868141</v>
      </c>
      <c r="E20"/>
      <c r="F20" s="82"/>
      <c r="G20" s="82"/>
      <c r="H20" s="85"/>
    </row>
    <row r="21" spans="1:9" ht="15.5" x14ac:dyDescent="0.35">
      <c r="A21" s="11">
        <v>2019</v>
      </c>
      <c r="B21" s="97">
        <f t="shared" ref="B21:B25" si="1">$B$13</f>
        <v>6868141</v>
      </c>
      <c r="C21" s="98">
        <v>0</v>
      </c>
      <c r="D21" s="97">
        <f t="shared" si="0"/>
        <v>6868141</v>
      </c>
      <c r="E21"/>
      <c r="F21" s="82"/>
      <c r="G21" s="82"/>
      <c r="H21" s="85"/>
    </row>
    <row r="22" spans="1:9" ht="15.5" x14ac:dyDescent="0.35">
      <c r="A22" s="11">
        <v>2020</v>
      </c>
      <c r="B22" s="97">
        <f t="shared" si="1"/>
        <v>6868141</v>
      </c>
      <c r="C22" s="98">
        <v>0</v>
      </c>
      <c r="D22" s="97">
        <f t="shared" si="0"/>
        <v>6868141</v>
      </c>
      <c r="E22"/>
      <c r="F22" s="82"/>
      <c r="G22" s="82"/>
      <c r="H22" s="85"/>
    </row>
    <row r="23" spans="1:9" ht="15.5" x14ac:dyDescent="0.35">
      <c r="A23" s="11">
        <v>2021</v>
      </c>
      <c r="B23" s="97">
        <f t="shared" si="1"/>
        <v>6868141</v>
      </c>
      <c r="C23" s="98">
        <v>0</v>
      </c>
      <c r="D23" s="97">
        <f t="shared" si="0"/>
        <v>6868141</v>
      </c>
      <c r="E23"/>
      <c r="F23" s="82"/>
      <c r="G23" s="82"/>
      <c r="H23" s="85"/>
    </row>
    <row r="24" spans="1:9" ht="15.5" x14ac:dyDescent="0.35">
      <c r="A24" s="11">
        <v>2022</v>
      </c>
      <c r="B24" s="97">
        <f t="shared" si="1"/>
        <v>6868141</v>
      </c>
      <c r="C24" s="98">
        <v>0</v>
      </c>
      <c r="D24" s="97">
        <f t="shared" si="0"/>
        <v>6868141</v>
      </c>
      <c r="E24"/>
      <c r="F24" s="82"/>
      <c r="G24" s="82"/>
      <c r="H24" s="85"/>
    </row>
    <row r="25" spans="1:9" ht="15.5" x14ac:dyDescent="0.35">
      <c r="A25" s="11">
        <v>2023</v>
      </c>
      <c r="B25" s="97">
        <f t="shared" si="1"/>
        <v>6868141</v>
      </c>
      <c r="C25" s="98">
        <v>0</v>
      </c>
      <c r="D25" s="97">
        <f t="shared" si="0"/>
        <v>6868141</v>
      </c>
      <c r="E25"/>
      <c r="F25" s="83"/>
      <c r="G25" s="83"/>
      <c r="H25" s="85"/>
    </row>
    <row r="26" spans="1:9" ht="31" x14ac:dyDescent="0.35">
      <c r="A26" s="11" t="s">
        <v>151</v>
      </c>
      <c r="B26" s="97">
        <f>ROUNDDOWN(H26*$B$13/365,0)</f>
        <v>1712331</v>
      </c>
      <c r="C26" s="98">
        <v>0</v>
      </c>
      <c r="D26" s="97">
        <f t="shared" si="0"/>
        <v>1712331</v>
      </c>
      <c r="E26"/>
      <c r="F26" s="82">
        <v>45292</v>
      </c>
      <c r="G26" s="82">
        <v>45382</v>
      </c>
      <c r="H26" s="85">
        <f>+G26-F26+1</f>
        <v>91</v>
      </c>
      <c r="I26"/>
    </row>
    <row r="27" spans="1:9" ht="15.5" x14ac:dyDescent="0.35">
      <c r="A27" s="11" t="s">
        <v>139</v>
      </c>
      <c r="B27" s="97">
        <f>365*B28/(365*6+366)</f>
        <v>6868140.8822378721</v>
      </c>
      <c r="C27" s="98">
        <v>0</v>
      </c>
      <c r="D27" s="97">
        <f t="shared" si="0"/>
        <v>6868140.8822378721</v>
      </c>
      <c r="E27"/>
      <c r="F27" s="83"/>
      <c r="G27" s="83"/>
      <c r="H27" s="85"/>
    </row>
    <row r="28" spans="1:9" ht="15.5" x14ac:dyDescent="0.35">
      <c r="A28" s="11" t="s">
        <v>146</v>
      </c>
      <c r="B28" s="97">
        <f>SUM(B19:B26)</f>
        <v>48095803</v>
      </c>
      <c r="C28" s="98">
        <v>0</v>
      </c>
      <c r="D28" s="97">
        <f>B28-C28</f>
        <v>48095803</v>
      </c>
      <c r="E28"/>
      <c r="F28" s="83"/>
      <c r="G28" s="83"/>
      <c r="H28" s="85"/>
    </row>
    <row r="29" spans="1:9" ht="15.5" x14ac:dyDescent="0.35">
      <c r="A29"/>
      <c r="B29"/>
      <c r="C29"/>
      <c r="D29"/>
      <c r="E29"/>
      <c r="F29" s="83" t="s">
        <v>134</v>
      </c>
      <c r="G29" s="83"/>
      <c r="H29" s="85">
        <f>+H19+H26</f>
        <v>366</v>
      </c>
    </row>
    <row r="30" spans="1:9" ht="15.5" x14ac:dyDescent="0.35">
      <c r="A30" s="95" t="s">
        <v>147</v>
      </c>
      <c r="B30"/>
      <c r="C30"/>
      <c r="D30"/>
      <c r="E30"/>
      <c r="F30"/>
      <c r="G30"/>
      <c r="H30"/>
    </row>
    <row r="31" spans="1:9" ht="40.5" x14ac:dyDescent="0.35">
      <c r="A31" s="89" t="s">
        <v>138</v>
      </c>
      <c r="B31" s="89" t="s">
        <v>140</v>
      </c>
      <c r="C31" s="89" t="s">
        <v>141</v>
      </c>
      <c r="D31" s="89" t="s">
        <v>142</v>
      </c>
      <c r="E31"/>
      <c r="F31" s="81" t="s">
        <v>132</v>
      </c>
      <c r="G31" s="81" t="s">
        <v>133</v>
      </c>
      <c r="H31" s="84" t="s">
        <v>135</v>
      </c>
    </row>
    <row r="32" spans="1:9" ht="31" x14ac:dyDescent="0.35">
      <c r="A32" s="11" t="s">
        <v>131</v>
      </c>
      <c r="B32" s="97">
        <f>ROUNDDOWN(H32*$B$14/365,0)</f>
        <v>14437209</v>
      </c>
      <c r="C32" s="98">
        <v>0</v>
      </c>
      <c r="D32" s="97">
        <f>B32-C32</f>
        <v>14437209</v>
      </c>
      <c r="E32"/>
      <c r="F32" s="82">
        <v>42826</v>
      </c>
      <c r="G32" s="82">
        <v>43100</v>
      </c>
      <c r="H32" s="85">
        <f>+G32-F32+1</f>
        <v>275</v>
      </c>
    </row>
    <row r="33" spans="1:8" ht="15.5" x14ac:dyDescent="0.35">
      <c r="A33" s="11">
        <v>2018</v>
      </c>
      <c r="B33" s="97">
        <f>$B$14</f>
        <v>19162114</v>
      </c>
      <c r="C33" s="98">
        <v>0</v>
      </c>
      <c r="D33" s="97">
        <f t="shared" ref="D33:D40" si="2">B33-C33</f>
        <v>19162114</v>
      </c>
      <c r="E33"/>
      <c r="F33" s="82"/>
      <c r="G33" s="82"/>
      <c r="H33" s="85"/>
    </row>
    <row r="34" spans="1:8" ht="15.5" x14ac:dyDescent="0.35">
      <c r="A34" s="11">
        <v>2019</v>
      </c>
      <c r="B34" s="97">
        <f t="shared" ref="B34:B38" si="3">$B$14</f>
        <v>19162114</v>
      </c>
      <c r="C34" s="98">
        <v>0</v>
      </c>
      <c r="D34" s="97">
        <f t="shared" si="2"/>
        <v>19162114</v>
      </c>
      <c r="E34"/>
      <c r="F34" s="82"/>
      <c r="G34" s="82"/>
      <c r="H34" s="85"/>
    </row>
    <row r="35" spans="1:8" ht="15.5" x14ac:dyDescent="0.35">
      <c r="A35" s="11">
        <v>2020</v>
      </c>
      <c r="B35" s="97">
        <f t="shared" si="3"/>
        <v>19162114</v>
      </c>
      <c r="C35" s="98">
        <v>0</v>
      </c>
      <c r="D35" s="97">
        <f t="shared" si="2"/>
        <v>19162114</v>
      </c>
      <c r="E35"/>
      <c r="F35" s="82"/>
      <c r="G35" s="82"/>
      <c r="H35" s="85"/>
    </row>
    <row r="36" spans="1:8" ht="15.5" x14ac:dyDescent="0.35">
      <c r="A36" s="11">
        <v>2021</v>
      </c>
      <c r="B36" s="97">
        <f t="shared" si="3"/>
        <v>19162114</v>
      </c>
      <c r="C36" s="98">
        <v>0</v>
      </c>
      <c r="D36" s="97">
        <f t="shared" si="2"/>
        <v>19162114</v>
      </c>
      <c r="E36"/>
      <c r="F36" s="82"/>
      <c r="G36" s="82"/>
      <c r="H36" s="85"/>
    </row>
    <row r="37" spans="1:8" ht="15.5" x14ac:dyDescent="0.35">
      <c r="A37" s="11">
        <v>2022</v>
      </c>
      <c r="B37" s="97">
        <f t="shared" si="3"/>
        <v>19162114</v>
      </c>
      <c r="C37" s="98">
        <v>0</v>
      </c>
      <c r="D37" s="97">
        <f t="shared" si="2"/>
        <v>19162114</v>
      </c>
      <c r="E37"/>
      <c r="F37" s="82"/>
      <c r="G37" s="82"/>
      <c r="H37" s="85"/>
    </row>
    <row r="38" spans="1:8" ht="15.5" x14ac:dyDescent="0.35">
      <c r="A38" s="11">
        <v>2023</v>
      </c>
      <c r="B38" s="97">
        <f t="shared" si="3"/>
        <v>19162114</v>
      </c>
      <c r="C38" s="98">
        <v>0</v>
      </c>
      <c r="D38" s="97">
        <f t="shared" si="2"/>
        <v>19162114</v>
      </c>
      <c r="E38"/>
      <c r="F38" s="83"/>
      <c r="G38" s="83"/>
      <c r="H38" s="85"/>
    </row>
    <row r="39" spans="1:8" ht="31" x14ac:dyDescent="0.35">
      <c r="A39" s="11" t="s">
        <v>151</v>
      </c>
      <c r="B39" s="97">
        <f>ROUNDDOWN(H39*$B$14/365,0)</f>
        <v>4777403</v>
      </c>
      <c r="C39" s="98">
        <v>0</v>
      </c>
      <c r="D39" s="97">
        <f t="shared" si="2"/>
        <v>4777403</v>
      </c>
      <c r="E39"/>
      <c r="F39" s="82">
        <v>45292</v>
      </c>
      <c r="G39" s="82">
        <v>45382</v>
      </c>
      <c r="H39" s="85">
        <f>+G39-F39+1</f>
        <v>91</v>
      </c>
    </row>
    <row r="40" spans="1:8" ht="15.5" x14ac:dyDescent="0.35">
      <c r="A40" s="11" t="s">
        <v>139</v>
      </c>
      <c r="B40" s="97">
        <f>B41/7</f>
        <v>19169613.714285713</v>
      </c>
      <c r="C40" s="98">
        <v>0</v>
      </c>
      <c r="D40" s="97">
        <f t="shared" si="2"/>
        <v>19169613.714285713</v>
      </c>
      <c r="E40"/>
      <c r="F40" s="83"/>
      <c r="G40" s="83"/>
      <c r="H40" s="85"/>
    </row>
    <row r="41" spans="1:8" ht="15.5" x14ac:dyDescent="0.35">
      <c r="A41" s="11" t="s">
        <v>146</v>
      </c>
      <c r="B41" s="97">
        <f>SUM(B32:B39)</f>
        <v>134187296</v>
      </c>
      <c r="C41" s="98">
        <v>0</v>
      </c>
      <c r="D41" s="97">
        <f>B41-C41</f>
        <v>134187296</v>
      </c>
      <c r="E41"/>
      <c r="F41" s="83"/>
      <c r="G41" s="83"/>
      <c r="H41" s="85"/>
    </row>
    <row r="42" spans="1:8" ht="15.5" x14ac:dyDescent="0.35">
      <c r="A42"/>
      <c r="B42"/>
      <c r="C42"/>
      <c r="D42"/>
      <c r="E42"/>
      <c r="F42" s="83" t="s">
        <v>134</v>
      </c>
      <c r="G42" s="83"/>
      <c r="H42" s="85">
        <f>+H32+H39</f>
        <v>366</v>
      </c>
    </row>
  </sheetData>
  <mergeCells count="4">
    <mergeCell ref="D2:H2"/>
    <mergeCell ref="F3:H3"/>
    <mergeCell ref="F4:H4"/>
    <mergeCell ref="D5:H5"/>
  </mergeCells>
  <hyperlinks>
    <hyperlink ref="D3" r:id="rId1" xr:uid="{00000000-0004-0000-0200-000000000000}"/>
    <hyperlink ref="D4" r:id="rId2" xr:uid="{00000000-0004-0000-0200-000001000000}"/>
    <hyperlink ref="D5" r:id="rId3" xr:uid="{00000000-0004-0000-0200-000002000000}"/>
    <hyperlink ref="E10" r:id="rId4" location="collapse_2" xr:uid="{00000000-0004-0000-0200-000003000000}"/>
    <hyperlink ref="F4:H4" r:id="rId5" display="References\38-Grafik III.I - 2020 Yılı Türkiye Elektrik Enerjisi Üretiminin Kaynaklara Göre Dağılımı.docx" xr:uid="{00000000-0004-0000-0200-000004000000}"/>
    <hyperlink ref="F3:H3" r:id="rId6" display="References\38-Grafik III.I - 2020 Yılı Türkiye Elektrik Enerjisi Üretiminin Kaynaklara Göre Dağılımı.docx" xr:uid="{00000000-0004-0000-0200-000005000000}"/>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Q38"/>
  <sheetViews>
    <sheetView topLeftCell="A19" workbookViewId="0">
      <selection activeCell="A22" sqref="A22"/>
    </sheetView>
  </sheetViews>
  <sheetFormatPr defaultRowHeight="14.5" x14ac:dyDescent="0.35"/>
  <cols>
    <col min="1" max="1" width="15.08984375" customWidth="1"/>
    <col min="2" max="2" width="18.453125" customWidth="1"/>
    <col min="3" max="3" width="45.54296875" bestFit="1" customWidth="1"/>
    <col min="4" max="4" width="11.36328125" bestFit="1" customWidth="1"/>
    <col min="5" max="5" width="10.08984375" customWidth="1"/>
  </cols>
  <sheetData>
    <row r="1" spans="1:17" ht="15" thickBot="1" x14ac:dyDescent="0.4">
      <c r="A1" s="109" t="s">
        <v>55</v>
      </c>
      <c r="B1" s="104"/>
      <c r="C1" s="64" t="s">
        <v>77</v>
      </c>
      <c r="D1" s="65" t="s">
        <v>3</v>
      </c>
      <c r="E1" s="64" t="s">
        <v>4</v>
      </c>
    </row>
    <row r="2" spans="1:17" ht="15.5" thickBot="1" x14ac:dyDescent="0.4">
      <c r="A2" s="110" t="s">
        <v>89</v>
      </c>
      <c r="B2" s="111"/>
      <c r="C2" s="66" t="s">
        <v>78</v>
      </c>
      <c r="D2" s="67">
        <v>2455</v>
      </c>
      <c r="E2" s="66" t="s">
        <v>79</v>
      </c>
      <c r="F2" t="s">
        <v>90</v>
      </c>
      <c r="O2" s="72" t="s">
        <v>92</v>
      </c>
      <c r="P2" s="73" t="s">
        <v>93</v>
      </c>
      <c r="Q2" s="74" t="s">
        <v>94</v>
      </c>
    </row>
    <row r="3" spans="1:17" ht="16" thickBot="1" x14ac:dyDescent="0.4">
      <c r="A3" s="110" t="s">
        <v>89</v>
      </c>
      <c r="B3" s="111"/>
      <c r="C3" s="66" t="s">
        <v>80</v>
      </c>
      <c r="D3" s="67">
        <v>779</v>
      </c>
      <c r="E3" s="66" t="s">
        <v>79</v>
      </c>
      <c r="F3" t="s">
        <v>90</v>
      </c>
      <c r="O3" s="75" t="s">
        <v>95</v>
      </c>
      <c r="P3" s="76" t="s">
        <v>96</v>
      </c>
      <c r="Q3" s="76" t="s">
        <v>97</v>
      </c>
    </row>
    <row r="4" spans="1:17" ht="16" thickBot="1" x14ac:dyDescent="0.4">
      <c r="A4" s="110" t="s">
        <v>91</v>
      </c>
      <c r="B4" s="111"/>
      <c r="C4" s="66" t="s">
        <v>81</v>
      </c>
      <c r="D4" s="67">
        <v>306703.09999999998</v>
      </c>
      <c r="E4" s="66" t="s">
        <v>61</v>
      </c>
      <c r="O4" s="77" t="s">
        <v>98</v>
      </c>
      <c r="P4" s="78" t="s">
        <v>99</v>
      </c>
      <c r="Q4" s="78" t="s">
        <v>100</v>
      </c>
    </row>
    <row r="5" spans="1:17" ht="16" thickBot="1" x14ac:dyDescent="0.4">
      <c r="A5" s="112"/>
      <c r="B5" s="112"/>
      <c r="C5" s="93" t="s">
        <v>82</v>
      </c>
      <c r="D5" s="94">
        <f>+D2/D4*1000</f>
        <v>8.0044838151293565</v>
      </c>
      <c r="E5" s="66" t="s">
        <v>83</v>
      </c>
      <c r="O5" s="75" t="s">
        <v>101</v>
      </c>
      <c r="P5" s="76" t="s">
        <v>102</v>
      </c>
      <c r="Q5" s="76" t="s">
        <v>103</v>
      </c>
    </row>
    <row r="6" spans="1:17" ht="16" thickBot="1" x14ac:dyDescent="0.4">
      <c r="A6" s="70"/>
      <c r="B6" s="70"/>
      <c r="C6" s="93" t="s">
        <v>84</v>
      </c>
      <c r="D6" s="94">
        <f>+D3/D4*1000</f>
        <v>2.5399156382834085</v>
      </c>
      <c r="E6" s="66" t="s">
        <v>83</v>
      </c>
      <c r="O6" s="77" t="s">
        <v>104</v>
      </c>
      <c r="P6" s="78" t="s">
        <v>105</v>
      </c>
      <c r="Q6" s="78" t="s">
        <v>106</v>
      </c>
    </row>
    <row r="7" spans="1:17" ht="16" thickBot="1" x14ac:dyDescent="0.4">
      <c r="A7" s="70"/>
      <c r="B7" s="70"/>
      <c r="C7" s="66" t="s">
        <v>85</v>
      </c>
      <c r="D7" s="67">
        <f>[1]ER!C7</f>
        <v>31990</v>
      </c>
      <c r="E7" s="66" t="s">
        <v>86</v>
      </c>
      <c r="O7" s="75" t="s">
        <v>107</v>
      </c>
      <c r="P7" s="76" t="s">
        <v>108</v>
      </c>
      <c r="Q7" s="76" t="s">
        <v>109</v>
      </c>
    </row>
    <row r="8" spans="1:17" ht="16" thickBot="1" x14ac:dyDescent="0.4">
      <c r="A8" s="70"/>
      <c r="B8" s="70"/>
      <c r="C8" s="91" t="s">
        <v>143</v>
      </c>
      <c r="D8" s="92">
        <f>(D7*D5)/1000</f>
        <v>256.0634372459881</v>
      </c>
      <c r="E8" s="66" t="s">
        <v>87</v>
      </c>
      <c r="O8" s="77" t="s">
        <v>110</v>
      </c>
      <c r="P8" s="78" t="s">
        <v>111</v>
      </c>
      <c r="Q8" s="78" t="s">
        <v>112</v>
      </c>
    </row>
    <row r="9" spans="1:17" ht="16" thickBot="1" x14ac:dyDescent="0.4">
      <c r="A9" s="70"/>
      <c r="B9" s="70"/>
      <c r="C9" s="71" t="s">
        <v>88</v>
      </c>
      <c r="D9" s="68">
        <f>(D7*D6)/1000</f>
        <v>81.25190126868624</v>
      </c>
      <c r="E9" s="69" t="s">
        <v>87</v>
      </c>
      <c r="O9" s="75" t="s">
        <v>113</v>
      </c>
      <c r="P9" s="76" t="s">
        <v>114</v>
      </c>
      <c r="Q9" s="76" t="s">
        <v>115</v>
      </c>
    </row>
    <row r="10" spans="1:17" ht="16" thickBot="1" x14ac:dyDescent="0.4">
      <c r="O10" s="77" t="s">
        <v>116</v>
      </c>
      <c r="P10" s="78" t="s">
        <v>117</v>
      </c>
      <c r="Q10" s="78" t="s">
        <v>118</v>
      </c>
    </row>
    <row r="11" spans="1:17" ht="16" thickBot="1" x14ac:dyDescent="0.4">
      <c r="O11" s="75" t="s">
        <v>119</v>
      </c>
      <c r="P11" s="76" t="s">
        <v>120</v>
      </c>
      <c r="Q11" s="76" t="s">
        <v>121</v>
      </c>
    </row>
    <row r="12" spans="1:17" ht="16" thickBot="1" x14ac:dyDescent="0.4">
      <c r="O12" s="77" t="s">
        <v>122</v>
      </c>
      <c r="P12" s="78" t="s">
        <v>123</v>
      </c>
      <c r="Q12" s="78" t="s">
        <v>124</v>
      </c>
    </row>
    <row r="13" spans="1:17" ht="16" thickBot="1" x14ac:dyDescent="0.4">
      <c r="A13" s="95" t="s">
        <v>144</v>
      </c>
      <c r="O13" s="75" t="s">
        <v>125</v>
      </c>
      <c r="P13" s="76" t="s">
        <v>126</v>
      </c>
      <c r="Q13" s="76" t="s">
        <v>127</v>
      </c>
    </row>
    <row r="14" spans="1:17" ht="81.5" thickBot="1" x14ac:dyDescent="0.4">
      <c r="A14" s="89" t="s">
        <v>138</v>
      </c>
      <c r="B14" s="89" t="s">
        <v>140</v>
      </c>
      <c r="C14" s="89" t="s">
        <v>141</v>
      </c>
      <c r="D14" s="89" t="s">
        <v>142</v>
      </c>
      <c r="F14" s="81" t="s">
        <v>132</v>
      </c>
      <c r="G14" s="81" t="s">
        <v>133</v>
      </c>
      <c r="H14" s="84" t="s">
        <v>135</v>
      </c>
      <c r="O14" s="77" t="s">
        <v>128</v>
      </c>
      <c r="P14" s="79" t="s">
        <v>129</v>
      </c>
      <c r="Q14" s="79" t="s">
        <v>130</v>
      </c>
    </row>
    <row r="15" spans="1:17" ht="46.5" x14ac:dyDescent="0.35">
      <c r="A15" s="11" t="s">
        <v>131</v>
      </c>
      <c r="B15" s="90">
        <f>ROUNDDOWN(H15*$D$9/365,0)</f>
        <v>61</v>
      </c>
      <c r="C15" s="90">
        <v>0</v>
      </c>
      <c r="D15" s="90">
        <f>B15-C15</f>
        <v>61</v>
      </c>
      <c r="F15" s="82">
        <v>42826</v>
      </c>
      <c r="G15" s="82">
        <v>43100</v>
      </c>
      <c r="H15" s="85">
        <f>+G15-F15+1</f>
        <v>275</v>
      </c>
    </row>
    <row r="16" spans="1:17" ht="15.5" x14ac:dyDescent="0.35">
      <c r="A16" s="11">
        <v>2018</v>
      </c>
      <c r="B16" s="90">
        <f>$D$9</f>
        <v>81.25190126868624</v>
      </c>
      <c r="C16" s="90">
        <v>0</v>
      </c>
      <c r="D16" s="90">
        <f t="shared" ref="D16:D23" si="0">B16-C16</f>
        <v>81.25190126868624</v>
      </c>
      <c r="F16" s="82"/>
      <c r="G16" s="82"/>
      <c r="H16" s="85"/>
    </row>
    <row r="17" spans="1:8" ht="15.5" x14ac:dyDescent="0.35">
      <c r="A17" s="11">
        <v>2019</v>
      </c>
      <c r="B17" s="90">
        <f t="shared" ref="B17:B21" si="1">$D$9</f>
        <v>81.25190126868624</v>
      </c>
      <c r="C17" s="90">
        <v>0</v>
      </c>
      <c r="D17" s="90">
        <f t="shared" si="0"/>
        <v>81.25190126868624</v>
      </c>
      <c r="F17" s="82"/>
      <c r="G17" s="82"/>
      <c r="H17" s="85"/>
    </row>
    <row r="18" spans="1:8" ht="15.5" x14ac:dyDescent="0.35">
      <c r="A18" s="11">
        <v>2020</v>
      </c>
      <c r="B18" s="90">
        <f t="shared" si="1"/>
        <v>81.25190126868624</v>
      </c>
      <c r="C18" s="90">
        <v>0</v>
      </c>
      <c r="D18" s="90">
        <f t="shared" si="0"/>
        <v>81.25190126868624</v>
      </c>
      <c r="F18" s="82"/>
      <c r="G18" s="82"/>
      <c r="H18" s="85"/>
    </row>
    <row r="19" spans="1:8" ht="15.5" x14ac:dyDescent="0.35">
      <c r="A19" s="11">
        <v>2021</v>
      </c>
      <c r="B19" s="90">
        <f t="shared" si="1"/>
        <v>81.25190126868624</v>
      </c>
      <c r="C19" s="90">
        <v>0</v>
      </c>
      <c r="D19" s="90">
        <f t="shared" si="0"/>
        <v>81.25190126868624</v>
      </c>
      <c r="F19" s="82"/>
      <c r="G19" s="82"/>
      <c r="H19" s="85"/>
    </row>
    <row r="20" spans="1:8" ht="15.5" x14ac:dyDescent="0.35">
      <c r="A20" s="11">
        <v>2022</v>
      </c>
      <c r="B20" s="90">
        <f t="shared" si="1"/>
        <v>81.25190126868624</v>
      </c>
      <c r="C20" s="90">
        <v>0</v>
      </c>
      <c r="D20" s="90">
        <f t="shared" si="0"/>
        <v>81.25190126868624</v>
      </c>
      <c r="F20" s="82"/>
      <c r="G20" s="82"/>
      <c r="H20" s="85"/>
    </row>
    <row r="21" spans="1:8" ht="15.5" x14ac:dyDescent="0.35">
      <c r="A21" s="11">
        <v>2023</v>
      </c>
      <c r="B21" s="90">
        <f t="shared" si="1"/>
        <v>81.25190126868624</v>
      </c>
      <c r="C21" s="90">
        <v>0</v>
      </c>
      <c r="D21" s="90">
        <f t="shared" si="0"/>
        <v>81.25190126868624</v>
      </c>
      <c r="F21" s="83"/>
      <c r="G21" s="83"/>
      <c r="H21" s="85"/>
    </row>
    <row r="22" spans="1:8" ht="46.5" x14ac:dyDescent="0.35">
      <c r="A22" s="11" t="s">
        <v>151</v>
      </c>
      <c r="B22" s="90">
        <f>ROUNDDOWN(H22*$D$9/365,0)</f>
        <v>20</v>
      </c>
      <c r="C22" s="90">
        <v>0</v>
      </c>
      <c r="D22" s="90">
        <f t="shared" si="0"/>
        <v>20</v>
      </c>
      <c r="F22" s="82">
        <v>45292</v>
      </c>
      <c r="G22" s="82">
        <v>45382</v>
      </c>
      <c r="H22" s="85">
        <f>+G22-F22+1</f>
        <v>91</v>
      </c>
    </row>
    <row r="23" spans="1:8" ht="31" x14ac:dyDescent="0.35">
      <c r="A23" s="11" t="s">
        <v>139</v>
      </c>
      <c r="B23" s="90">
        <f>B24/7</f>
        <v>81.215915373159646</v>
      </c>
      <c r="C23" s="90">
        <f>C24/5</f>
        <v>0</v>
      </c>
      <c r="D23" s="90">
        <f t="shared" si="0"/>
        <v>81.215915373159646</v>
      </c>
      <c r="F23" s="83"/>
      <c r="G23" s="83"/>
      <c r="H23" s="85"/>
    </row>
    <row r="24" spans="1:8" ht="15.5" x14ac:dyDescent="0.35">
      <c r="A24" s="11" t="s">
        <v>146</v>
      </c>
      <c r="B24" s="90">
        <f>SUM(B15:B22)</f>
        <v>568.51140761211752</v>
      </c>
      <c r="C24" s="90">
        <f>SUM(C15:C22)</f>
        <v>0</v>
      </c>
      <c r="D24" s="90">
        <f>B24-C24</f>
        <v>568.51140761211752</v>
      </c>
      <c r="F24" s="83"/>
      <c r="G24" s="83"/>
      <c r="H24" s="85"/>
    </row>
    <row r="25" spans="1:8" ht="15.5" x14ac:dyDescent="0.35">
      <c r="F25" s="83" t="s">
        <v>134</v>
      </c>
      <c r="G25" s="83"/>
      <c r="H25" s="85">
        <f>+H15+H22</f>
        <v>366</v>
      </c>
    </row>
    <row r="26" spans="1:8" ht="15.5" x14ac:dyDescent="0.35">
      <c r="A26" s="95" t="s">
        <v>145</v>
      </c>
    </row>
    <row r="27" spans="1:8" ht="81" x14ac:dyDescent="0.35">
      <c r="A27" s="89" t="s">
        <v>138</v>
      </c>
      <c r="B27" s="89" t="s">
        <v>140</v>
      </c>
      <c r="C27" s="89" t="s">
        <v>141</v>
      </c>
      <c r="D27" s="89" t="s">
        <v>142</v>
      </c>
      <c r="F27" s="81" t="s">
        <v>132</v>
      </c>
      <c r="G27" s="81" t="s">
        <v>133</v>
      </c>
      <c r="H27" s="84" t="s">
        <v>135</v>
      </c>
    </row>
    <row r="28" spans="1:8" ht="46.5" x14ac:dyDescent="0.35">
      <c r="A28" s="11" t="s">
        <v>131</v>
      </c>
      <c r="B28" s="90">
        <f>ROUNDDOWN(H28*$D$8/365,0)</f>
        <v>192</v>
      </c>
      <c r="C28" s="90">
        <v>0</v>
      </c>
      <c r="D28" s="90">
        <f>B28-C28</f>
        <v>192</v>
      </c>
      <c r="F28" s="82">
        <v>42826</v>
      </c>
      <c r="G28" s="82">
        <v>43100</v>
      </c>
      <c r="H28" s="85">
        <f>+G28-F28+1</f>
        <v>275</v>
      </c>
    </row>
    <row r="29" spans="1:8" ht="15.5" x14ac:dyDescent="0.35">
      <c r="A29" s="11">
        <v>2018</v>
      </c>
      <c r="B29" s="90">
        <f>$D$8</f>
        <v>256.0634372459881</v>
      </c>
      <c r="C29" s="90">
        <v>0</v>
      </c>
      <c r="D29" s="90">
        <f t="shared" ref="D29:D36" si="2">B29-C29</f>
        <v>256.0634372459881</v>
      </c>
      <c r="F29" s="82"/>
      <c r="G29" s="82"/>
      <c r="H29" s="85"/>
    </row>
    <row r="30" spans="1:8" ht="15.5" x14ac:dyDescent="0.35">
      <c r="A30" s="11">
        <v>2019</v>
      </c>
      <c r="B30" s="90">
        <f t="shared" ref="B30:B34" si="3">$D$8</f>
        <v>256.0634372459881</v>
      </c>
      <c r="C30" s="90">
        <v>0</v>
      </c>
      <c r="D30" s="90">
        <f t="shared" si="2"/>
        <v>256.0634372459881</v>
      </c>
      <c r="F30" s="82"/>
      <c r="G30" s="82"/>
      <c r="H30" s="85"/>
    </row>
    <row r="31" spans="1:8" ht="15.5" x14ac:dyDescent="0.35">
      <c r="A31" s="11">
        <v>2020</v>
      </c>
      <c r="B31" s="90">
        <f t="shared" si="3"/>
        <v>256.0634372459881</v>
      </c>
      <c r="C31" s="90">
        <v>0</v>
      </c>
      <c r="D31" s="90">
        <f t="shared" si="2"/>
        <v>256.0634372459881</v>
      </c>
      <c r="F31" s="82"/>
      <c r="G31" s="82"/>
      <c r="H31" s="85"/>
    </row>
    <row r="32" spans="1:8" ht="15.5" x14ac:dyDescent="0.35">
      <c r="A32" s="11">
        <v>2021</v>
      </c>
      <c r="B32" s="90">
        <f t="shared" si="3"/>
        <v>256.0634372459881</v>
      </c>
      <c r="C32" s="90">
        <v>0</v>
      </c>
      <c r="D32" s="90">
        <f t="shared" si="2"/>
        <v>256.0634372459881</v>
      </c>
      <c r="F32" s="82"/>
      <c r="G32" s="82"/>
      <c r="H32" s="85"/>
    </row>
    <row r="33" spans="1:8" ht="15.5" x14ac:dyDescent="0.35">
      <c r="A33" s="11">
        <v>2022</v>
      </c>
      <c r="B33" s="90">
        <f t="shared" si="3"/>
        <v>256.0634372459881</v>
      </c>
      <c r="C33" s="90">
        <v>0</v>
      </c>
      <c r="D33" s="90">
        <f t="shared" si="2"/>
        <v>256.0634372459881</v>
      </c>
      <c r="F33" s="82"/>
      <c r="G33" s="82"/>
      <c r="H33" s="85"/>
    </row>
    <row r="34" spans="1:8" ht="15.5" x14ac:dyDescent="0.35">
      <c r="A34" s="11">
        <v>2023</v>
      </c>
      <c r="B34" s="90">
        <f t="shared" si="3"/>
        <v>256.0634372459881</v>
      </c>
      <c r="C34" s="90">
        <v>0</v>
      </c>
      <c r="D34" s="90">
        <f t="shared" si="2"/>
        <v>256.0634372459881</v>
      </c>
      <c r="F34" s="83"/>
      <c r="G34" s="83"/>
      <c r="H34" s="85"/>
    </row>
    <row r="35" spans="1:8" ht="46.5" x14ac:dyDescent="0.35">
      <c r="A35" s="11" t="s">
        <v>151</v>
      </c>
      <c r="B35" s="90">
        <f>ROUNDDOWN(H35*$D$8/365,0)</f>
        <v>63</v>
      </c>
      <c r="C35" s="90">
        <v>0</v>
      </c>
      <c r="D35" s="90">
        <f t="shared" si="2"/>
        <v>63</v>
      </c>
      <c r="F35" s="82">
        <v>45292</v>
      </c>
      <c r="G35" s="82">
        <v>45382</v>
      </c>
      <c r="H35" s="85">
        <f>+G35-F35+1</f>
        <v>91</v>
      </c>
    </row>
    <row r="36" spans="1:8" ht="31" x14ac:dyDescent="0.35">
      <c r="A36" s="11" t="s">
        <v>139</v>
      </c>
      <c r="B36" s="90">
        <f>B37/7</f>
        <v>255.91151763941838</v>
      </c>
      <c r="C36" s="90">
        <v>0</v>
      </c>
      <c r="D36" s="90">
        <f t="shared" si="2"/>
        <v>255.91151763941838</v>
      </c>
      <c r="F36" s="83"/>
      <c r="G36" s="83"/>
      <c r="H36" s="85"/>
    </row>
    <row r="37" spans="1:8" ht="15.5" x14ac:dyDescent="0.35">
      <c r="A37" s="11" t="s">
        <v>146</v>
      </c>
      <c r="B37" s="90">
        <f>SUM(B28:B35)</f>
        <v>1791.3806234759286</v>
      </c>
      <c r="C37" s="90">
        <v>0</v>
      </c>
      <c r="D37" s="90">
        <f>B37-C37</f>
        <v>1791.3806234759286</v>
      </c>
      <c r="F37" s="83"/>
      <c r="G37" s="83"/>
      <c r="H37" s="85"/>
    </row>
    <row r="38" spans="1:8" ht="15.5" x14ac:dyDescent="0.35">
      <c r="F38" s="83" t="s">
        <v>134</v>
      </c>
      <c r="G38" s="83"/>
      <c r="H38" s="85">
        <f>+H28+H35</f>
        <v>366</v>
      </c>
    </row>
  </sheetData>
  <mergeCells count="5">
    <mergeCell ref="A1:B1"/>
    <mergeCell ref="A2:B2"/>
    <mergeCell ref="A3:B3"/>
    <mergeCell ref="A4:B4"/>
    <mergeCell ref="A5:B5"/>
  </mergeCells>
  <hyperlinks>
    <hyperlink ref="A2:B2" r:id="rId1" display="..\References\turkey-s-irr-2021_tr_20211101034946.pdf" xr:uid="{00000000-0004-0000-0300-000000000000}"/>
    <hyperlink ref="A3:B3" r:id="rId2" display="..\References\turkey-s-irr-2021_tr_20211101034946.pdf" xr:uid="{00000000-0004-0000-0300-000001000000}"/>
    <hyperlink ref="A4:B4" r:id="rId3" display="..\References\38-Grafik III.I - 2020 Yılı Türkiye Elektrik Enerjisi Üretiminin Kaynaklara Göre Dağılımı.docx" xr:uid="{00000000-0004-0000-0300-000002000000}"/>
  </hyperlinks>
  <pageMargins left="0.7" right="0.7" top="0.75" bottom="0.75" header="0.3" footer="0.3"/>
  <pageSetup paperSize="9" orientation="portrait" horizontalDpi="300" verticalDpi="300" r:id="rId4"/>
  <drawing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ER</vt:lpstr>
      <vt:lpstr>Power Density</vt:lpstr>
      <vt:lpstr>NG</vt:lpstr>
      <vt:lpstr>NOx-SOx</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Dinesh</cp:lastModifiedBy>
  <dcterms:created xsi:type="dcterms:W3CDTF">2021-03-31T07:09:55Z</dcterms:created>
  <dcterms:modified xsi:type="dcterms:W3CDTF">2023-08-21T11:28:15Z</dcterms:modified>
</cp:coreProperties>
</file>