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d.docs.live.net/dee9fc20d879e866/ST Climate/Operation/Çataloluk HEPP/6. ITR/"/>
    </mc:Choice>
  </mc:AlternateContent>
  <xr:revisionPtr revIDLastSave="0" documentId="8_{D1B0420B-5C87-40FB-BA43-F60517CBF14D}" xr6:coauthVersionLast="47" xr6:coauthVersionMax="47" xr10:uidLastSave="{00000000-0000-0000-0000-000000000000}"/>
  <bookViews>
    <workbookView xWindow="-28920" yWindow="-120" windowWidth="29040" windowHeight="15720" tabRatio="608" xr2:uid="{706D02F5-34D9-4A36-AF1C-AFBF44001B40}"/>
  </bookViews>
  <sheets>
    <sheet name="Cover Page" sheetId="2" r:id="rId1"/>
    <sheet name="Baseline Emissions" sheetId="3" r:id="rId2"/>
    <sheet name="Emission Factor" sheetId="10" r:id="rId3"/>
    <sheet name="Power Density" sheetId="12" r:id="rId4"/>
    <sheet name="NG" sheetId="13" r:id="rId5"/>
    <sheet name="NOx-SO2" sheetId="14" r:id="rId6"/>
  </sheets>
  <definedNames>
    <definedName name="ectract?">#REF!</definedName>
    <definedName name="_xlnm.Extra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4" i="2" l="1"/>
  <c r="E6" i="3"/>
  <c r="E13" i="3"/>
  <c r="D27" i="2" s="1"/>
  <c r="E27" i="2" s="1"/>
  <c r="H23" i="14"/>
  <c r="H36" i="14" s="1"/>
  <c r="G23" i="14"/>
  <c r="I23" i="14" s="1"/>
  <c r="H16" i="14"/>
  <c r="H29" i="14" s="1"/>
  <c r="G16" i="14"/>
  <c r="G29" i="14" s="1"/>
  <c r="B30" i="14"/>
  <c r="B31" i="14"/>
  <c r="B32" i="14"/>
  <c r="B35" i="14"/>
  <c r="B38" i="14"/>
  <c r="B29" i="14"/>
  <c r="B17" i="14"/>
  <c r="B18" i="14"/>
  <c r="B19" i="14"/>
  <c r="B20" i="14"/>
  <c r="B33" i="14" s="1"/>
  <c r="B21" i="14"/>
  <c r="B34" i="14" s="1"/>
  <c r="B22" i="14"/>
  <c r="B23" i="14"/>
  <c r="B36" i="14" s="1"/>
  <c r="B24" i="14"/>
  <c r="B37" i="14" s="1"/>
  <c r="B25" i="14"/>
  <c r="B16" i="14"/>
  <c r="C8" i="14"/>
  <c r="C7" i="14"/>
  <c r="C6" i="14"/>
  <c r="D25" i="14"/>
  <c r="D24" i="14" s="1"/>
  <c r="I16" i="14"/>
  <c r="I25" i="14" s="1"/>
  <c r="B33" i="13"/>
  <c r="B34" i="13"/>
  <c r="B35" i="13"/>
  <c r="B36" i="13"/>
  <c r="B37" i="13"/>
  <c r="B38" i="13"/>
  <c r="B39" i="13"/>
  <c r="B32" i="13"/>
  <c r="H39" i="13"/>
  <c r="G39" i="13"/>
  <c r="I39" i="13" s="1"/>
  <c r="H32" i="13"/>
  <c r="G32" i="13"/>
  <c r="I32" i="13" s="1"/>
  <c r="H26" i="13"/>
  <c r="I26" i="13" s="1"/>
  <c r="G26" i="13"/>
  <c r="D6" i="3"/>
  <c r="D20" i="2" s="1"/>
  <c r="H19" i="13"/>
  <c r="G19" i="13"/>
  <c r="C6" i="13"/>
  <c r="C7" i="13" s="1"/>
  <c r="I19" i="13"/>
  <c r="D3" i="12"/>
  <c r="D12" i="10"/>
  <c r="D13" i="3"/>
  <c r="D19" i="3"/>
  <c r="D18" i="3"/>
  <c r="E8" i="3"/>
  <c r="D22" i="2" s="1"/>
  <c r="E22" i="2" s="1"/>
  <c r="E9" i="3"/>
  <c r="E10" i="3"/>
  <c r="D24" i="2" s="1"/>
  <c r="E24" i="2" s="1"/>
  <c r="E11" i="3"/>
  <c r="D25" i="2" s="1"/>
  <c r="E25" i="2" s="1"/>
  <c r="E12" i="3"/>
  <c r="E7" i="3"/>
  <c r="D21" i="2" s="1"/>
  <c r="E21" i="2" s="1"/>
  <c r="D26" i="2"/>
  <c r="E26" i="2" s="1"/>
  <c r="D12" i="3"/>
  <c r="D11" i="3"/>
  <c r="D9" i="3"/>
  <c r="D8" i="3"/>
  <c r="D7" i="3"/>
  <c r="D10" i="3"/>
  <c r="C28" i="2"/>
  <c r="C30" i="2" s="1"/>
  <c r="G27" i="2"/>
  <c r="G21" i="2"/>
  <c r="G22" i="2"/>
  <c r="G23" i="2"/>
  <c r="G24" i="2"/>
  <c r="G25" i="2"/>
  <c r="G26" i="2"/>
  <c r="G20" i="2"/>
  <c r="I30" i="2"/>
  <c r="C8" i="13" l="1"/>
  <c r="C14" i="13" s="1"/>
  <c r="C13" i="13"/>
  <c r="G13" i="3"/>
  <c r="I29" i="14"/>
  <c r="I38" i="14" s="1"/>
  <c r="I36" i="14"/>
  <c r="G36" i="14"/>
  <c r="C10" i="14"/>
  <c r="C19" i="14" s="1"/>
  <c r="E19" i="14" s="1"/>
  <c r="C17" i="14"/>
  <c r="E17" i="14" s="1"/>
  <c r="C22" i="14"/>
  <c r="E22" i="14" s="1"/>
  <c r="C16" i="14"/>
  <c r="C21" i="14"/>
  <c r="E21" i="14" s="1"/>
  <c r="C9" i="14"/>
  <c r="I42" i="13"/>
  <c r="I29" i="13"/>
  <c r="E20" i="2"/>
  <c r="F6" i="3"/>
  <c r="G6" i="3" s="1"/>
  <c r="F7" i="3"/>
  <c r="G7" i="3" s="1"/>
  <c r="F8" i="3"/>
  <c r="G8" i="3" s="1"/>
  <c r="H22" i="2" s="1"/>
  <c r="J22" i="2" s="1"/>
  <c r="F11" i="3"/>
  <c r="G11" i="3" s="1"/>
  <c r="H25" i="2" s="1"/>
  <c r="J25" i="2" s="1"/>
  <c r="F9" i="3"/>
  <c r="F12" i="3"/>
  <c r="G12" i="3" s="1"/>
  <c r="H26" i="2" s="1"/>
  <c r="J26" i="2" s="1"/>
  <c r="F13" i="3"/>
  <c r="F10" i="3"/>
  <c r="G10" i="3" s="1"/>
  <c r="H24" i="2" s="1"/>
  <c r="J24" i="2" s="1"/>
  <c r="H27" i="2" l="1"/>
  <c r="J27" i="2" s="1"/>
  <c r="C19" i="13"/>
  <c r="C26" i="13"/>
  <c r="C20" i="13"/>
  <c r="C20" i="14"/>
  <c r="E20" i="14" s="1"/>
  <c r="C32" i="13"/>
  <c r="C34" i="13"/>
  <c r="C23" i="14"/>
  <c r="E23" i="14" s="1"/>
  <c r="C18" i="14"/>
  <c r="E18" i="14" s="1"/>
  <c r="C32" i="14"/>
  <c r="E32" i="14" s="1"/>
  <c r="C31" i="14"/>
  <c r="E31" i="14" s="1"/>
  <c r="C36" i="14"/>
  <c r="E36" i="14" s="1"/>
  <c r="C30" i="14"/>
  <c r="E30" i="14" s="1"/>
  <c r="C35" i="14"/>
  <c r="E35" i="14" s="1"/>
  <c r="C29" i="14"/>
  <c r="C34" i="14"/>
  <c r="E34" i="14" s="1"/>
  <c r="C33" i="14"/>
  <c r="E33" i="14" s="1"/>
  <c r="E16" i="14"/>
  <c r="E19" i="13"/>
  <c r="C21" i="13"/>
  <c r="E21" i="13" s="1"/>
  <c r="E26" i="13"/>
  <c r="C24" i="13"/>
  <c r="E24" i="13" s="1"/>
  <c r="C23" i="13"/>
  <c r="E23" i="13" s="1"/>
  <c r="C22" i="13"/>
  <c r="E22" i="13" s="1"/>
  <c r="E20" i="13"/>
  <c r="C25" i="13"/>
  <c r="E25" i="13" s="1"/>
  <c r="C9" i="13"/>
  <c r="H21" i="2"/>
  <c r="J21" i="2" s="1"/>
  <c r="H20" i="2"/>
  <c r="C25" i="14" l="1"/>
  <c r="C24" i="14" s="1"/>
  <c r="E24" i="14" s="1"/>
  <c r="E29" i="14"/>
  <c r="C38" i="14"/>
  <c r="C28" i="13"/>
  <c r="C38" i="13"/>
  <c r="E38" i="13" s="1"/>
  <c r="E34" i="13"/>
  <c r="C33" i="13"/>
  <c r="E33" i="13" s="1"/>
  <c r="C36" i="13"/>
  <c r="E36" i="13" s="1"/>
  <c r="C37" i="13"/>
  <c r="E37" i="13" s="1"/>
  <c r="C35" i="13"/>
  <c r="E35" i="13" s="1"/>
  <c r="C39" i="13"/>
  <c r="E39" i="13" s="1"/>
  <c r="D23" i="2"/>
  <c r="E14" i="3"/>
  <c r="E15" i="3" s="1"/>
  <c r="J20" i="2"/>
  <c r="E25" i="14" l="1"/>
  <c r="C37" i="14"/>
  <c r="E37" i="14" s="1"/>
  <c r="E38" i="14"/>
  <c r="E28" i="13"/>
  <c r="C27" i="13"/>
  <c r="E27" i="13" s="1"/>
  <c r="E32" i="13"/>
  <c r="C41" i="13"/>
  <c r="E23" i="2"/>
  <c r="E28" i="2" s="1"/>
  <c r="E30" i="2" s="1"/>
  <c r="D28" i="2"/>
  <c r="D30" i="2" s="1"/>
  <c r="C40" i="13" l="1"/>
  <c r="E40" i="13" s="1"/>
  <c r="E41" i="13"/>
  <c r="G9" i="3" l="1"/>
  <c r="H23" i="2" s="1"/>
  <c r="G15" i="3" l="1"/>
  <c r="D15" i="2" s="1"/>
  <c r="H15" i="2" s="1"/>
  <c r="H16" i="2" s="1"/>
  <c r="G14" i="3"/>
  <c r="H28" i="2"/>
  <c r="J28" i="2" s="1"/>
  <c r="J30" i="2" s="1"/>
  <c r="J23" i="2"/>
  <c r="H30" i="2" l="1"/>
</calcChain>
</file>

<file path=xl/sharedStrings.xml><?xml version="1.0" encoding="utf-8"?>
<sst xmlns="http://schemas.openxmlformats.org/spreadsheetml/2006/main" count="238" uniqueCount="176">
  <si>
    <t>SDG Impact</t>
  </si>
  <si>
    <t>Project Name</t>
  </si>
  <si>
    <t xml:space="preserve">GS ID. </t>
  </si>
  <si>
    <t>Version Number of Sheet</t>
  </si>
  <si>
    <t>Methodology</t>
  </si>
  <si>
    <t>Total</t>
  </si>
  <si>
    <t>Average</t>
  </si>
  <si>
    <t>Baseline estimate</t>
  </si>
  <si>
    <t>Project estimate</t>
  </si>
  <si>
    <t>Net benefit</t>
  </si>
  <si>
    <t>EX-ANTE ER CALCULATION SHEET</t>
  </si>
  <si>
    <t>Start Date</t>
  </si>
  <si>
    <t>End Date</t>
  </si>
  <si>
    <t>Sustainable Development Goals Targeted</t>
  </si>
  <si>
    <t>Estimated Annual Average</t>
  </si>
  <si>
    <t>Units or Products</t>
  </si>
  <si>
    <t>SDG 7– Ensure access to affordable, reliable and modern energy for all</t>
  </si>
  <si>
    <t>MWh</t>
  </si>
  <si>
    <t>SDG 8 – Promote sustained, inclusive and sustainable economic growth, full and productive employment and decent work for all</t>
  </si>
  <si>
    <t>SDG 13- Take urgent action to combat climate change and its impact</t>
  </si>
  <si>
    <t>Emission reductions</t>
  </si>
  <si>
    <t>MWh of renewable energy generated</t>
  </si>
  <si>
    <t>Year</t>
  </si>
  <si>
    <t>Total number of crediting years</t>
  </si>
  <si>
    <t>Annual average over the crediting period</t>
  </si>
  <si>
    <t>Number</t>
  </si>
  <si>
    <t>Estimated Electricity Generation</t>
  </si>
  <si>
    <t>Emission Factor</t>
  </si>
  <si>
    <t>Baseline Emissions</t>
  </si>
  <si>
    <t>Parameter</t>
  </si>
  <si>
    <t>Unit</t>
  </si>
  <si>
    <r>
      <t>tCO</t>
    </r>
    <r>
      <rPr>
        <vertAlign val="subscript"/>
        <sz val="10"/>
        <color rgb="FF4D4D4C"/>
        <rFont val="Verdana"/>
        <family val="2"/>
      </rPr>
      <t>2</t>
    </r>
    <r>
      <rPr>
        <sz val="10"/>
        <color rgb="FF4D4D4C"/>
        <rFont val="Verdana"/>
        <family val="2"/>
      </rPr>
      <t>e</t>
    </r>
  </si>
  <si>
    <t>Operating Margin</t>
  </si>
  <si>
    <t>Build Margin</t>
  </si>
  <si>
    <t>Number of employment through project</t>
  </si>
  <si>
    <t>CATALOLUK HEPP</t>
  </si>
  <si>
    <t>AMS-I.D.: Grid connected renewable electricity generation --- Version 18.0</t>
  </si>
  <si>
    <t>At least 7 employment provided</t>
  </si>
  <si>
    <t>Number of days</t>
  </si>
  <si>
    <t>Reference</t>
  </si>
  <si>
    <t>https://enerji.gov.tr//Media/Dizin/EVCED/tr/%C3%87evreVe%C4%B0klim/%C4%B0klimDe%C4%9Fi%C5%9Fikli%C4%9Fi/TUESEmisyonFktr/Belgeler/TUESEF_Bilgi_Formu.pdf</t>
  </si>
  <si>
    <r>
      <t>tCO</t>
    </r>
    <r>
      <rPr>
        <vertAlign val="subscript"/>
        <sz val="10"/>
        <color theme="1"/>
        <rFont val="Verdana"/>
        <family val="2"/>
      </rPr>
      <t>2</t>
    </r>
    <r>
      <rPr>
        <sz val="10"/>
        <color theme="1"/>
        <rFont val="Verdana"/>
        <family val="2"/>
      </rPr>
      <t>e/MWh</t>
    </r>
  </si>
  <si>
    <r>
      <t>tCO</t>
    </r>
    <r>
      <rPr>
        <vertAlign val="subscript"/>
        <sz val="10"/>
        <color theme="1"/>
        <rFont val="Verdana"/>
        <family val="2"/>
      </rPr>
      <t>2</t>
    </r>
    <r>
      <rPr>
        <sz val="10"/>
        <color theme="1"/>
        <rFont val="Verdana"/>
        <family val="2"/>
      </rPr>
      <t>e</t>
    </r>
  </si>
  <si>
    <t>As per generation license</t>
  </si>
  <si>
    <t>01/04/2024 - 31/12/2024</t>
  </si>
  <si>
    <t>01/01/2025 - 31/12/2025</t>
  </si>
  <si>
    <t>01/01/2026 - 31/12/2026</t>
  </si>
  <si>
    <t>01/01/2027 - 31/12/2027</t>
  </si>
  <si>
    <t>01/01/2028 - 31/12/2028</t>
  </si>
  <si>
    <t>01/01/2029 - 31/12/2029</t>
  </si>
  <si>
    <t>01/01/2030 - 31/12/2030</t>
  </si>
  <si>
    <t>01/01/2031 - 31/03/2031</t>
  </si>
  <si>
    <t>Weighting factor</t>
  </si>
  <si>
    <r>
      <t>W</t>
    </r>
    <r>
      <rPr>
        <b/>
        <vertAlign val="subscript"/>
        <sz val="10"/>
        <rFont val="Verdana"/>
        <family val="2"/>
      </rPr>
      <t>OM</t>
    </r>
  </si>
  <si>
    <r>
      <t>W</t>
    </r>
    <r>
      <rPr>
        <b/>
        <vertAlign val="subscript"/>
        <sz val="10"/>
        <rFont val="Verdana"/>
        <family val="2"/>
      </rPr>
      <t>BM</t>
    </r>
  </si>
  <si>
    <r>
      <t>All other Projects; 1</t>
    </r>
    <r>
      <rPr>
        <vertAlign val="superscript"/>
        <sz val="10"/>
        <rFont val="Verdana"/>
        <family val="2"/>
      </rPr>
      <t>st</t>
    </r>
    <r>
      <rPr>
        <sz val="10"/>
        <rFont val="Verdana"/>
        <family val="2"/>
      </rPr>
      <t xml:space="preserve"> crediting period</t>
    </r>
  </si>
  <si>
    <t>Value</t>
  </si>
  <si>
    <t xml:space="preserve">The GS VER credit that will be excluded from the 3rd crediting period </t>
  </si>
  <si>
    <t>Description &amp; Unit</t>
  </si>
  <si>
    <t xml:space="preserve">Installed capacity of the hydro power plant after the implementation of the project activity (W) </t>
  </si>
  <si>
    <t>Installed capacity of the hydro power plant before the implementation of the project activity (W). For new hydro power plants, this value is zero</t>
  </si>
  <si>
    <t>PD</t>
  </si>
  <si>
    <t>CapPJ</t>
  </si>
  <si>
    <t>CapBL</t>
  </si>
  <si>
    <r>
      <t>A</t>
    </r>
    <r>
      <rPr>
        <vertAlign val="subscript"/>
        <sz val="10"/>
        <rFont val="Verdana"/>
        <family val="2"/>
      </rPr>
      <t>BL</t>
    </r>
  </si>
  <si>
    <r>
      <t>A</t>
    </r>
    <r>
      <rPr>
        <vertAlign val="subscript"/>
        <sz val="10"/>
        <rFont val="Verdana"/>
        <family val="2"/>
      </rPr>
      <t>PJ</t>
    </r>
  </si>
  <si>
    <r>
      <t>Power density of the project activity (W/m</t>
    </r>
    <r>
      <rPr>
        <vertAlign val="superscript"/>
        <sz val="10"/>
        <rFont val="Verdana"/>
        <family val="2"/>
      </rPr>
      <t>2</t>
    </r>
    <r>
      <rPr>
        <sz val="10"/>
        <rFont val="Verdana"/>
        <family val="2"/>
      </rPr>
      <t>)</t>
    </r>
  </si>
  <si>
    <r>
      <t>Area of the reservoir measured in the surface of the water, after the implementation of the project activity, when the reservoir is full (m</t>
    </r>
    <r>
      <rPr>
        <vertAlign val="superscript"/>
        <sz val="10"/>
        <rFont val="Verdana"/>
        <family val="2"/>
      </rPr>
      <t>2</t>
    </r>
    <r>
      <rPr>
        <sz val="10"/>
        <rFont val="Verdana"/>
        <family val="2"/>
      </rPr>
      <t>)</t>
    </r>
  </si>
  <si>
    <r>
      <t>Area of the reservoir measured in the surface of the water, before the implementation of the project activity, when the reservoir is full (m</t>
    </r>
    <r>
      <rPr>
        <vertAlign val="superscript"/>
        <sz val="10"/>
        <rFont val="Verdana"/>
        <family val="2"/>
      </rPr>
      <t>2</t>
    </r>
    <r>
      <rPr>
        <sz val="10"/>
        <rFont val="Verdana"/>
        <family val="2"/>
      </rPr>
      <t xml:space="preserve">).  For new reservoirs, this value is zero. </t>
    </r>
  </si>
  <si>
    <t xml:space="preserve">For solar, wind projects </t>
  </si>
  <si>
    <r>
      <t>All other Projects; 2</t>
    </r>
    <r>
      <rPr>
        <vertAlign val="superscript"/>
        <sz val="10"/>
        <rFont val="Verdana"/>
        <family val="2"/>
      </rPr>
      <t>nd</t>
    </r>
    <r>
      <rPr>
        <sz val="10"/>
        <rFont val="Verdana"/>
        <family val="2"/>
      </rPr>
      <t xml:space="preserve"> - 3</t>
    </r>
    <r>
      <rPr>
        <vertAlign val="superscript"/>
        <sz val="10"/>
        <rFont val="Verdana"/>
        <family val="2"/>
      </rPr>
      <t>rd</t>
    </r>
    <r>
      <rPr>
        <sz val="10"/>
        <rFont val="Verdana"/>
        <family val="2"/>
      </rPr>
      <t xml:space="preserve"> crediting period</t>
    </r>
  </si>
  <si>
    <r>
      <t>Combined Margin (tCO</t>
    </r>
    <r>
      <rPr>
        <vertAlign val="subscript"/>
        <sz val="10"/>
        <color theme="1"/>
        <rFont val="Verdana"/>
        <family val="2"/>
      </rPr>
      <t>2</t>
    </r>
    <r>
      <rPr>
        <sz val="10"/>
        <color theme="1"/>
        <rFont val="Verdana"/>
        <family val="2"/>
      </rPr>
      <t>/MWh)</t>
    </r>
  </si>
  <si>
    <t>Indicator: Access to investment</t>
  </si>
  <si>
    <t>Source</t>
  </si>
  <si>
    <t>1000 m3</t>
  </si>
  <si>
    <t>https://www.teias.gov.tr/tr-TR/turkiye-elektrik-uretim-iletim-istatistikleri</t>
  </si>
  <si>
    <t>GWh</t>
  </si>
  <si>
    <t xml:space="preserve">https://www.teias.gov.tr/tr-TR/turkiye-elektrik-uretim-iletim-istatistikleri </t>
  </si>
  <si>
    <t>TRY/Sm3*</t>
  </si>
  <si>
    <t>https://portal.enerya.com.tr/DogalGazBirimFiyatlari/index.xhtml?city=07</t>
  </si>
  <si>
    <t>Corresponding NG Saving</t>
  </si>
  <si>
    <t>Corresponding Saving in TL</t>
  </si>
  <si>
    <t>TL</t>
  </si>
  <si>
    <t>Corresponding Saving in €</t>
  </si>
  <si>
    <t>EUR</t>
  </si>
  <si>
    <t xml:space="preserve">Average Exchange Rate </t>
  </si>
  <si>
    <t>€/TRY**</t>
  </si>
  <si>
    <t>https://evds2.tcmb.gov.tr/index.php?/evds/serieMarket/#collapse_2</t>
  </si>
  <si>
    <t>Per annum</t>
  </si>
  <si>
    <t>m3 NG</t>
  </si>
  <si>
    <t xml:space="preserve">TL </t>
  </si>
  <si>
    <t>Saving for NG</t>
  </si>
  <si>
    <t>B.6.4. Summary of ex ante estimates of emission reductions</t>
  </si>
  <si>
    <t>date 1</t>
  </si>
  <si>
    <t>date 2</t>
  </si>
  <si>
    <t># number of days</t>
  </si>
  <si>
    <t>Annual Average</t>
  </si>
  <si>
    <t>Total (number of days)</t>
  </si>
  <si>
    <t>Saving for Cost</t>
  </si>
  <si>
    <t>72-GRAFİK IV.III- TÜRKİYE TERMİK SANT. DOĞALGAZ TÜKETİLEN YAKIT MİK. (2015-2022)</t>
  </si>
  <si>
    <t>NG consumption in 2022</t>
  </si>
  <si>
    <t>Generation in 2022</t>
  </si>
  <si>
    <t>NG Price in 2022</t>
  </si>
  <si>
    <t>70-Türkiye Elektrik Enerjisi Üretiminin Birincil Enerji Kaynaklarına ve Üretici Kuruluşlara Dağılımı (2022)</t>
  </si>
  <si>
    <t>Electricity Generated in Cataloluk HEPP</t>
  </si>
  <si>
    <t>Generation License</t>
  </si>
  <si>
    <t>Calculated</t>
  </si>
  <si>
    <t>For 2022</t>
  </si>
  <si>
    <t>01/04/2024-31/12/2024 
(275 Days)</t>
  </si>
  <si>
    <t>01/01/2031-31/03/2031 
(90 Days)</t>
  </si>
  <si>
    <t>Gg</t>
  </si>
  <si>
    <t>KAYNAK</t>
  </si>
  <si>
    <t>ÜRETİM (GWh)</t>
  </si>
  <si>
    <t>KATKISI (%)</t>
  </si>
  <si>
    <t>İthal Kömür</t>
  </si>
  <si>
    <t>Taşkömürü + Asfaltit</t>
  </si>
  <si>
    <t>SO2 EF</t>
  </si>
  <si>
    <t>kg/MWh</t>
  </si>
  <si>
    <t>Linyit</t>
  </si>
  <si>
    <t>NOx EF</t>
  </si>
  <si>
    <t>Doğal Gaz</t>
  </si>
  <si>
    <t>Net Electricity Production (MWh)</t>
  </si>
  <si>
    <t>Sıvı Yakıtlar</t>
  </si>
  <si>
    <t xml:space="preserve">Annual Estimated SOx reduction </t>
  </si>
  <si>
    <t>tons</t>
  </si>
  <si>
    <t>Barajlı</t>
  </si>
  <si>
    <t xml:space="preserve">Annual Estimated NOx reduction </t>
  </si>
  <si>
    <t>D.Göl ve Akarsu</t>
  </si>
  <si>
    <t>Rüzgar</t>
  </si>
  <si>
    <t>Jeotermal</t>
  </si>
  <si>
    <t>Güneş</t>
  </si>
  <si>
    <t>TOPLAM</t>
  </si>
  <si>
    <t>100,00</t>
  </si>
  <si>
    <t>Indicator: Air Quality</t>
  </si>
  <si>
    <t>SO2 Emission (2021)</t>
  </si>
  <si>
    <t>https://unfccc.int/documents/627786?gad_source=1&amp;gclid=CjwKCAjw34qzBhBmEiwAOUQcFxnr1Z6hgWDvOCcdLovBOmcmQ279tWC0ubf5r1P1YqtZv_c2vw7-2xoClKoQAvD_BwE</t>
  </si>
  <si>
    <t>38-Grafik III.I - 2021 Yılı Türkiye Elektrik Enerjisi Üretiminin Kaynaklara Göre Dağılımı</t>
  </si>
  <si>
    <t>NOx Emission (2021)</t>
  </si>
  <si>
    <t>National Electricity Generation 2021</t>
  </si>
  <si>
    <t>54.948,4</t>
  </si>
  <si>
    <t>16,42</t>
  </si>
  <si>
    <t>5.450,3</t>
  </si>
  <si>
    <t>1,63</t>
  </si>
  <si>
    <t>42.983,3</t>
  </si>
  <si>
    <t>12,84</t>
  </si>
  <si>
    <t>111.180,8</t>
  </si>
  <si>
    <t>33,22</t>
  </si>
  <si>
    <t>281,5</t>
  </si>
  <si>
    <t>0,08</t>
  </si>
  <si>
    <t>40.746,3</t>
  </si>
  <si>
    <t>12,17</t>
  </si>
  <si>
    <t>15.180,5</t>
  </si>
  <si>
    <t>4,54</t>
  </si>
  <si>
    <t>31.436,7</t>
  </si>
  <si>
    <t>9,39</t>
  </si>
  <si>
    <t>7.779,1</t>
  </si>
  <si>
    <t>2,32</t>
  </si>
  <si>
    <t>10.793,2</t>
  </si>
  <si>
    <t>3,22</t>
  </si>
  <si>
    <t>13.942,9</t>
  </si>
  <si>
    <t>4,17</t>
  </si>
  <si>
    <t>334.723,1</t>
  </si>
  <si>
    <t>Yenilenebilir+Atık+Atık Isı</t>
  </si>
  <si>
    <t xml:space="preserve">Operational and build margin values were taken from the Ministry of Energy and Natural Resources 2021 calculations (most recent value). CM has been calculated according to the weighing factors stated in the methodology.
</t>
  </si>
  <si>
    <t>NOX EMISSIONS</t>
  </si>
  <si>
    <t>SOX EMISSIONS</t>
  </si>
  <si>
    <t>07.06.2024</t>
  </si>
  <si>
    <t>Audit date</t>
  </si>
  <si>
    <t>CP start date</t>
  </si>
  <si>
    <t>Days excluded from issuance</t>
  </si>
  <si>
    <t>GS VER will be left after  unclaimed credits between 10/07/2024 to 31/12/2024</t>
  </si>
  <si>
    <t>2.0</t>
  </si>
  <si>
    <t>Completion date of Version 1.0</t>
  </si>
  <si>
    <t>Completion date of current Version</t>
  </si>
  <si>
    <t>As per paragraph 72 of CDM Tool 07 Version 7.0, for the third crediting period, the build margin emission factor calculated for the second crediting period is used.</t>
  </si>
  <si>
    <t>09.08.2024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</si>
</sst>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 #,##0_-;_-* &quot;-&quot;??_-;_-@_-"/>
    <numFmt numFmtId="165" formatCode="0.0000"/>
    <numFmt numFmtId="166" formatCode="_(* #,##0_);_(* \(#,##0\);_(* &quot;-&quot;??_);_(@_)"/>
    <numFmt numFmtId="167" formatCode="_(* #,##0.00_);_(* \(#,##0.00\);_(* &quot;-&quot;??_);_(@_)"/>
    <numFmt numFmtId="168" formatCode="#,##0.0000"/>
    <numFmt numFmtId="169" formatCode="_-* #,##0.00\ _T_L_-;\-* #,##0.00\ _T_L_-;_-* &quot;-&quot;??\ _T_L_-;_-@_-"/>
    <numFmt numFmtId="170" formatCode="_(* #,##0.0_);_(* \(#,##0.0\);_(* &quot;-&quot;??_);_(@_)"/>
    <numFmt numFmtId="171" formatCode="_(* #,##0.000_);_(* \(#,##0.000\);_(* &quot;-&quot;??_);_(@_)"/>
  </numFmts>
  <fonts count="37">
    <font>
      <sz val="11"/>
      <color theme="1"/>
      <name val="Calibri"/>
      <family val="2"/>
      <charset val="162"/>
      <scheme val="minor"/>
    </font>
    <font>
      <sz val="11"/>
      <color theme="1"/>
      <name val="Calibri"/>
      <family val="2"/>
      <charset val="162"/>
      <scheme val="minor"/>
    </font>
    <font>
      <sz val="10"/>
      <name val="Arial"/>
      <family val="2"/>
    </font>
    <font>
      <sz val="12"/>
      <name val="宋体"/>
      <charset val="134"/>
    </font>
    <font>
      <sz val="10"/>
      <color theme="1"/>
      <name val="Arial"/>
      <family val="2"/>
    </font>
    <font>
      <sz val="10"/>
      <color rgb="FF4D4D4C"/>
      <name val="Arial"/>
      <family val="2"/>
    </font>
    <font>
      <sz val="10"/>
      <color rgb="FFFFFFFF"/>
      <name val="Arial"/>
      <family val="2"/>
    </font>
    <font>
      <sz val="11"/>
      <color rgb="FF4D4D4C"/>
      <name val="Verdana"/>
      <family val="2"/>
    </font>
    <font>
      <b/>
      <sz val="11"/>
      <color rgb="FF4D4D4C"/>
      <name val="Verdana"/>
      <family val="2"/>
    </font>
    <font>
      <b/>
      <sz val="10"/>
      <color rgb="FFFFFFFF"/>
      <name val="Verdana"/>
      <family val="2"/>
    </font>
    <font>
      <u/>
      <sz val="11"/>
      <color rgb="FF008080"/>
      <name val="Verdana"/>
      <family val="2"/>
    </font>
    <font>
      <strike/>
      <sz val="11"/>
      <color rgb="FFFF0000"/>
      <name val="Verdana"/>
      <family val="2"/>
    </font>
    <font>
      <sz val="10"/>
      <color rgb="FF4D4D4C"/>
      <name val="Verdana"/>
      <family val="2"/>
    </font>
    <font>
      <b/>
      <sz val="10"/>
      <color rgb="FF4D4D4C"/>
      <name val="Verdana"/>
      <family val="2"/>
    </font>
    <font>
      <u/>
      <sz val="11"/>
      <color theme="10"/>
      <name val="Calibri"/>
      <family val="2"/>
      <charset val="162"/>
      <scheme val="minor"/>
    </font>
    <font>
      <sz val="8"/>
      <name val="Calibri"/>
      <family val="2"/>
      <charset val="162"/>
      <scheme val="minor"/>
    </font>
    <font>
      <b/>
      <sz val="10"/>
      <name val="Verdana"/>
      <family val="2"/>
    </font>
    <font>
      <sz val="10"/>
      <name val="Verdana"/>
      <family val="2"/>
    </font>
    <font>
      <sz val="11"/>
      <color theme="1"/>
      <name val="Verdana"/>
      <family val="2"/>
    </font>
    <font>
      <vertAlign val="subscript"/>
      <sz val="10"/>
      <color rgb="FF4D4D4C"/>
      <name val="Verdana"/>
      <family val="2"/>
    </font>
    <font>
      <sz val="11"/>
      <color theme="1"/>
      <name val="Calibri"/>
      <family val="2"/>
      <scheme val="minor"/>
    </font>
    <font>
      <sz val="12"/>
      <color rgb="FF3F3F76"/>
      <name val="Calibri"/>
      <family val="2"/>
      <scheme val="minor"/>
    </font>
    <font>
      <b/>
      <sz val="12"/>
      <color rgb="FFFA7D00"/>
      <name val="Calibri"/>
      <family val="2"/>
      <scheme val="minor"/>
    </font>
    <font>
      <i/>
      <sz val="12"/>
      <color rgb="FF7F7F7F"/>
      <name val="Calibri"/>
      <family val="2"/>
      <scheme val="minor"/>
    </font>
    <font>
      <sz val="10"/>
      <color theme="1"/>
      <name val="Verdana"/>
      <family val="2"/>
    </font>
    <font>
      <b/>
      <sz val="10"/>
      <color theme="1"/>
      <name val="Verdana"/>
      <family val="2"/>
    </font>
    <font>
      <vertAlign val="subscript"/>
      <sz val="10"/>
      <color theme="1"/>
      <name val="Verdana"/>
      <family val="2"/>
    </font>
    <font>
      <b/>
      <vertAlign val="subscript"/>
      <sz val="10"/>
      <name val="Verdana"/>
      <family val="2"/>
    </font>
    <font>
      <vertAlign val="superscript"/>
      <sz val="10"/>
      <name val="Verdana"/>
      <family val="2"/>
    </font>
    <font>
      <b/>
      <sz val="10"/>
      <name val="Verdana"/>
      <family val="2"/>
      <charset val="162"/>
    </font>
    <font>
      <sz val="10"/>
      <name val="Verdana"/>
      <family val="2"/>
      <charset val="162"/>
    </font>
    <font>
      <vertAlign val="subscript"/>
      <sz val="10"/>
      <name val="Verdana"/>
      <family val="2"/>
    </font>
    <font>
      <u/>
      <sz val="10"/>
      <color indexed="12"/>
      <name val="Verdana"/>
      <family val="2"/>
    </font>
    <font>
      <u/>
      <sz val="10"/>
      <color theme="10"/>
      <name val="Verdana"/>
      <family val="2"/>
    </font>
    <font>
      <b/>
      <sz val="10"/>
      <color rgb="FF000000"/>
      <name val="Verdana"/>
      <family val="2"/>
    </font>
    <font>
      <sz val="10"/>
      <color rgb="FF000000"/>
      <name val="Verdana"/>
      <family val="2"/>
    </font>
    <font>
      <b/>
      <sz val="10"/>
      <color theme="0"/>
      <name val="Verdana"/>
      <family val="2"/>
    </font>
  </fonts>
  <fills count="16">
    <fill>
      <patternFill patternType="none"/>
    </fill>
    <fill>
      <patternFill patternType="gray125"/>
    </fill>
    <fill>
      <patternFill patternType="solid">
        <fgColor rgb="FF00B9BD"/>
        <bgColor indexed="64"/>
      </patternFill>
    </fill>
    <fill>
      <patternFill patternType="solid">
        <fgColor theme="0"/>
        <bgColor indexed="64"/>
      </patternFill>
    </fill>
    <fill>
      <patternFill patternType="solid">
        <fgColor theme="9" tint="0.79998168889431442"/>
        <bgColor indexed="64"/>
      </patternFill>
    </fill>
    <fill>
      <patternFill patternType="solid">
        <fgColor rgb="FFFFCC99"/>
      </patternFill>
    </fill>
    <fill>
      <patternFill patternType="solid">
        <fgColor rgb="FFF2F2F2"/>
      </patternFill>
    </fill>
    <fill>
      <patternFill patternType="solid">
        <fgColor theme="4" tint="0.79998168889431442"/>
        <bgColor indexed="64"/>
      </patternFill>
    </fill>
    <fill>
      <patternFill patternType="solid">
        <fgColor theme="4" tint="-0.249977111117893"/>
        <bgColor indexed="64"/>
      </patternFill>
    </fill>
    <fill>
      <patternFill patternType="solid">
        <fgColor rgb="FFFFE5FA"/>
        <bgColor indexed="64"/>
      </patternFill>
    </fill>
    <fill>
      <patternFill patternType="solid">
        <fgColor indexed="53"/>
        <bgColor indexed="64"/>
      </patternFill>
    </fill>
    <fill>
      <patternFill patternType="solid">
        <fgColor theme="7"/>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4F81BD"/>
        <bgColor indexed="64"/>
      </patternFill>
    </fill>
    <fill>
      <patternFill patternType="solid">
        <fgColor rgb="FFDBE5F1"/>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rgb="FFA6A6A6"/>
      </top>
      <bottom/>
      <diagonal/>
    </border>
    <border>
      <left style="medium">
        <color rgb="FF00B9BD"/>
      </left>
      <right/>
      <top style="medium">
        <color rgb="FF00B9BD"/>
      </top>
      <bottom style="medium">
        <color rgb="FFDCDCDC"/>
      </bottom>
      <diagonal/>
    </border>
    <border>
      <left/>
      <right/>
      <top style="medium">
        <color rgb="FF00B9BD"/>
      </top>
      <bottom style="medium">
        <color rgb="FFDCDCDC"/>
      </bottom>
      <diagonal/>
    </border>
    <border>
      <left/>
      <right style="medium">
        <color rgb="FF00B9BD"/>
      </right>
      <top style="medium">
        <color rgb="FF00B9BD"/>
      </top>
      <bottom style="medium">
        <color rgb="FFDCDCDC"/>
      </bottom>
      <diagonal/>
    </border>
    <border>
      <left style="medium">
        <color rgb="FFDCDCDC"/>
      </left>
      <right style="medium">
        <color rgb="FFDCDCDC"/>
      </right>
      <top/>
      <bottom style="medium">
        <color rgb="FFDCDCDC"/>
      </bottom>
      <diagonal/>
    </border>
    <border>
      <left/>
      <right style="medium">
        <color rgb="FFDCDCDC"/>
      </right>
      <top/>
      <bottom style="medium">
        <color rgb="FFDCDCDC"/>
      </bottom>
      <diagonal/>
    </border>
    <border>
      <left style="medium">
        <color rgb="FFDCDCDC"/>
      </left>
      <right style="medium">
        <color rgb="FFDCDCDC"/>
      </right>
      <top style="medium">
        <color rgb="FFDCDCDC"/>
      </top>
      <bottom style="medium">
        <color rgb="FFDCDCDC"/>
      </bottom>
      <diagonal/>
    </border>
    <border>
      <left style="medium">
        <color rgb="FFDCDCDC"/>
      </left>
      <right/>
      <top style="medium">
        <color rgb="FFDCDCDC"/>
      </top>
      <bottom style="medium">
        <color rgb="FFDCDCDC"/>
      </bottom>
      <diagonal/>
    </border>
    <border>
      <left/>
      <right/>
      <top style="medium">
        <color rgb="FFDCDCDC"/>
      </top>
      <bottom style="medium">
        <color rgb="FFDCDCDC"/>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rgb="FFDCDCDC"/>
      </left>
      <right style="medium">
        <color rgb="FFDCDCDC"/>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rgb="FFA6A6A6"/>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95B3D7"/>
      </left>
      <right style="medium">
        <color rgb="FF95B3D7"/>
      </right>
      <top/>
      <bottom style="medium">
        <color rgb="FF95B3D7"/>
      </bottom>
      <diagonal/>
    </border>
    <border>
      <left/>
      <right style="medium">
        <color rgb="FF95B3D7"/>
      </right>
      <top/>
      <bottom style="medium">
        <color rgb="FF95B3D7"/>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18">
    <xf numFmtId="0" fontId="0" fillId="0" borderId="0"/>
    <xf numFmtId="43" fontId="1" fillId="0" borderId="0" applyFont="0" applyFill="0" applyBorder="0" applyAlignment="0" applyProtection="0"/>
    <xf numFmtId="0" fontId="3" fillId="0" borderId="0"/>
    <xf numFmtId="0" fontId="2" fillId="0" borderId="0">
      <protection locked="0"/>
    </xf>
    <xf numFmtId="0" fontId="14" fillId="0" borderId="0" applyNumberFormat="0" applyFill="0" applyBorder="0" applyAlignment="0" applyProtection="0"/>
    <xf numFmtId="9" fontId="20" fillId="0" borderId="0" applyFont="0" applyFill="0" applyBorder="0" applyAlignment="0" applyProtection="0"/>
    <xf numFmtId="0" fontId="21" fillId="5" borderId="31" applyNumberFormat="0" applyAlignment="0" applyProtection="0"/>
    <xf numFmtId="167" fontId="20" fillId="0" borderId="0" applyFont="0" applyFill="0" applyBorder="0" applyAlignment="0" applyProtection="0"/>
    <xf numFmtId="0" fontId="2" fillId="0" borderId="0"/>
    <xf numFmtId="43" fontId="20" fillId="0" borderId="0" applyFont="0" applyFill="0" applyBorder="0" applyAlignment="0" applyProtection="0"/>
    <xf numFmtId="167" fontId="2" fillId="0" borderId="0" applyFont="0" applyFill="0" applyBorder="0" applyAlignment="0" applyProtection="0"/>
    <xf numFmtId="0" fontId="20" fillId="0" borderId="0"/>
    <xf numFmtId="0" fontId="22" fillId="6" borderId="31" applyNumberFormat="0" applyAlignment="0" applyProtection="0"/>
    <xf numFmtId="0" fontId="23" fillId="0" borderId="0" applyNumberFormat="0" applyFill="0" applyBorder="0" applyAlignment="0" applyProtection="0"/>
    <xf numFmtId="0" fontId="17" fillId="0" borderId="0"/>
    <xf numFmtId="0" fontId="14" fillId="0" borderId="0" applyNumberFormat="0" applyFill="0" applyBorder="0" applyAlignment="0" applyProtection="0"/>
    <xf numFmtId="0" fontId="1" fillId="0" borderId="0"/>
    <xf numFmtId="169" fontId="1" fillId="0" borderId="0" applyFont="0" applyFill="0" applyBorder="0" applyAlignment="0" applyProtection="0"/>
  </cellStyleXfs>
  <cellXfs count="203">
    <xf numFmtId="0" fontId="0" fillId="0" borderId="0" xfId="0"/>
    <xf numFmtId="0" fontId="4" fillId="0" borderId="0" xfId="0" applyFont="1"/>
    <xf numFmtId="0" fontId="6"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xf>
    <xf numFmtId="0" fontId="5" fillId="0" borderId="0" xfId="0" applyFont="1" applyAlignment="1">
      <alignment vertical="center"/>
    </xf>
    <xf numFmtId="0" fontId="9" fillId="2" borderId="0" xfId="0" applyFont="1" applyFill="1" applyAlignment="1">
      <alignment vertical="center"/>
    </xf>
    <xf numFmtId="0" fontId="7" fillId="0" borderId="0" xfId="0" applyFont="1" applyAlignment="1">
      <alignment vertical="center"/>
    </xf>
    <xf numFmtId="0" fontId="11" fillId="0" borderId="0" xfId="0" applyFont="1" applyAlignment="1">
      <alignment vertical="center"/>
    </xf>
    <xf numFmtId="0" fontId="9" fillId="2" borderId="0" xfId="0" applyFont="1" applyFill="1" applyAlignment="1">
      <alignment vertical="center" wrapText="1"/>
    </xf>
    <xf numFmtId="0" fontId="10" fillId="0" borderId="0" xfId="0" applyFont="1" applyAlignme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center"/>
    </xf>
    <xf numFmtId="0" fontId="12" fillId="0" borderId="19" xfId="0" applyFont="1" applyBorder="1" applyAlignment="1">
      <alignment vertical="center" wrapText="1"/>
    </xf>
    <xf numFmtId="0" fontId="12" fillId="0" borderId="0" xfId="0" applyFont="1" applyAlignment="1">
      <alignment vertical="center" wrapText="1"/>
    </xf>
    <xf numFmtId="0" fontId="9" fillId="2" borderId="20" xfId="0" applyFont="1" applyFill="1" applyBorder="1" applyAlignment="1">
      <alignment vertical="center" wrapText="1"/>
    </xf>
    <xf numFmtId="0" fontId="9" fillId="2" borderId="21" xfId="0" applyFont="1" applyFill="1" applyBorder="1" applyAlignment="1">
      <alignment vertical="center" wrapText="1"/>
    </xf>
    <xf numFmtId="0" fontId="9" fillId="2" borderId="22" xfId="0" applyFont="1" applyFill="1" applyBorder="1" applyAlignment="1">
      <alignment vertical="center" wrapText="1"/>
    </xf>
    <xf numFmtId="0" fontId="12" fillId="0" borderId="23" xfId="0" applyFont="1" applyBorder="1" applyAlignment="1">
      <alignment vertical="center" wrapText="1"/>
    </xf>
    <xf numFmtId="0" fontId="13" fillId="0" borderId="23" xfId="0" applyFont="1" applyBorder="1" applyAlignment="1">
      <alignment vertical="center" wrapText="1"/>
    </xf>
    <xf numFmtId="0" fontId="13" fillId="0" borderId="25" xfId="0" applyFont="1" applyBorder="1" applyAlignment="1">
      <alignment vertical="center" wrapText="1"/>
    </xf>
    <xf numFmtId="0" fontId="12" fillId="0" borderId="19" xfId="0" applyFont="1" applyBorder="1" applyAlignment="1">
      <alignment vertical="center"/>
    </xf>
    <xf numFmtId="164" fontId="12" fillId="0" borderId="0" xfId="1" applyNumberFormat="1" applyFont="1" applyAlignment="1">
      <alignment vertical="center" wrapText="1"/>
    </xf>
    <xf numFmtId="164" fontId="12" fillId="0" borderId="24" xfId="0" applyNumberFormat="1" applyFont="1" applyBorder="1" applyAlignment="1">
      <alignment horizontal="center" vertical="center" wrapText="1"/>
    </xf>
    <xf numFmtId="0" fontId="12" fillId="0" borderId="24" xfId="0" applyFont="1" applyBorder="1" applyAlignment="1">
      <alignment horizontal="center" vertical="center" wrapText="1"/>
    </xf>
    <xf numFmtId="164" fontId="12" fillId="0" borderId="24" xfId="1" applyNumberFormat="1" applyFont="1" applyBorder="1" applyAlignment="1">
      <alignment horizontal="center" vertical="center" wrapText="1"/>
    </xf>
    <xf numFmtId="0" fontId="16" fillId="0" borderId="0" xfId="0" applyFont="1" applyAlignment="1">
      <alignment vertical="center"/>
    </xf>
    <xf numFmtId="0" fontId="17" fillId="0" borderId="0" xfId="0" applyFont="1" applyAlignment="1">
      <alignment vertical="center"/>
    </xf>
    <xf numFmtId="0" fontId="18" fillId="0" borderId="0" xfId="0" applyFont="1"/>
    <xf numFmtId="0" fontId="16" fillId="3" borderId="1" xfId="0" applyFont="1" applyFill="1" applyBorder="1" applyAlignment="1">
      <alignment vertical="center"/>
    </xf>
    <xf numFmtId="0" fontId="17" fillId="3" borderId="2" xfId="0" applyFont="1" applyFill="1" applyBorder="1" applyAlignment="1">
      <alignment vertical="center"/>
    </xf>
    <xf numFmtId="0" fontId="17" fillId="3" borderId="3" xfId="0" applyFont="1" applyFill="1" applyBorder="1" applyAlignment="1">
      <alignment vertical="center"/>
    </xf>
    <xf numFmtId="0" fontId="16" fillId="3" borderId="4" xfId="0" applyFont="1" applyFill="1" applyBorder="1" applyAlignment="1">
      <alignment vertical="center"/>
    </xf>
    <xf numFmtId="0" fontId="17" fillId="3" borderId="0" xfId="0" applyFont="1" applyFill="1" applyAlignment="1">
      <alignment horizontal="left" vertical="center"/>
    </xf>
    <xf numFmtId="0" fontId="17" fillId="3" borderId="0" xfId="0" applyFont="1" applyFill="1" applyAlignment="1">
      <alignment vertical="center"/>
    </xf>
    <xf numFmtId="0" fontId="16" fillId="3" borderId="6" xfId="0" applyFont="1" applyFill="1" applyBorder="1" applyAlignment="1">
      <alignment vertical="center"/>
    </xf>
    <xf numFmtId="0" fontId="17" fillId="3" borderId="7" xfId="0" applyFont="1" applyFill="1" applyBorder="1" applyAlignment="1">
      <alignment horizontal="left" vertical="center"/>
    </xf>
    <xf numFmtId="0" fontId="17" fillId="3" borderId="8" xfId="0" applyFont="1" applyFill="1" applyBorder="1" applyAlignment="1">
      <alignment horizontal="left" vertical="center"/>
    </xf>
    <xf numFmtId="0" fontId="4" fillId="3" borderId="0" xfId="0" applyFont="1" applyFill="1"/>
    <xf numFmtId="0" fontId="17" fillId="3" borderId="5" xfId="0" applyFont="1" applyFill="1" applyBorder="1" applyAlignment="1">
      <alignment vertical="center"/>
    </xf>
    <xf numFmtId="14" fontId="12" fillId="0" borderId="30" xfId="0" applyNumberFormat="1" applyFont="1" applyBorder="1" applyAlignment="1">
      <alignment vertical="center" wrapText="1"/>
    </xf>
    <xf numFmtId="164" fontId="12" fillId="0" borderId="24" xfId="1" applyNumberFormat="1" applyFont="1" applyBorder="1" applyAlignment="1">
      <alignment vertical="center" wrapText="1"/>
    </xf>
    <xf numFmtId="49" fontId="17" fillId="3" borderId="0" xfId="0" applyNumberFormat="1" applyFont="1" applyFill="1" applyAlignment="1">
      <alignment horizontal="left" vertical="center"/>
    </xf>
    <xf numFmtId="0" fontId="12" fillId="0" borderId="38" xfId="0" applyFont="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vertical="center"/>
    </xf>
    <xf numFmtId="0" fontId="12" fillId="0" borderId="34" xfId="0" applyFont="1" applyBorder="1" applyAlignment="1">
      <alignment horizontal="left" vertical="center" wrapText="1"/>
    </xf>
    <xf numFmtId="0" fontId="12" fillId="0" borderId="34" xfId="0" applyFont="1" applyBorder="1" applyAlignment="1">
      <alignment horizontal="left" vertical="center"/>
    </xf>
    <xf numFmtId="164" fontId="12" fillId="0" borderId="34" xfId="0" applyNumberFormat="1" applyFont="1" applyBorder="1" applyAlignment="1">
      <alignment horizontal="left" vertical="center"/>
    </xf>
    <xf numFmtId="0" fontId="12" fillId="0" borderId="34" xfId="0" applyFont="1" applyBorder="1" applyAlignment="1">
      <alignment vertical="center"/>
    </xf>
    <xf numFmtId="0" fontId="24" fillId="0" borderId="0" xfId="11" applyFont="1"/>
    <xf numFmtId="0" fontId="24" fillId="0" borderId="13" xfId="11" applyFont="1" applyBorder="1"/>
    <xf numFmtId="168" fontId="24" fillId="0" borderId="13" xfId="11" applyNumberFormat="1" applyFont="1" applyBorder="1" applyAlignment="1">
      <alignment horizontal="center" vertical="center" wrapText="1"/>
    </xf>
    <xf numFmtId="165" fontId="24" fillId="0" borderId="13" xfId="11" applyNumberFormat="1" applyFont="1" applyBorder="1" applyAlignment="1">
      <alignment horizontal="center" vertical="center" wrapText="1"/>
    </xf>
    <xf numFmtId="0" fontId="24" fillId="0" borderId="0" xfId="0" applyFont="1"/>
    <xf numFmtId="0" fontId="24" fillId="4" borderId="10" xfId="0" applyFont="1" applyFill="1" applyBorder="1"/>
    <xf numFmtId="0" fontId="24" fillId="4" borderId="11" xfId="0" applyFont="1" applyFill="1" applyBorder="1"/>
    <xf numFmtId="0" fontId="24" fillId="4" borderId="13" xfId="0" applyFont="1" applyFill="1" applyBorder="1" applyAlignment="1">
      <alignment horizontal="center"/>
    </xf>
    <xf numFmtId="0" fontId="24" fillId="4" borderId="14" xfId="0" applyFont="1" applyFill="1" applyBorder="1" applyAlignment="1">
      <alignment horizontal="center"/>
    </xf>
    <xf numFmtId="14" fontId="17" fillId="0" borderId="12" xfId="2" applyNumberFormat="1" applyFont="1" applyBorder="1" applyAlignment="1">
      <alignment vertical="top" wrapText="1"/>
    </xf>
    <xf numFmtId="14" fontId="17" fillId="0" borderId="13" xfId="2" applyNumberFormat="1" applyFont="1" applyBorder="1" applyAlignment="1">
      <alignment vertical="top" wrapText="1"/>
    </xf>
    <xf numFmtId="1" fontId="17" fillId="0" borderId="13" xfId="2" applyNumberFormat="1" applyFont="1" applyBorder="1" applyAlignment="1">
      <alignment vertical="top" wrapText="1"/>
    </xf>
    <xf numFmtId="164" fontId="24" fillId="0" borderId="13" xfId="1" applyNumberFormat="1" applyFont="1" applyBorder="1"/>
    <xf numFmtId="165" fontId="24" fillId="0" borderId="13" xfId="0" applyNumberFormat="1" applyFont="1" applyBorder="1"/>
    <xf numFmtId="164" fontId="24" fillId="0" borderId="14" xfId="0" applyNumberFormat="1" applyFont="1" applyBorder="1" applyAlignment="1">
      <alignment horizontal="left" indent="1"/>
    </xf>
    <xf numFmtId="0" fontId="16" fillId="0" borderId="17" xfId="0" applyFont="1" applyBorder="1" applyAlignment="1">
      <alignment horizontal="left" vertical="top"/>
    </xf>
    <xf numFmtId="164" fontId="24" fillId="0" borderId="13" xfId="0" applyNumberFormat="1" applyFont="1" applyBorder="1"/>
    <xf numFmtId="164" fontId="24" fillId="0" borderId="14" xfId="0" applyNumberFormat="1" applyFont="1" applyBorder="1"/>
    <xf numFmtId="0" fontId="16" fillId="0" borderId="18" xfId="0" applyFont="1" applyBorder="1" applyAlignment="1">
      <alignment horizontal="left" vertical="top"/>
    </xf>
    <xf numFmtId="164" fontId="24" fillId="0" borderId="15" xfId="0" applyNumberFormat="1" applyFont="1" applyBorder="1"/>
    <xf numFmtId="43" fontId="24" fillId="0" borderId="15" xfId="0" applyNumberFormat="1" applyFont="1" applyBorder="1"/>
    <xf numFmtId="164" fontId="24" fillId="0" borderId="16" xfId="0" applyNumberFormat="1" applyFont="1" applyBorder="1" applyAlignment="1">
      <alignment horizontal="left" indent="1"/>
    </xf>
    <xf numFmtId="14" fontId="24" fillId="0" borderId="0" xfId="0" applyNumberFormat="1" applyFont="1"/>
    <xf numFmtId="168" fontId="24" fillId="0" borderId="0" xfId="11" applyNumberFormat="1" applyFont="1" applyAlignment="1">
      <alignment horizontal="center" vertical="center" wrapText="1"/>
    </xf>
    <xf numFmtId="0" fontId="17" fillId="3" borderId="13" xfId="0" applyFont="1" applyFill="1" applyBorder="1"/>
    <xf numFmtId="2" fontId="16" fillId="3" borderId="13" xfId="0" applyNumberFormat="1" applyFont="1" applyFill="1" applyBorder="1" applyAlignment="1">
      <alignment horizontal="center" vertical="center"/>
    </xf>
    <xf numFmtId="0" fontId="16" fillId="3" borderId="13" xfId="0" applyFont="1" applyFill="1" applyBorder="1" applyAlignment="1">
      <alignment horizontal="center"/>
    </xf>
    <xf numFmtId="0" fontId="17" fillId="3" borderId="13" xfId="0" applyFont="1" applyFill="1" applyBorder="1" applyAlignment="1">
      <alignment wrapText="1"/>
    </xf>
    <xf numFmtId="0" fontId="17" fillId="3" borderId="13" xfId="0" applyFont="1" applyFill="1" applyBorder="1" applyAlignment="1">
      <alignment horizontal="center"/>
    </xf>
    <xf numFmtId="0" fontId="24" fillId="3" borderId="13" xfId="11" applyFont="1" applyFill="1" applyBorder="1" applyAlignment="1">
      <alignment vertical="center" wrapText="1"/>
    </xf>
    <xf numFmtId="0" fontId="24" fillId="0" borderId="0" xfId="11" applyFont="1" applyAlignment="1">
      <alignment vertical="center" wrapText="1"/>
    </xf>
    <xf numFmtId="0" fontId="17" fillId="0" borderId="0" xfId="14"/>
    <xf numFmtId="0" fontId="17" fillId="0" borderId="13" xfId="14" applyBorder="1" applyAlignment="1">
      <alignment vertical="center" wrapText="1"/>
    </xf>
    <xf numFmtId="0" fontId="17" fillId="0" borderId="0" xfId="14" applyAlignment="1">
      <alignment vertical="center" wrapText="1"/>
    </xf>
    <xf numFmtId="0" fontId="30" fillId="0" borderId="13" xfId="14" applyFont="1" applyBorder="1" applyAlignment="1">
      <alignment vertical="center" wrapText="1"/>
    </xf>
    <xf numFmtId="0" fontId="30" fillId="0" borderId="13" xfId="14" applyFont="1" applyBorder="1" applyAlignment="1">
      <alignment horizontal="center" vertical="center" wrapText="1"/>
    </xf>
    <xf numFmtId="0" fontId="17" fillId="0" borderId="13" xfId="14" applyBorder="1" applyAlignment="1">
      <alignment horizontal="center" vertical="center" wrapText="1"/>
    </xf>
    <xf numFmtId="0" fontId="17" fillId="0" borderId="0" xfId="14" applyAlignment="1">
      <alignment horizontal="center" vertical="center"/>
    </xf>
    <xf numFmtId="2" fontId="29" fillId="9" borderId="13" xfId="14" applyNumberFormat="1" applyFont="1" applyFill="1" applyBorder="1" applyAlignment="1">
      <alignment horizontal="center" vertical="center" wrapText="1"/>
    </xf>
    <xf numFmtId="164" fontId="29" fillId="9" borderId="13" xfId="1" applyNumberFormat="1" applyFont="1" applyFill="1" applyBorder="1" applyAlignment="1">
      <alignment horizontal="center" vertical="center" wrapText="1"/>
    </xf>
    <xf numFmtId="43" fontId="29" fillId="9" borderId="13" xfId="1" applyFont="1" applyFill="1" applyBorder="1" applyAlignment="1">
      <alignment horizontal="center" vertical="center" wrapText="1"/>
    </xf>
    <xf numFmtId="0" fontId="25" fillId="0" borderId="13" xfId="11" applyFont="1" applyBorder="1"/>
    <xf numFmtId="0" fontId="14" fillId="0" borderId="13" xfId="4" applyBorder="1" applyAlignment="1" applyProtection="1">
      <alignment horizontal="left" vertical="center" wrapText="1"/>
    </xf>
    <xf numFmtId="0" fontId="14" fillId="0" borderId="13" xfId="4" applyBorder="1" applyAlignment="1" applyProtection="1">
      <alignment vertical="center"/>
    </xf>
    <xf numFmtId="0" fontId="16" fillId="7" borderId="13" xfId="0" applyFont="1" applyFill="1" applyBorder="1" applyAlignment="1">
      <alignment vertical="center" wrapText="1"/>
    </xf>
    <xf numFmtId="0" fontId="16" fillId="7" borderId="35" xfId="0" applyFont="1" applyFill="1" applyBorder="1" applyAlignment="1">
      <alignment vertical="center" wrapText="1"/>
    </xf>
    <xf numFmtId="0" fontId="32" fillId="0" borderId="0" xfId="15" applyFont="1" applyFill="1" applyBorder="1" applyAlignment="1" applyProtection="1">
      <alignment horizontal="center" vertical="center" wrapText="1"/>
    </xf>
    <xf numFmtId="0" fontId="16" fillId="12" borderId="40" xfId="0" applyFont="1" applyFill="1" applyBorder="1" applyAlignment="1">
      <alignment vertical="center"/>
    </xf>
    <xf numFmtId="0" fontId="16" fillId="12" borderId="41" xfId="0" applyFont="1" applyFill="1" applyBorder="1" applyAlignment="1">
      <alignment vertical="center"/>
    </xf>
    <xf numFmtId="0" fontId="16" fillId="12" borderId="42" xfId="0" applyFont="1" applyFill="1" applyBorder="1" applyAlignment="1">
      <alignment vertical="center"/>
    </xf>
    <xf numFmtId="0" fontId="24" fillId="0" borderId="0" xfId="16" applyFont="1" applyAlignment="1">
      <alignment vertical="center"/>
    </xf>
    <xf numFmtId="170" fontId="24" fillId="0" borderId="0" xfId="17" applyNumberFormat="1" applyFont="1" applyFill="1" applyBorder="1" applyAlignment="1">
      <alignment horizontal="right" vertical="center"/>
    </xf>
    <xf numFmtId="0" fontId="32" fillId="0" borderId="0" xfId="15" applyFont="1" applyFill="1" applyBorder="1" applyAlignment="1" applyProtection="1"/>
    <xf numFmtId="0" fontId="24" fillId="0" borderId="0" xfId="16" applyFont="1"/>
    <xf numFmtId="0" fontId="16" fillId="12" borderId="1" xfId="0" applyFont="1" applyFill="1" applyBorder="1" applyAlignment="1">
      <alignment vertical="center"/>
    </xf>
    <xf numFmtId="0" fontId="17" fillId="12" borderId="2" xfId="0" applyFont="1" applyFill="1" applyBorder="1" applyAlignment="1">
      <alignment vertical="center"/>
    </xf>
    <xf numFmtId="0" fontId="24" fillId="0" borderId="12" xfId="0" applyFont="1" applyBorder="1" applyAlignment="1">
      <alignment vertical="center" wrapText="1"/>
    </xf>
    <xf numFmtId="166" fontId="24" fillId="0" borderId="13" xfId="16" applyNumberFormat="1" applyFont="1" applyBorder="1" applyAlignment="1">
      <alignment vertical="center"/>
    </xf>
    <xf numFmtId="0" fontId="24" fillId="0" borderId="13" xfId="0" applyFont="1" applyBorder="1" applyAlignment="1">
      <alignment vertical="center" wrapText="1"/>
    </xf>
    <xf numFmtId="0" fontId="33" fillId="0" borderId="13" xfId="4" applyFont="1" applyBorder="1" applyAlignment="1" applyProtection="1">
      <alignment horizontal="left" vertical="center"/>
    </xf>
    <xf numFmtId="0" fontId="17" fillId="0" borderId="14" xfId="4" applyFont="1" applyBorder="1" applyAlignment="1" applyProtection="1">
      <alignment vertical="center"/>
    </xf>
    <xf numFmtId="167" fontId="24" fillId="0" borderId="13" xfId="16" applyNumberFormat="1" applyFont="1" applyBorder="1" applyAlignment="1">
      <alignment vertical="center"/>
    </xf>
    <xf numFmtId="0" fontId="24" fillId="0" borderId="5" xfId="0" applyFont="1" applyBorder="1" applyAlignment="1">
      <alignment vertical="center"/>
    </xf>
    <xf numFmtId="171" fontId="24" fillId="0" borderId="13" xfId="16" applyNumberFormat="1" applyFont="1" applyBorder="1" applyAlignment="1">
      <alignment vertical="center"/>
    </xf>
    <xf numFmtId="0" fontId="33" fillId="0" borderId="13" xfId="4" applyFont="1" applyBorder="1" applyAlignment="1" applyProtection="1">
      <alignment vertical="center"/>
    </xf>
    <xf numFmtId="0" fontId="33" fillId="0" borderId="14" xfId="4" applyFont="1" applyBorder="1" applyAlignment="1" applyProtection="1">
      <alignment vertical="center"/>
    </xf>
    <xf numFmtId="0" fontId="24" fillId="0" borderId="14" xfId="0" applyFont="1" applyBorder="1" applyAlignment="1">
      <alignment vertical="center"/>
    </xf>
    <xf numFmtId="0" fontId="24" fillId="0" borderId="43" xfId="0" applyFont="1" applyBorder="1" applyAlignment="1">
      <alignment vertical="center" wrapText="1"/>
    </xf>
    <xf numFmtId="167" fontId="24" fillId="0" borderId="15" xfId="16" applyNumberFormat="1" applyFont="1" applyBorder="1" applyAlignment="1">
      <alignment vertical="center"/>
    </xf>
    <xf numFmtId="0" fontId="24" fillId="0" borderId="15" xfId="0" applyFont="1" applyBorder="1" applyAlignment="1">
      <alignment vertical="center" wrapText="1"/>
    </xf>
    <xf numFmtId="0" fontId="33" fillId="0" borderId="15" xfId="4" applyFont="1" applyBorder="1" applyAlignment="1">
      <alignment vertical="center"/>
    </xf>
    <xf numFmtId="0" fontId="24" fillId="0" borderId="7" xfId="16" applyFont="1" applyBorder="1"/>
    <xf numFmtId="0" fontId="24" fillId="0" borderId="16" xfId="0" applyFont="1" applyBorder="1" applyAlignment="1">
      <alignment vertical="center" wrapText="1"/>
    </xf>
    <xf numFmtId="166" fontId="24" fillId="0" borderId="0" xfId="16" applyNumberFormat="1" applyFont="1"/>
    <xf numFmtId="0" fontId="16" fillId="10" borderId="13" xfId="0" applyFont="1" applyFill="1" applyBorder="1" applyAlignment="1">
      <alignment horizontal="center" vertical="center" wrapText="1"/>
    </xf>
    <xf numFmtId="0" fontId="17" fillId="11" borderId="13" xfId="0" applyFont="1" applyFill="1" applyBorder="1" applyAlignment="1">
      <alignment horizontal="center" vertical="center" wrapText="1"/>
    </xf>
    <xf numFmtId="14" fontId="24" fillId="0" borderId="13" xfId="0" applyNumberFormat="1" applyFont="1" applyBorder="1" applyAlignment="1">
      <alignment horizontal="center" vertical="center"/>
    </xf>
    <xf numFmtId="3" fontId="24" fillId="12" borderId="13" xfId="0" applyNumberFormat="1" applyFont="1" applyFill="1" applyBorder="1" applyAlignment="1">
      <alignment horizontal="center" vertical="center"/>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164" fontId="24" fillId="0" borderId="13" xfId="1" applyNumberFormat="1" applyFont="1" applyBorder="1" applyAlignment="1">
      <alignment horizontal="center" vertical="center" wrapText="1"/>
    </xf>
    <xf numFmtId="1" fontId="24" fillId="0" borderId="13" xfId="1" applyNumberFormat="1" applyFont="1" applyBorder="1" applyAlignment="1">
      <alignment horizontal="center" vertical="center" wrapText="1"/>
    </xf>
    <xf numFmtId="0" fontId="16" fillId="13" borderId="13" xfId="0" applyFont="1" applyFill="1" applyBorder="1" applyAlignment="1">
      <alignment horizontal="center" vertical="center" wrapText="1"/>
    </xf>
    <xf numFmtId="0" fontId="29" fillId="13" borderId="13" xfId="14" applyFont="1" applyFill="1" applyBorder="1" applyAlignment="1">
      <alignment vertical="center"/>
    </xf>
    <xf numFmtId="0" fontId="29" fillId="13" borderId="13" xfId="14" applyFont="1" applyFill="1" applyBorder="1" applyAlignment="1">
      <alignment horizontal="center" vertical="center"/>
    </xf>
    <xf numFmtId="0" fontId="17" fillId="0" borderId="13" xfId="0" applyFont="1" applyBorder="1" applyAlignment="1">
      <alignment vertical="center"/>
    </xf>
    <xf numFmtId="0" fontId="24" fillId="0" borderId="13" xfId="0" applyFont="1" applyBorder="1" applyAlignment="1">
      <alignment vertical="center"/>
    </xf>
    <xf numFmtId="43" fontId="24" fillId="0" borderId="13" xfId="1" applyFont="1" applyBorder="1" applyAlignment="1">
      <alignment horizontal="left" vertical="center"/>
    </xf>
    <xf numFmtId="0" fontId="9" fillId="14" borderId="47" xfId="0" applyFont="1" applyFill="1" applyBorder="1" applyAlignment="1">
      <alignment vertical="center"/>
    </xf>
    <xf numFmtId="0" fontId="9" fillId="14" borderId="48" xfId="0" applyFont="1" applyFill="1" applyBorder="1" applyAlignment="1">
      <alignment horizontal="right" vertical="center"/>
    </xf>
    <xf numFmtId="0" fontId="9" fillId="14" borderId="49" xfId="0" applyFont="1" applyFill="1" applyBorder="1" applyAlignment="1">
      <alignment horizontal="right" vertical="center"/>
    </xf>
    <xf numFmtId="0" fontId="34" fillId="15" borderId="50" xfId="0" applyFont="1" applyFill="1" applyBorder="1" applyAlignment="1">
      <alignment vertical="center"/>
    </xf>
    <xf numFmtId="0" fontId="35" fillId="15" borderId="51" xfId="0" applyFont="1" applyFill="1" applyBorder="1" applyAlignment="1">
      <alignment horizontal="right" vertical="center"/>
    </xf>
    <xf numFmtId="0" fontId="25" fillId="0" borderId="50" xfId="0" applyFont="1" applyBorder="1" applyAlignment="1">
      <alignment vertical="center"/>
    </xf>
    <xf numFmtId="0" fontId="24" fillId="0" borderId="51" xfId="0" applyFont="1" applyBorder="1" applyAlignment="1">
      <alignment horizontal="right" vertical="center"/>
    </xf>
    <xf numFmtId="0" fontId="25" fillId="0" borderId="51" xfId="0" applyFont="1" applyBorder="1" applyAlignment="1">
      <alignment horizontal="right" vertical="center"/>
    </xf>
    <xf numFmtId="0" fontId="16" fillId="13" borderId="13" xfId="0" applyFont="1" applyFill="1" applyBorder="1" applyAlignment="1">
      <alignment vertical="center"/>
    </xf>
    <xf numFmtId="0" fontId="16" fillId="13" borderId="13" xfId="0" applyFont="1" applyFill="1" applyBorder="1" applyAlignment="1">
      <alignment horizontal="left" vertical="center"/>
    </xf>
    <xf numFmtId="0" fontId="24" fillId="12" borderId="13" xfId="0" applyFont="1" applyFill="1" applyBorder="1" applyAlignment="1">
      <alignment vertical="center"/>
    </xf>
    <xf numFmtId="43" fontId="24" fillId="12" borderId="13" xfId="1" applyFont="1" applyFill="1" applyBorder="1" applyAlignment="1">
      <alignment horizontal="left" vertical="center"/>
    </xf>
    <xf numFmtId="0" fontId="17" fillId="4" borderId="13" xfId="0" applyFont="1" applyFill="1" applyBorder="1" applyAlignment="1">
      <alignment vertical="center" wrapText="1"/>
    </xf>
    <xf numFmtId="43" fontId="24" fillId="4" borderId="13" xfId="1" applyFont="1" applyFill="1" applyBorder="1" applyAlignment="1">
      <alignment horizontal="left" vertical="center"/>
    </xf>
    <xf numFmtId="164" fontId="24" fillId="0" borderId="13" xfId="1" applyNumberFormat="1" applyFont="1" applyBorder="1" applyAlignment="1">
      <alignment horizontal="left" vertical="center"/>
    </xf>
    <xf numFmtId="0" fontId="33" fillId="0" borderId="13" xfId="4" applyFont="1" applyBorder="1" applyAlignment="1">
      <alignment wrapText="1"/>
    </xf>
    <xf numFmtId="1" fontId="24" fillId="0" borderId="13" xfId="0" applyNumberFormat="1" applyFont="1" applyBorder="1" applyAlignment="1">
      <alignment horizontal="center" vertical="center" wrapText="1"/>
    </xf>
    <xf numFmtId="0" fontId="24" fillId="0" borderId="13" xfId="0" applyFont="1" applyBorder="1" applyAlignment="1">
      <alignment horizontal="left" vertical="center"/>
    </xf>
    <xf numFmtId="0" fontId="24" fillId="0" borderId="0" xfId="0" applyFont="1" applyAlignment="1">
      <alignment vertical="center"/>
    </xf>
    <xf numFmtId="168" fontId="25" fillId="0" borderId="13" xfId="11" applyNumberFormat="1" applyFont="1" applyBorder="1" applyAlignment="1">
      <alignment horizontal="center" vertical="center" wrapText="1"/>
    </xf>
    <xf numFmtId="2" fontId="24" fillId="0" borderId="13" xfId="0" applyNumberFormat="1" applyFont="1" applyBorder="1" applyAlignment="1">
      <alignment horizontal="center" vertical="center" wrapText="1"/>
    </xf>
    <xf numFmtId="164" fontId="12" fillId="0" borderId="13" xfId="0" applyNumberFormat="1" applyFont="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164" fontId="12" fillId="0" borderId="0" xfId="0" applyNumberFormat="1" applyFont="1" applyAlignment="1">
      <alignment horizontal="left" vertical="center"/>
    </xf>
    <xf numFmtId="0" fontId="12" fillId="0" borderId="0" xfId="0" applyFont="1" applyAlignment="1">
      <alignment vertical="center"/>
    </xf>
    <xf numFmtId="14" fontId="12" fillId="0" borderId="13" xfId="0" applyNumberFormat="1" applyFont="1" applyBorder="1" applyAlignment="1">
      <alignment horizontal="right"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7" fillId="4" borderId="9" xfId="0" applyFont="1" applyFill="1" applyBorder="1" applyAlignment="1">
      <alignment horizontal="left" vertical="center"/>
    </xf>
    <xf numFmtId="0" fontId="17" fillId="4" borderId="12" xfId="0" applyFont="1" applyFill="1" applyBorder="1" applyAlignment="1">
      <alignment horizontal="left" vertical="center"/>
    </xf>
    <xf numFmtId="0" fontId="17" fillId="4" borderId="10" xfId="0" applyFont="1" applyFill="1" applyBorder="1" applyAlignment="1">
      <alignment horizontal="left" vertical="center"/>
    </xf>
    <xf numFmtId="0" fontId="17" fillId="4" borderId="13" xfId="0" applyFont="1" applyFill="1" applyBorder="1" applyAlignment="1">
      <alignment horizontal="left" vertical="center"/>
    </xf>
    <xf numFmtId="0" fontId="16" fillId="0" borderId="28" xfId="0" applyFont="1" applyBorder="1" applyAlignment="1">
      <alignment horizontal="left" vertical="top"/>
    </xf>
    <xf numFmtId="0" fontId="16" fillId="0" borderId="17" xfId="0" applyFont="1" applyBorder="1" applyAlignment="1">
      <alignment horizontal="left" vertical="top"/>
    </xf>
    <xf numFmtId="0" fontId="16" fillId="0" borderId="29" xfId="0" applyFont="1" applyBorder="1" applyAlignment="1">
      <alignment horizontal="left" vertical="top"/>
    </xf>
    <xf numFmtId="0" fontId="16" fillId="0" borderId="18" xfId="0" applyFont="1" applyBorder="1" applyAlignment="1">
      <alignment horizontal="left" vertical="top"/>
    </xf>
    <xf numFmtId="0" fontId="17" fillId="4" borderId="39" xfId="0" applyFont="1" applyFill="1" applyBorder="1" applyAlignment="1">
      <alignment horizontal="center" vertical="center"/>
    </xf>
    <xf numFmtId="0" fontId="17" fillId="4" borderId="35" xfId="0" applyFont="1" applyFill="1" applyBorder="1" applyAlignment="1">
      <alignment horizontal="center" vertical="center"/>
    </xf>
    <xf numFmtId="2" fontId="16" fillId="3" borderId="33" xfId="0" applyNumberFormat="1" applyFont="1" applyFill="1" applyBorder="1" applyAlignment="1">
      <alignment horizontal="center" vertical="center"/>
    </xf>
    <xf numFmtId="2" fontId="16" fillId="3" borderId="34" xfId="0" applyNumberFormat="1" applyFont="1" applyFill="1" applyBorder="1" applyAlignment="1">
      <alignment horizontal="center" vertical="center"/>
    </xf>
    <xf numFmtId="2" fontId="16" fillId="3" borderId="17" xfId="0" applyNumberFormat="1" applyFont="1" applyFill="1" applyBorder="1" applyAlignment="1">
      <alignment horizontal="center" vertical="center"/>
    </xf>
    <xf numFmtId="0" fontId="25" fillId="3" borderId="13" xfId="11" applyFont="1" applyFill="1" applyBorder="1" applyAlignment="1">
      <alignment horizontal="center" vertical="center" wrapText="1"/>
    </xf>
    <xf numFmtId="0" fontId="24" fillId="0" borderId="36" xfId="11" applyFont="1" applyBorder="1" applyAlignment="1">
      <alignment horizontal="left" vertical="top" wrapText="1"/>
    </xf>
    <xf numFmtId="0" fontId="24" fillId="0" borderId="54" xfId="11" applyFont="1" applyBorder="1" applyAlignment="1">
      <alignment horizontal="left" vertical="top" wrapText="1"/>
    </xf>
    <xf numFmtId="0" fontId="24" fillId="0" borderId="37" xfId="11" applyFont="1" applyBorder="1" applyAlignment="1">
      <alignment horizontal="left" vertical="top" wrapText="1"/>
    </xf>
    <xf numFmtId="0" fontId="24" fillId="0" borderId="52" xfId="11" applyFont="1" applyBorder="1" applyAlignment="1">
      <alignment horizontal="left" vertical="top" wrapText="1"/>
    </xf>
    <xf numFmtId="0" fontId="24" fillId="0" borderId="0" xfId="11" applyFont="1" applyAlignment="1">
      <alignment horizontal="left" vertical="top" wrapText="1"/>
    </xf>
    <xf numFmtId="0" fontId="24" fillId="0" borderId="55" xfId="11" applyFont="1" applyBorder="1" applyAlignment="1">
      <alignment horizontal="left" vertical="top" wrapText="1"/>
    </xf>
    <xf numFmtId="0" fontId="24" fillId="0" borderId="53" xfId="11" applyFont="1" applyBorder="1" applyAlignment="1">
      <alignment horizontal="left" vertical="top" wrapText="1"/>
    </xf>
    <xf numFmtId="0" fontId="24" fillId="0" borderId="32" xfId="11" applyFont="1" applyBorder="1" applyAlignment="1">
      <alignment horizontal="left" vertical="top" wrapText="1"/>
    </xf>
    <xf numFmtId="0" fontId="24" fillId="0" borderId="56" xfId="11" applyFont="1" applyBorder="1" applyAlignment="1">
      <alignment horizontal="left" vertical="top" wrapText="1"/>
    </xf>
    <xf numFmtId="0" fontId="14" fillId="0" borderId="36" xfId="4" applyBorder="1" applyAlignment="1">
      <alignment horizontal="left" vertical="top" wrapText="1"/>
    </xf>
    <xf numFmtId="0" fontId="14" fillId="0" borderId="54" xfId="4" applyBorder="1" applyAlignment="1">
      <alignment horizontal="left" vertical="top" wrapText="1"/>
    </xf>
    <xf numFmtId="0" fontId="14" fillId="0" borderId="37" xfId="4" applyBorder="1" applyAlignment="1">
      <alignment horizontal="left" vertical="top" wrapText="1"/>
    </xf>
    <xf numFmtId="0" fontId="14" fillId="0" borderId="53" xfId="4" applyBorder="1" applyAlignment="1">
      <alignment horizontal="left" vertical="top" wrapText="1"/>
    </xf>
    <xf numFmtId="0" fontId="14" fillId="0" borderId="32" xfId="4" applyBorder="1" applyAlignment="1">
      <alignment horizontal="left" vertical="top" wrapText="1"/>
    </xf>
    <xf numFmtId="0" fontId="14" fillId="0" borderId="56" xfId="4" applyBorder="1" applyAlignment="1">
      <alignment horizontal="left" vertical="top" wrapText="1"/>
    </xf>
    <xf numFmtId="0" fontId="24" fillId="0" borderId="33" xfId="0" applyFont="1" applyBorder="1" applyAlignment="1">
      <alignment horizontal="left" vertical="center"/>
    </xf>
    <xf numFmtId="0" fontId="24" fillId="0" borderId="17" xfId="0" applyFont="1" applyBorder="1" applyAlignment="1">
      <alignment horizontal="left" vertical="center"/>
    </xf>
    <xf numFmtId="0" fontId="36" fillId="8" borderId="44" xfId="0" applyFont="1" applyFill="1" applyBorder="1" applyAlignment="1">
      <alignment horizontal="center" vertical="center" wrapText="1"/>
    </xf>
    <xf numFmtId="0" fontId="36" fillId="8" borderId="45" xfId="0" applyFont="1" applyFill="1" applyBorder="1" applyAlignment="1">
      <alignment horizontal="center" vertical="center" wrapText="1"/>
    </xf>
    <xf numFmtId="0" fontId="36" fillId="8" borderId="46" xfId="0" applyFont="1" applyFill="1" applyBorder="1" applyAlignment="1">
      <alignment horizontal="center" vertical="center" wrapText="1"/>
    </xf>
    <xf numFmtId="0" fontId="36" fillId="8" borderId="13" xfId="0" applyFont="1" applyFill="1" applyBorder="1" applyAlignment="1">
      <alignment horizontal="center" vertical="center" wrapText="1"/>
    </xf>
  </cellXfs>
  <cellStyles count="18">
    <cellStyle name="Calculation 2" xfId="12" xr:uid="{6CF14321-3984-4839-844D-C52F5D99B530}"/>
    <cellStyle name="Comma" xfId="1" builtinId="3"/>
    <cellStyle name="Comma 2" xfId="7" xr:uid="{65275A09-F385-4679-A247-A4054F796A56}"/>
    <cellStyle name="Comma 2 2" xfId="10" xr:uid="{468FA97D-E6D0-4363-BCC3-D4E050D3EAF8}"/>
    <cellStyle name="Comma 4" xfId="9" xr:uid="{D1087331-C12C-4363-9EBC-40EBBDCB5F19}"/>
    <cellStyle name="Explanatory Text 2" xfId="13" xr:uid="{D7256D42-E887-4017-810D-24F7A6F0DDD7}"/>
    <cellStyle name="Hyperlink" xfId="4" builtinId="8"/>
    <cellStyle name="Input 2" xfId="6" xr:uid="{47BD88B9-5DC9-4873-A8E8-B00B1A06B438}"/>
    <cellStyle name="Köprü 2" xfId="15" xr:uid="{2C732BA3-3BAA-495D-BDDC-AF5B16220252}"/>
    <cellStyle name="Normal" xfId="0" builtinId="0"/>
    <cellStyle name="Normal 2" xfId="2" xr:uid="{E4DAB719-25BD-4BBA-99DD-966A3D3A0BD1}"/>
    <cellStyle name="Normal 2 2" xfId="3" xr:uid="{9AD6DDC8-8013-4A59-B0DD-23647CA4110D}"/>
    <cellStyle name="Normal 2 2 2" xfId="11" xr:uid="{948FFBFC-25E9-4286-A289-B79B1F73BB60}"/>
    <cellStyle name="Normal 2 3" xfId="8" xr:uid="{1AF69A03-F1D1-4F80-B00F-78A27D9BC523}"/>
    <cellStyle name="Normal 2 4" xfId="14" xr:uid="{3CB0F503-A37C-417C-84B3-67C38936CA80}"/>
    <cellStyle name="Normal 9 2" xfId="16" xr:uid="{4844D5CC-57E4-432F-BA88-4C66F51309EC}"/>
    <cellStyle name="Percent 3" xfId="5" xr:uid="{D305FE8C-83E4-4AB3-9369-BCDC3E0280E8}"/>
    <cellStyle name="Virgül 4 2" xfId="17" xr:uid="{FE9597FB-AE50-4735-B9B9-2E2CCAD17F45}"/>
  </cellStyles>
  <dxfs count="0"/>
  <tableStyles count="0" defaultTableStyle="TableStyleMedium2" defaultPivotStyle="PivotStyleLight16"/>
  <colors>
    <mruColors>
      <color rgb="FFFFE5FA"/>
      <color rgb="FFFEB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99455</xdr:colOff>
      <xdr:row>11</xdr:row>
      <xdr:rowOff>104777</xdr:rowOff>
    </xdr:from>
    <xdr:to>
      <xdr:col>11</xdr:col>
      <xdr:colOff>512414</xdr:colOff>
      <xdr:row>45</xdr:row>
      <xdr:rowOff>77790</xdr:rowOff>
    </xdr:to>
    <xdr:pic>
      <xdr:nvPicPr>
        <xdr:cNvPr id="2" name="Picture 1">
          <a:extLst>
            <a:ext uri="{FF2B5EF4-FFF2-40B4-BE49-F238E27FC236}">
              <a16:creationId xmlns:a16="http://schemas.microsoft.com/office/drawing/2014/main" id="{50BE99AC-AF83-2B41-F9A0-6216FEEB06F5}"/>
            </a:ext>
          </a:extLst>
        </xdr:cNvPr>
        <xdr:cNvPicPr>
          <a:picLocks noChangeAspect="1"/>
        </xdr:cNvPicPr>
      </xdr:nvPicPr>
      <xdr:blipFill>
        <a:blip xmlns:r="http://schemas.openxmlformats.org/officeDocument/2006/relationships" r:embed="rId1"/>
        <a:stretch>
          <a:fillRect/>
        </a:stretch>
      </xdr:blipFill>
      <xdr:spPr>
        <a:xfrm>
          <a:off x="5750955" y="2238377"/>
          <a:ext cx="4261059" cy="5510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77390</xdr:colOff>
      <xdr:row>2</xdr:row>
      <xdr:rowOff>23813</xdr:rowOff>
    </xdr:from>
    <xdr:to>
      <xdr:col>8</xdr:col>
      <xdr:colOff>214776</xdr:colOff>
      <xdr:row>2</xdr:row>
      <xdr:rowOff>641757</xdr:rowOff>
    </xdr:to>
    <xdr:pic>
      <xdr:nvPicPr>
        <xdr:cNvPr id="2" name="Picture 1">
          <a:extLst>
            <a:ext uri="{FF2B5EF4-FFF2-40B4-BE49-F238E27FC236}">
              <a16:creationId xmlns:a16="http://schemas.microsoft.com/office/drawing/2014/main" id="{F754A0BF-B996-4A81-B947-12A8F0800F28}"/>
            </a:ext>
          </a:extLst>
        </xdr:cNvPr>
        <xdr:cNvPicPr>
          <a:picLocks noChangeAspect="1"/>
        </xdr:cNvPicPr>
      </xdr:nvPicPr>
      <xdr:blipFill>
        <a:blip xmlns:r="http://schemas.openxmlformats.org/officeDocument/2006/relationships" r:embed="rId1"/>
        <a:stretch>
          <a:fillRect/>
        </a:stretch>
      </xdr:blipFill>
      <xdr:spPr>
        <a:xfrm>
          <a:off x="7084219" y="333376"/>
          <a:ext cx="2107870" cy="6179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38099</xdr:colOff>
      <xdr:row>5</xdr:row>
      <xdr:rowOff>28575</xdr:rowOff>
    </xdr:from>
    <xdr:to>
      <xdr:col>23</xdr:col>
      <xdr:colOff>553334</xdr:colOff>
      <xdr:row>17</xdr:row>
      <xdr:rowOff>218150</xdr:rowOff>
    </xdr:to>
    <xdr:pic>
      <xdr:nvPicPr>
        <xdr:cNvPr id="5" name="Picture 4">
          <a:extLst>
            <a:ext uri="{FF2B5EF4-FFF2-40B4-BE49-F238E27FC236}">
              <a16:creationId xmlns:a16="http://schemas.microsoft.com/office/drawing/2014/main" id="{15E4A841-FFF3-9E2C-43EB-670F08AC6A82}"/>
            </a:ext>
          </a:extLst>
        </xdr:cNvPr>
        <xdr:cNvPicPr>
          <a:picLocks noChangeAspect="1"/>
        </xdr:cNvPicPr>
      </xdr:nvPicPr>
      <xdr:blipFill>
        <a:blip xmlns:r="http://schemas.openxmlformats.org/officeDocument/2006/relationships" r:embed="rId1"/>
        <a:stretch>
          <a:fillRect/>
        </a:stretch>
      </xdr:blipFill>
      <xdr:spPr>
        <a:xfrm>
          <a:off x="22009099" y="1717675"/>
          <a:ext cx="6344535" cy="475681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enerji.gov.tr/Media/Dizin/EVCED/tr/%C3%87evreVe%C4%B0klim/%C4%B0klimDe%C4%9Fi%C5%9Fikli%C4%9Fi/TUESEmisyonFktr/Belgeler/TUESEF_Bilgi_Formu.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portal.enerya.com.tr/DogalGazBirimFiyatlari/index.xhtml?city=07" TargetMode="External"/><Relationship Id="rId2" Type="http://schemas.openxmlformats.org/officeDocument/2006/relationships/hyperlink" Target="https://www.teias.gov.tr/tr-TR/turkiye-elektrik-uretim-iletim-istatistikleri" TargetMode="External"/><Relationship Id="rId1" Type="http://schemas.openxmlformats.org/officeDocument/2006/relationships/hyperlink" Target="https://www.teias.gov.tr/tr-TR/turkiye-elektrik-uretim-iletim-istatistikleri" TargetMode="External"/><Relationship Id="rId4" Type="http://schemas.openxmlformats.org/officeDocument/2006/relationships/hyperlink" Target="https://evds2.tcmb.gov.tr/index.php?/evds/serieMarke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unfccc.int/documents/627786?gad_source=1&amp;gclid=CjwKCAjw34qzBhBmEiwAOUQcFxnr1Z6hgWDvOCcdLovBOmcmQ279tWC0ubf5r1P1YqtZv_c2vw7-2xoClKoQAvD_BwE" TargetMode="External"/><Relationship Id="rId2" Type="http://schemas.openxmlformats.org/officeDocument/2006/relationships/hyperlink" Target="https://www.teias.gov.tr/tr-TR/turkiye-elektrik-uretim-iletim-istatistikleri" TargetMode="External"/><Relationship Id="rId1" Type="http://schemas.openxmlformats.org/officeDocument/2006/relationships/hyperlink" Target="https://unfccc.int/documents/627786?gad_source=1&amp;gclid=CjwKCAjw34qzBhBmEiwAOUQcFxnr1Z6hgWDvOCcdLovBOmcmQ279tWC0ubf5r1P1YqtZv_c2vw7-2xoClKoQAvD_BwE"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2D7DF-A561-4E47-8391-B9D2EDF559D9}">
  <dimension ref="B2:J30"/>
  <sheetViews>
    <sheetView tabSelected="1" zoomScale="75" zoomScaleNormal="75" workbookViewId="0">
      <selection activeCell="H20" sqref="H20:H27"/>
    </sheetView>
  </sheetViews>
  <sheetFormatPr defaultColWidth="8.796875" defaultRowHeight="12.75"/>
  <cols>
    <col min="1" max="1" width="8.796875" style="1"/>
    <col min="2" max="2" width="39" style="1" customWidth="1"/>
    <col min="3" max="3" width="30.06640625" style="1" customWidth="1"/>
    <col min="4" max="4" width="30" style="1" customWidth="1"/>
    <col min="5" max="5" width="15.9296875" style="1" customWidth="1"/>
    <col min="6" max="6" width="13.19921875" style="1" customWidth="1"/>
    <col min="7" max="7" width="32.796875" style="1" customWidth="1"/>
    <col min="8" max="8" width="30.86328125" style="1" bestFit="1" customWidth="1"/>
    <col min="9" max="9" width="20.33203125" style="1" customWidth="1"/>
    <col min="10" max="10" width="18.53125" style="1" customWidth="1"/>
    <col min="11" max="16384" width="8.796875" style="1"/>
  </cols>
  <sheetData>
    <row r="2" spans="2:8" ht="13.5">
      <c r="B2" s="27" t="s">
        <v>10</v>
      </c>
      <c r="C2" s="27"/>
      <c r="D2" s="28"/>
      <c r="E2" s="28"/>
      <c r="F2" s="28"/>
      <c r="G2" s="29"/>
    </row>
    <row r="3" spans="2:8" ht="13.9" thickBot="1">
      <c r="B3" s="28"/>
      <c r="C3" s="28"/>
      <c r="D3" s="28"/>
      <c r="E3" s="28"/>
      <c r="F3" s="28"/>
      <c r="G3" s="29"/>
    </row>
    <row r="4" spans="2:8">
      <c r="B4" s="30" t="s">
        <v>1</v>
      </c>
      <c r="C4" s="31" t="s">
        <v>35</v>
      </c>
      <c r="D4" s="31"/>
      <c r="E4" s="31"/>
      <c r="F4" s="32"/>
      <c r="G4" s="28"/>
    </row>
    <row r="5" spans="2:8" ht="13.5">
      <c r="B5" s="33" t="s">
        <v>2</v>
      </c>
      <c r="C5" s="34">
        <v>872</v>
      </c>
      <c r="D5" s="34"/>
      <c r="E5" s="35"/>
      <c r="F5" s="40"/>
      <c r="G5" s="29"/>
    </row>
    <row r="6" spans="2:8" ht="13.5">
      <c r="B6" s="33" t="s">
        <v>3</v>
      </c>
      <c r="C6" s="43" t="s">
        <v>171</v>
      </c>
      <c r="D6" s="39"/>
      <c r="E6" s="35"/>
      <c r="F6" s="40"/>
      <c r="G6" s="29"/>
    </row>
    <row r="7" spans="2:8" ht="13.5">
      <c r="B7" s="33" t="s">
        <v>172</v>
      </c>
      <c r="C7" s="43" t="s">
        <v>166</v>
      </c>
      <c r="D7" s="39"/>
      <c r="E7" s="35"/>
      <c r="F7" s="40"/>
      <c r="G7" s="29"/>
    </row>
    <row r="8" spans="2:8" ht="13.5">
      <c r="B8" s="33" t="s">
        <v>173</v>
      </c>
      <c r="C8" s="43" t="s">
        <v>175</v>
      </c>
      <c r="D8" s="39"/>
      <c r="E8" s="35"/>
      <c r="F8" s="40"/>
      <c r="G8" s="29"/>
    </row>
    <row r="9" spans="2:8" ht="13.15" thickBot="1">
      <c r="B9" s="36" t="s">
        <v>4</v>
      </c>
      <c r="C9" s="37" t="s">
        <v>36</v>
      </c>
      <c r="D9" s="37"/>
      <c r="E9" s="37"/>
      <c r="F9" s="38"/>
    </row>
    <row r="12" spans="2:8" ht="39.5" customHeight="1" thickBot="1">
      <c r="B12" s="9" t="s">
        <v>13</v>
      </c>
      <c r="C12" s="6" t="s">
        <v>0</v>
      </c>
      <c r="D12" s="9" t="s">
        <v>14</v>
      </c>
      <c r="E12" s="9" t="s">
        <v>15</v>
      </c>
      <c r="F12" s="2"/>
      <c r="G12" s="160" t="s">
        <v>168</v>
      </c>
      <c r="H12" s="165">
        <v>45383</v>
      </c>
    </row>
    <row r="13" spans="2:8" ht="46.5" customHeight="1" thickBot="1">
      <c r="B13" s="14" t="s">
        <v>16</v>
      </c>
      <c r="C13" s="15" t="s">
        <v>21</v>
      </c>
      <c r="D13" s="23">
        <v>31990</v>
      </c>
      <c r="E13" s="22" t="s">
        <v>17</v>
      </c>
      <c r="F13" s="3"/>
      <c r="G13" s="160" t="s">
        <v>167</v>
      </c>
      <c r="H13" s="165">
        <v>45483</v>
      </c>
    </row>
    <row r="14" spans="2:8" ht="84" customHeight="1">
      <c r="B14" s="44" t="s">
        <v>18</v>
      </c>
      <c r="C14" s="44" t="s">
        <v>34</v>
      </c>
      <c r="D14" s="45" t="s">
        <v>37</v>
      </c>
      <c r="E14" s="46" t="s">
        <v>25</v>
      </c>
      <c r="F14" s="3"/>
      <c r="G14" s="160" t="s">
        <v>169</v>
      </c>
      <c r="H14" s="160">
        <f>H13-H12</f>
        <v>100</v>
      </c>
    </row>
    <row r="15" spans="2:8" ht="63" customHeight="1">
      <c r="B15" s="47" t="s">
        <v>19</v>
      </c>
      <c r="C15" s="48" t="s">
        <v>20</v>
      </c>
      <c r="D15" s="49">
        <f>'Baseline Emissions'!G15</f>
        <v>14650</v>
      </c>
      <c r="E15" s="50" t="s">
        <v>31</v>
      </c>
      <c r="G15" s="160" t="s">
        <v>57</v>
      </c>
      <c r="H15" s="160">
        <f>ROUNDDOWN(D15*H14/365,0)</f>
        <v>4013</v>
      </c>
    </row>
    <row r="16" spans="2:8" ht="63" customHeight="1">
      <c r="B16" s="161"/>
      <c r="C16" s="162"/>
      <c r="D16" s="163"/>
      <c r="E16" s="164"/>
      <c r="G16" s="160" t="s">
        <v>170</v>
      </c>
      <c r="H16" s="160">
        <f>J20-H15</f>
        <v>7025</v>
      </c>
    </row>
    <row r="17" spans="2:10" ht="13.5">
      <c r="B17" s="11"/>
      <c r="C17" s="12"/>
      <c r="D17" s="7"/>
      <c r="E17" s="10"/>
    </row>
    <row r="18" spans="2:10" ht="19.5" customHeight="1" thickBot="1">
      <c r="B18" s="13" t="s">
        <v>16</v>
      </c>
      <c r="C18" s="7"/>
      <c r="D18" s="7"/>
      <c r="E18" s="8"/>
      <c r="G18" s="13" t="s">
        <v>19</v>
      </c>
    </row>
    <row r="19" spans="2:10" ht="13.15" thickBot="1">
      <c r="B19" s="16" t="s">
        <v>22</v>
      </c>
      <c r="C19" s="17" t="s">
        <v>7</v>
      </c>
      <c r="D19" s="17" t="s">
        <v>8</v>
      </c>
      <c r="E19" s="18" t="s">
        <v>9</v>
      </c>
      <c r="F19" s="4"/>
      <c r="G19" s="16" t="s">
        <v>22</v>
      </c>
      <c r="H19" s="17" t="s">
        <v>7</v>
      </c>
      <c r="I19" s="17" t="s">
        <v>8</v>
      </c>
      <c r="J19" s="18" t="s">
        <v>9</v>
      </c>
    </row>
    <row r="20" spans="2:10" ht="13.15" thickBot="1">
      <c r="B20" s="19" t="s">
        <v>44</v>
      </c>
      <c r="C20" s="25">
        <v>0</v>
      </c>
      <c r="D20" s="42">
        <f>'Baseline Emissions'!E6</f>
        <v>24102.054794520547</v>
      </c>
      <c r="E20" s="24">
        <f>D20-C20</f>
        <v>24102.054794520547</v>
      </c>
      <c r="F20" s="5"/>
      <c r="G20" s="19" t="str">
        <f>B20</f>
        <v>01/04/2024 - 31/12/2024</v>
      </c>
      <c r="H20" s="24">
        <f>'Baseline Emissions'!G6</f>
        <v>11038</v>
      </c>
      <c r="I20" s="25">
        <v>0</v>
      </c>
      <c r="J20" s="24">
        <f>H20-I20</f>
        <v>11038</v>
      </c>
    </row>
    <row r="21" spans="2:10" ht="13.15" thickBot="1">
      <c r="B21" s="19" t="s">
        <v>45</v>
      </c>
      <c r="C21" s="25">
        <v>0</v>
      </c>
      <c r="D21" s="42">
        <f>'Baseline Emissions'!E7</f>
        <v>31990</v>
      </c>
      <c r="E21" s="24">
        <f t="shared" ref="E21:E27" si="0">D21-C21</f>
        <v>31990</v>
      </c>
      <c r="F21" s="5"/>
      <c r="G21" s="19" t="str">
        <f t="shared" ref="G21:G27" si="1">B21</f>
        <v>01/01/2025 - 31/12/2025</v>
      </c>
      <c r="H21" s="24">
        <f>'Baseline Emissions'!G7</f>
        <v>14650</v>
      </c>
      <c r="I21" s="25">
        <v>0</v>
      </c>
      <c r="J21" s="24">
        <f t="shared" ref="J21:J26" si="2">H21-I21</f>
        <v>14650</v>
      </c>
    </row>
    <row r="22" spans="2:10" ht="13.15" thickBot="1">
      <c r="B22" s="19" t="s">
        <v>46</v>
      </c>
      <c r="C22" s="25">
        <v>0</v>
      </c>
      <c r="D22" s="42">
        <f>'Baseline Emissions'!E8</f>
        <v>31990</v>
      </c>
      <c r="E22" s="24">
        <f t="shared" si="0"/>
        <v>31990</v>
      </c>
      <c r="F22" s="5"/>
      <c r="G22" s="19" t="str">
        <f t="shared" si="1"/>
        <v>01/01/2026 - 31/12/2026</v>
      </c>
      <c r="H22" s="24">
        <f>'Baseline Emissions'!G8</f>
        <v>14650</v>
      </c>
      <c r="I22" s="25">
        <v>0</v>
      </c>
      <c r="J22" s="24">
        <f t="shared" si="2"/>
        <v>14650</v>
      </c>
    </row>
    <row r="23" spans="2:10" ht="13.15" thickBot="1">
      <c r="B23" s="19" t="s">
        <v>47</v>
      </c>
      <c r="C23" s="25">
        <v>0</v>
      </c>
      <c r="D23" s="42">
        <f>'Baseline Emissions'!E9</f>
        <v>31990</v>
      </c>
      <c r="E23" s="24">
        <f t="shared" si="0"/>
        <v>31990</v>
      </c>
      <c r="G23" s="19" t="str">
        <f t="shared" si="1"/>
        <v>01/01/2027 - 31/12/2027</v>
      </c>
      <c r="H23" s="24">
        <f>'Baseline Emissions'!G9</f>
        <v>14650</v>
      </c>
      <c r="I23" s="25">
        <v>0</v>
      </c>
      <c r="J23" s="24">
        <f t="shared" si="2"/>
        <v>14650</v>
      </c>
    </row>
    <row r="24" spans="2:10" ht="13.15" thickBot="1">
      <c r="B24" s="19" t="s">
        <v>48</v>
      </c>
      <c r="C24" s="25">
        <v>0</v>
      </c>
      <c r="D24" s="42">
        <f>'Baseline Emissions'!E10</f>
        <v>31990</v>
      </c>
      <c r="E24" s="24">
        <f t="shared" si="0"/>
        <v>31990</v>
      </c>
      <c r="G24" s="19" t="str">
        <f t="shared" si="1"/>
        <v>01/01/2028 - 31/12/2028</v>
      </c>
      <c r="H24" s="24">
        <f>'Baseline Emissions'!G10</f>
        <v>14650</v>
      </c>
      <c r="I24" s="25">
        <v>0</v>
      </c>
      <c r="J24" s="24">
        <f t="shared" si="2"/>
        <v>14650</v>
      </c>
    </row>
    <row r="25" spans="2:10" ht="13.15" thickBot="1">
      <c r="B25" s="19" t="s">
        <v>49</v>
      </c>
      <c r="C25" s="25">
        <v>0</v>
      </c>
      <c r="D25" s="42">
        <f>'Baseline Emissions'!E11</f>
        <v>31990</v>
      </c>
      <c r="E25" s="24">
        <f t="shared" si="0"/>
        <v>31990</v>
      </c>
      <c r="G25" s="19" t="str">
        <f t="shared" si="1"/>
        <v>01/01/2029 - 31/12/2029</v>
      </c>
      <c r="H25" s="24">
        <f>'Baseline Emissions'!G11</f>
        <v>14650</v>
      </c>
      <c r="I25" s="25">
        <v>0</v>
      </c>
      <c r="J25" s="24">
        <f t="shared" si="2"/>
        <v>14650</v>
      </c>
    </row>
    <row r="26" spans="2:10" ht="13.15" thickBot="1">
      <c r="B26" s="19" t="s">
        <v>50</v>
      </c>
      <c r="C26" s="25">
        <v>0</v>
      </c>
      <c r="D26" s="42">
        <f>'Baseline Emissions'!E12</f>
        <v>31990</v>
      </c>
      <c r="E26" s="24">
        <f t="shared" si="0"/>
        <v>31990</v>
      </c>
      <c r="G26" s="19" t="str">
        <f t="shared" si="1"/>
        <v>01/01/2030 - 31/12/2030</v>
      </c>
      <c r="H26" s="24">
        <f>'Baseline Emissions'!G12</f>
        <v>14650</v>
      </c>
      <c r="I26" s="25">
        <v>0</v>
      </c>
      <c r="J26" s="24">
        <f t="shared" si="2"/>
        <v>14650</v>
      </c>
    </row>
    <row r="27" spans="2:10" ht="13.15" thickBot="1">
      <c r="B27" s="41" t="s">
        <v>51</v>
      </c>
      <c r="C27" s="25">
        <v>0</v>
      </c>
      <c r="D27" s="42">
        <f>'Baseline Emissions'!E13</f>
        <v>7887.9452054794519</v>
      </c>
      <c r="E27" s="24">
        <f t="shared" si="0"/>
        <v>7887.9452054794519</v>
      </c>
      <c r="G27" s="19" t="str">
        <f t="shared" si="1"/>
        <v>01/01/2031 - 31/03/2031</v>
      </c>
      <c r="H27" s="24">
        <f>'Baseline Emissions'!G13</f>
        <v>3612</v>
      </c>
      <c r="I27" s="25">
        <v>0</v>
      </c>
      <c r="J27" s="24">
        <f t="shared" ref="J27" si="3">H27-I27</f>
        <v>3612</v>
      </c>
    </row>
    <row r="28" spans="2:10" ht="13.15" thickBot="1">
      <c r="B28" s="20" t="s">
        <v>5</v>
      </c>
      <c r="C28" s="26">
        <f>SUM(C20:C27)</f>
        <v>0</v>
      </c>
      <c r="D28" s="42">
        <f>SUM(D20:D27)</f>
        <v>223930</v>
      </c>
      <c r="E28" s="26">
        <f>SUM(E20:E27)</f>
        <v>223930</v>
      </c>
      <c r="G28" s="20" t="s">
        <v>5</v>
      </c>
      <c r="H28" s="24">
        <f>SUM(H20:H27)</f>
        <v>102550</v>
      </c>
      <c r="I28" s="25">
        <v>0</v>
      </c>
      <c r="J28" s="24">
        <f>H28-I28</f>
        <v>102550</v>
      </c>
    </row>
    <row r="29" spans="2:10" ht="25.15" thickBot="1">
      <c r="B29" s="21" t="s">
        <v>23</v>
      </c>
      <c r="C29" s="166">
        <v>7</v>
      </c>
      <c r="D29" s="167"/>
      <c r="E29" s="167"/>
      <c r="G29" s="21" t="s">
        <v>23</v>
      </c>
      <c r="H29" s="166">
        <v>7</v>
      </c>
      <c r="I29" s="167"/>
      <c r="J29" s="167"/>
    </row>
    <row r="30" spans="2:10" ht="25.15" thickBot="1">
      <c r="B30" s="20" t="s">
        <v>24</v>
      </c>
      <c r="C30" s="24">
        <f>C28/C29</f>
        <v>0</v>
      </c>
      <c r="D30" s="24">
        <f>D28/C29</f>
        <v>31990</v>
      </c>
      <c r="E30" s="24">
        <f>E28/C29</f>
        <v>31990</v>
      </c>
      <c r="G30" s="20" t="s">
        <v>24</v>
      </c>
      <c r="H30" s="24">
        <f>H28/H29</f>
        <v>14650</v>
      </c>
      <c r="I30" s="24">
        <f>I28/H29</f>
        <v>0</v>
      </c>
      <c r="J30" s="24">
        <f>J28/H29</f>
        <v>14650</v>
      </c>
    </row>
  </sheetData>
  <mergeCells count="2">
    <mergeCell ref="C29:E29"/>
    <mergeCell ref="H29:J29"/>
  </mergeCells>
  <phoneticPr fontId="1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48A71-6C8D-4A6D-95C7-2CCD0CA1864F}">
  <dimension ref="B3:G19"/>
  <sheetViews>
    <sheetView zoomScale="75" zoomScaleNormal="75" workbookViewId="0">
      <selection activeCell="D27" sqref="D27"/>
    </sheetView>
  </sheetViews>
  <sheetFormatPr defaultColWidth="8.73046875" defaultRowHeight="13.5"/>
  <cols>
    <col min="1" max="1" width="8.73046875" style="29"/>
    <col min="2" max="2" width="14.19921875" style="29" customWidth="1"/>
    <col min="3" max="3" width="13.33203125" style="29" customWidth="1"/>
    <col min="4" max="4" width="20.1328125" style="29" customWidth="1"/>
    <col min="5" max="5" width="30.265625" style="29" bestFit="1" customWidth="1"/>
    <col min="6" max="6" width="18.33203125" style="29" bestFit="1" customWidth="1"/>
    <col min="7" max="7" width="21.53125" style="29" customWidth="1"/>
    <col min="8" max="16384" width="8.73046875" style="29"/>
  </cols>
  <sheetData>
    <row r="3" spans="2:7" ht="13.9" thickBot="1">
      <c r="E3" s="29" t="s">
        <v>43</v>
      </c>
    </row>
    <row r="4" spans="2:7">
      <c r="B4" s="168" t="s">
        <v>11</v>
      </c>
      <c r="C4" s="170" t="s">
        <v>12</v>
      </c>
      <c r="D4" s="176" t="s">
        <v>38</v>
      </c>
      <c r="E4" s="56" t="s">
        <v>26</v>
      </c>
      <c r="F4" s="56" t="s">
        <v>27</v>
      </c>
      <c r="G4" s="57" t="s">
        <v>28</v>
      </c>
    </row>
    <row r="5" spans="2:7" ht="15.4">
      <c r="B5" s="169"/>
      <c r="C5" s="171"/>
      <c r="D5" s="177"/>
      <c r="E5" s="58" t="s">
        <v>17</v>
      </c>
      <c r="F5" s="58" t="s">
        <v>41</v>
      </c>
      <c r="G5" s="59" t="s">
        <v>42</v>
      </c>
    </row>
    <row r="6" spans="2:7">
      <c r="B6" s="60">
        <v>45383</v>
      </c>
      <c r="C6" s="61">
        <v>45657</v>
      </c>
      <c r="D6" s="62">
        <f>C6-B6+1</f>
        <v>275</v>
      </c>
      <c r="E6" s="63">
        <f>'Cover Page'!D13*D6/365</f>
        <v>24102.054794520547</v>
      </c>
      <c r="F6" s="64">
        <f>'Emission Factor'!$D$12</f>
        <v>0.45797500000000002</v>
      </c>
      <c r="G6" s="65">
        <f>ROUNDDOWN(E6*F6,0)</f>
        <v>11038</v>
      </c>
    </row>
    <row r="7" spans="2:7">
      <c r="B7" s="60">
        <v>45658</v>
      </c>
      <c r="C7" s="61">
        <v>46022</v>
      </c>
      <c r="D7" s="62">
        <f>C7-B7+1</f>
        <v>365</v>
      </c>
      <c r="E7" s="63">
        <f>'Cover Page'!$D$13</f>
        <v>31990</v>
      </c>
      <c r="F7" s="64">
        <f>'Emission Factor'!$D$12</f>
        <v>0.45797500000000002</v>
      </c>
      <c r="G7" s="65">
        <f t="shared" ref="G7:G12" si="0">ROUNDDOWN(E7*F7,0)</f>
        <v>14650</v>
      </c>
    </row>
    <row r="8" spans="2:7">
      <c r="B8" s="60">
        <v>46023</v>
      </c>
      <c r="C8" s="61">
        <v>46387</v>
      </c>
      <c r="D8" s="62">
        <f>C8-B8+1</f>
        <v>365</v>
      </c>
      <c r="E8" s="63">
        <f>'Cover Page'!$D$13</f>
        <v>31990</v>
      </c>
      <c r="F8" s="64">
        <f>'Emission Factor'!$D$12</f>
        <v>0.45797500000000002</v>
      </c>
      <c r="G8" s="65">
        <f>ROUNDDOWN(E8*F8,0)</f>
        <v>14650</v>
      </c>
    </row>
    <row r="9" spans="2:7">
      <c r="B9" s="60">
        <v>46388</v>
      </c>
      <c r="C9" s="61">
        <v>46752</v>
      </c>
      <c r="D9" s="62">
        <f>C9-B9+1</f>
        <v>365</v>
      </c>
      <c r="E9" s="63">
        <f>'Cover Page'!$D$13</f>
        <v>31990</v>
      </c>
      <c r="F9" s="64">
        <f>'Emission Factor'!$D$12</f>
        <v>0.45797500000000002</v>
      </c>
      <c r="G9" s="65">
        <f t="shared" si="0"/>
        <v>14650</v>
      </c>
    </row>
    <row r="10" spans="2:7">
      <c r="B10" s="60">
        <v>46753</v>
      </c>
      <c r="C10" s="61">
        <v>47118</v>
      </c>
      <c r="D10" s="62">
        <f t="shared" ref="D10" si="1">C10-B10</f>
        <v>365</v>
      </c>
      <c r="E10" s="63">
        <f>'Cover Page'!$D$13</f>
        <v>31990</v>
      </c>
      <c r="F10" s="64">
        <f>'Emission Factor'!$D$12</f>
        <v>0.45797500000000002</v>
      </c>
      <c r="G10" s="65">
        <f t="shared" si="0"/>
        <v>14650</v>
      </c>
    </row>
    <row r="11" spans="2:7">
      <c r="B11" s="60">
        <v>47119</v>
      </c>
      <c r="C11" s="61">
        <v>47483</v>
      </c>
      <c r="D11" s="62">
        <f>C11-B11+1</f>
        <v>365</v>
      </c>
      <c r="E11" s="63">
        <f>'Cover Page'!$D$13</f>
        <v>31990</v>
      </c>
      <c r="F11" s="64">
        <f>'Emission Factor'!$D$12</f>
        <v>0.45797500000000002</v>
      </c>
      <c r="G11" s="65">
        <f t="shared" si="0"/>
        <v>14650</v>
      </c>
    </row>
    <row r="12" spans="2:7">
      <c r="B12" s="60">
        <v>47484</v>
      </c>
      <c r="C12" s="61">
        <v>47848</v>
      </c>
      <c r="D12" s="62">
        <f>C12-B12+1</f>
        <v>365</v>
      </c>
      <c r="E12" s="63">
        <f>'Cover Page'!$D$13</f>
        <v>31990</v>
      </c>
      <c r="F12" s="64">
        <f>'Emission Factor'!$D$12</f>
        <v>0.45797500000000002</v>
      </c>
      <c r="G12" s="65">
        <f t="shared" si="0"/>
        <v>14650</v>
      </c>
    </row>
    <row r="13" spans="2:7">
      <c r="B13" s="60">
        <v>47849</v>
      </c>
      <c r="C13" s="61">
        <v>47938</v>
      </c>
      <c r="D13" s="62">
        <f>C13-B13+1</f>
        <v>90</v>
      </c>
      <c r="E13" s="63">
        <f>'Cover Page'!D13*D13/365</f>
        <v>7887.9452054794519</v>
      </c>
      <c r="F13" s="64">
        <f>'Emission Factor'!$D$12</f>
        <v>0.45797500000000002</v>
      </c>
      <c r="G13" s="65">
        <f>ROUNDDOWN(E13*F13,0)</f>
        <v>3612</v>
      </c>
    </row>
    <row r="14" spans="2:7">
      <c r="B14" s="172" t="s">
        <v>5</v>
      </c>
      <c r="C14" s="173"/>
      <c r="D14" s="66"/>
      <c r="E14" s="67">
        <f>SUM(E6:E13)</f>
        <v>223930</v>
      </c>
      <c r="F14" s="67"/>
      <c r="G14" s="68">
        <f>SUM(G6:G13)</f>
        <v>102550</v>
      </c>
    </row>
    <row r="15" spans="2:7" ht="13.9" thickBot="1">
      <c r="B15" s="174" t="s">
        <v>6</v>
      </c>
      <c r="C15" s="175"/>
      <c r="D15" s="69"/>
      <c r="E15" s="70">
        <f>E14/7</f>
        <v>31990</v>
      </c>
      <c r="F15" s="71"/>
      <c r="G15" s="72">
        <f>AVERAGE(G7:G12)</f>
        <v>14650</v>
      </c>
    </row>
    <row r="16" spans="2:7">
      <c r="B16" s="55"/>
      <c r="C16" s="55"/>
      <c r="D16" s="55"/>
      <c r="E16" s="55"/>
      <c r="F16" s="55"/>
      <c r="G16" s="55"/>
    </row>
    <row r="17" spans="2:7">
      <c r="B17" s="55"/>
      <c r="C17" s="55"/>
      <c r="D17" s="55"/>
      <c r="E17" s="55"/>
      <c r="F17" s="55"/>
      <c r="G17" s="55"/>
    </row>
    <row r="18" spans="2:7">
      <c r="B18" s="73">
        <v>45292</v>
      </c>
      <c r="C18" s="73">
        <v>45657</v>
      </c>
      <c r="D18" s="55">
        <f>C18-B18</f>
        <v>365</v>
      </c>
      <c r="E18" s="55"/>
      <c r="F18" s="55"/>
      <c r="G18" s="55"/>
    </row>
    <row r="19" spans="2:7">
      <c r="B19" s="73">
        <v>47849</v>
      </c>
      <c r="C19" s="73">
        <v>48213</v>
      </c>
      <c r="D19" s="55">
        <f>C19-B19</f>
        <v>364</v>
      </c>
      <c r="E19" s="55"/>
      <c r="F19" s="55"/>
      <c r="G19" s="55"/>
    </row>
  </sheetData>
  <mergeCells count="5">
    <mergeCell ref="B4:B5"/>
    <mergeCell ref="C4:C5"/>
    <mergeCell ref="B14:C14"/>
    <mergeCell ref="B15:C15"/>
    <mergeCell ref="D4: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02F00-860A-4662-8050-FBDFF5FB26B9}">
  <dimension ref="B2:O20"/>
  <sheetViews>
    <sheetView zoomScale="75" zoomScaleNormal="75" workbookViewId="0">
      <selection activeCell="E3" sqref="E3"/>
    </sheetView>
  </sheetViews>
  <sheetFormatPr defaultRowHeight="12.4"/>
  <cols>
    <col min="1" max="1" width="8.9296875" style="51"/>
    <col min="2" max="2" width="40.265625" style="51" bestFit="1" customWidth="1"/>
    <col min="3" max="5" width="9.9296875" style="51" bestFit="1" customWidth="1"/>
    <col min="6" max="257" width="8.9296875" style="51"/>
    <col min="258" max="258" width="46.06640625" style="51" customWidth="1"/>
    <col min="259" max="261" width="9.9296875" style="51" bestFit="1" customWidth="1"/>
    <col min="262" max="513" width="8.9296875" style="51"/>
    <col min="514" max="514" width="46.06640625" style="51" customWidth="1"/>
    <col min="515" max="517" width="9.9296875" style="51" bestFit="1" customWidth="1"/>
    <col min="518" max="769" width="8.9296875" style="51"/>
    <col min="770" max="770" width="46.06640625" style="51" customWidth="1"/>
    <col min="771" max="773" width="9.9296875" style="51" bestFit="1" customWidth="1"/>
    <col min="774" max="1025" width="8.9296875" style="51"/>
    <col min="1026" max="1026" width="46.06640625" style="51" customWidth="1"/>
    <col min="1027" max="1029" width="9.9296875" style="51" bestFit="1" customWidth="1"/>
    <col min="1030" max="1281" width="8.9296875" style="51"/>
    <col min="1282" max="1282" width="46.06640625" style="51" customWidth="1"/>
    <col min="1283" max="1285" width="9.9296875" style="51" bestFit="1" customWidth="1"/>
    <col min="1286" max="1537" width="8.9296875" style="51"/>
    <col min="1538" max="1538" width="46.06640625" style="51" customWidth="1"/>
    <col min="1539" max="1541" width="9.9296875" style="51" bestFit="1" customWidth="1"/>
    <col min="1542" max="1793" width="8.9296875" style="51"/>
    <col min="1794" max="1794" width="46.06640625" style="51" customWidth="1"/>
    <col min="1795" max="1797" width="9.9296875" style="51" bestFit="1" customWidth="1"/>
    <col min="1798" max="2049" width="8.9296875" style="51"/>
    <col min="2050" max="2050" width="46.06640625" style="51" customWidth="1"/>
    <col min="2051" max="2053" width="9.9296875" style="51" bestFit="1" customWidth="1"/>
    <col min="2054" max="2305" width="8.9296875" style="51"/>
    <col min="2306" max="2306" width="46.06640625" style="51" customWidth="1"/>
    <col min="2307" max="2309" width="9.9296875" style="51" bestFit="1" customWidth="1"/>
    <col min="2310" max="2561" width="8.9296875" style="51"/>
    <col min="2562" max="2562" width="46.06640625" style="51" customWidth="1"/>
    <col min="2563" max="2565" width="9.9296875" style="51" bestFit="1" customWidth="1"/>
    <col min="2566" max="2817" width="8.9296875" style="51"/>
    <col min="2818" max="2818" width="46.06640625" style="51" customWidth="1"/>
    <col min="2819" max="2821" width="9.9296875" style="51" bestFit="1" customWidth="1"/>
    <col min="2822" max="3073" width="8.9296875" style="51"/>
    <col min="3074" max="3074" width="46.06640625" style="51" customWidth="1"/>
    <col min="3075" max="3077" width="9.9296875" style="51" bestFit="1" customWidth="1"/>
    <col min="3078" max="3329" width="8.9296875" style="51"/>
    <col min="3330" max="3330" width="46.06640625" style="51" customWidth="1"/>
    <col min="3331" max="3333" width="9.9296875" style="51" bestFit="1" customWidth="1"/>
    <col min="3334" max="3585" width="8.9296875" style="51"/>
    <col min="3586" max="3586" width="46.06640625" style="51" customWidth="1"/>
    <col min="3587" max="3589" width="9.9296875" style="51" bestFit="1" customWidth="1"/>
    <col min="3590" max="3841" width="8.9296875" style="51"/>
    <col min="3842" max="3842" width="46.06640625" style="51" customWidth="1"/>
    <col min="3843" max="3845" width="9.9296875" style="51" bestFit="1" customWidth="1"/>
    <col min="3846" max="4097" width="8.9296875" style="51"/>
    <col min="4098" max="4098" width="46.06640625" style="51" customWidth="1"/>
    <col min="4099" max="4101" width="9.9296875" style="51" bestFit="1" customWidth="1"/>
    <col min="4102" max="4353" width="8.9296875" style="51"/>
    <col min="4354" max="4354" width="46.06640625" style="51" customWidth="1"/>
    <col min="4355" max="4357" width="9.9296875" style="51" bestFit="1" customWidth="1"/>
    <col min="4358" max="4609" width="8.9296875" style="51"/>
    <col min="4610" max="4610" width="46.06640625" style="51" customWidth="1"/>
    <col min="4611" max="4613" width="9.9296875" style="51" bestFit="1" customWidth="1"/>
    <col min="4614" max="4865" width="8.9296875" style="51"/>
    <col min="4866" max="4866" width="46.06640625" style="51" customWidth="1"/>
    <col min="4867" max="4869" width="9.9296875" style="51" bestFit="1" customWidth="1"/>
    <col min="4870" max="5121" width="8.9296875" style="51"/>
    <col min="5122" max="5122" width="46.06640625" style="51" customWidth="1"/>
    <col min="5123" max="5125" width="9.9296875" style="51" bestFit="1" customWidth="1"/>
    <col min="5126" max="5377" width="8.9296875" style="51"/>
    <col min="5378" max="5378" width="46.06640625" style="51" customWidth="1"/>
    <col min="5379" max="5381" width="9.9296875" style="51" bestFit="1" customWidth="1"/>
    <col min="5382" max="5633" width="8.9296875" style="51"/>
    <col min="5634" max="5634" width="46.06640625" style="51" customWidth="1"/>
    <col min="5635" max="5637" width="9.9296875" style="51" bestFit="1" customWidth="1"/>
    <col min="5638" max="5889" width="8.9296875" style="51"/>
    <col min="5890" max="5890" width="46.06640625" style="51" customWidth="1"/>
    <col min="5891" max="5893" width="9.9296875" style="51" bestFit="1" customWidth="1"/>
    <col min="5894" max="6145" width="8.9296875" style="51"/>
    <col min="6146" max="6146" width="46.06640625" style="51" customWidth="1"/>
    <col min="6147" max="6149" width="9.9296875" style="51" bestFit="1" customWidth="1"/>
    <col min="6150" max="6401" width="8.9296875" style="51"/>
    <col min="6402" max="6402" width="46.06640625" style="51" customWidth="1"/>
    <col min="6403" max="6405" width="9.9296875" style="51" bestFit="1" customWidth="1"/>
    <col min="6406" max="6657" width="8.9296875" style="51"/>
    <col min="6658" max="6658" width="46.06640625" style="51" customWidth="1"/>
    <col min="6659" max="6661" width="9.9296875" style="51" bestFit="1" customWidth="1"/>
    <col min="6662" max="6913" width="8.9296875" style="51"/>
    <col min="6914" max="6914" width="46.06640625" style="51" customWidth="1"/>
    <col min="6915" max="6917" width="9.9296875" style="51" bestFit="1" customWidth="1"/>
    <col min="6918" max="7169" width="8.9296875" style="51"/>
    <col min="7170" max="7170" width="46.06640625" style="51" customWidth="1"/>
    <col min="7171" max="7173" width="9.9296875" style="51" bestFit="1" customWidth="1"/>
    <col min="7174" max="7425" width="8.9296875" style="51"/>
    <col min="7426" max="7426" width="46.06640625" style="51" customWidth="1"/>
    <col min="7427" max="7429" width="9.9296875" style="51" bestFit="1" customWidth="1"/>
    <col min="7430" max="7681" width="8.9296875" style="51"/>
    <col min="7682" max="7682" width="46.06640625" style="51" customWidth="1"/>
    <col min="7683" max="7685" width="9.9296875" style="51" bestFit="1" customWidth="1"/>
    <col min="7686" max="7937" width="8.9296875" style="51"/>
    <col min="7938" max="7938" width="46.06640625" style="51" customWidth="1"/>
    <col min="7939" max="7941" width="9.9296875" style="51" bestFit="1" customWidth="1"/>
    <col min="7942" max="8193" width="8.9296875" style="51"/>
    <col min="8194" max="8194" width="46.06640625" style="51" customWidth="1"/>
    <col min="8195" max="8197" width="9.9296875" style="51" bestFit="1" customWidth="1"/>
    <col min="8198" max="8449" width="8.9296875" style="51"/>
    <col min="8450" max="8450" width="46.06640625" style="51" customWidth="1"/>
    <col min="8451" max="8453" width="9.9296875" style="51" bestFit="1" customWidth="1"/>
    <col min="8454" max="8705" width="8.9296875" style="51"/>
    <col min="8706" max="8706" width="46.06640625" style="51" customWidth="1"/>
    <col min="8707" max="8709" width="9.9296875" style="51" bestFit="1" customWidth="1"/>
    <col min="8710" max="8961" width="8.9296875" style="51"/>
    <col min="8962" max="8962" width="46.06640625" style="51" customWidth="1"/>
    <col min="8963" max="8965" width="9.9296875" style="51" bestFit="1" customWidth="1"/>
    <col min="8966" max="9217" width="8.9296875" style="51"/>
    <col min="9218" max="9218" width="46.06640625" style="51" customWidth="1"/>
    <col min="9219" max="9221" width="9.9296875" style="51" bestFit="1" customWidth="1"/>
    <col min="9222" max="9473" width="8.9296875" style="51"/>
    <col min="9474" max="9474" width="46.06640625" style="51" customWidth="1"/>
    <col min="9475" max="9477" width="9.9296875" style="51" bestFit="1" customWidth="1"/>
    <col min="9478" max="9729" width="8.9296875" style="51"/>
    <col min="9730" max="9730" width="46.06640625" style="51" customWidth="1"/>
    <col min="9731" max="9733" width="9.9296875" style="51" bestFit="1" customWidth="1"/>
    <col min="9734" max="9985" width="8.9296875" style="51"/>
    <col min="9986" max="9986" width="46.06640625" style="51" customWidth="1"/>
    <col min="9987" max="9989" width="9.9296875" style="51" bestFit="1" customWidth="1"/>
    <col min="9990" max="10241" width="8.9296875" style="51"/>
    <col min="10242" max="10242" width="46.06640625" style="51" customWidth="1"/>
    <col min="10243" max="10245" width="9.9296875" style="51" bestFit="1" customWidth="1"/>
    <col min="10246" max="10497" width="8.9296875" style="51"/>
    <col min="10498" max="10498" width="46.06640625" style="51" customWidth="1"/>
    <col min="10499" max="10501" width="9.9296875" style="51" bestFit="1" customWidth="1"/>
    <col min="10502" max="10753" width="8.9296875" style="51"/>
    <col min="10754" max="10754" width="46.06640625" style="51" customWidth="1"/>
    <col min="10755" max="10757" width="9.9296875" style="51" bestFit="1" customWidth="1"/>
    <col min="10758" max="11009" width="8.9296875" style="51"/>
    <col min="11010" max="11010" width="46.06640625" style="51" customWidth="1"/>
    <col min="11011" max="11013" width="9.9296875" style="51" bestFit="1" customWidth="1"/>
    <col min="11014" max="11265" width="8.9296875" style="51"/>
    <col min="11266" max="11266" width="46.06640625" style="51" customWidth="1"/>
    <col min="11267" max="11269" width="9.9296875" style="51" bestFit="1" customWidth="1"/>
    <col min="11270" max="11521" width="8.9296875" style="51"/>
    <col min="11522" max="11522" width="46.06640625" style="51" customWidth="1"/>
    <col min="11523" max="11525" width="9.9296875" style="51" bestFit="1" customWidth="1"/>
    <col min="11526" max="11777" width="8.9296875" style="51"/>
    <col min="11778" max="11778" width="46.06640625" style="51" customWidth="1"/>
    <col min="11779" max="11781" width="9.9296875" style="51" bestFit="1" customWidth="1"/>
    <col min="11782" max="12033" width="8.9296875" style="51"/>
    <col min="12034" max="12034" width="46.06640625" style="51" customWidth="1"/>
    <col min="12035" max="12037" width="9.9296875" style="51" bestFit="1" customWidth="1"/>
    <col min="12038" max="12289" width="8.9296875" style="51"/>
    <col min="12290" max="12290" width="46.06640625" style="51" customWidth="1"/>
    <col min="12291" max="12293" width="9.9296875" style="51" bestFit="1" customWidth="1"/>
    <col min="12294" max="12545" width="8.9296875" style="51"/>
    <col min="12546" max="12546" width="46.06640625" style="51" customWidth="1"/>
    <col min="12547" max="12549" width="9.9296875" style="51" bestFit="1" customWidth="1"/>
    <col min="12550" max="12801" width="8.9296875" style="51"/>
    <col min="12802" max="12802" width="46.06640625" style="51" customWidth="1"/>
    <col min="12803" max="12805" width="9.9296875" style="51" bestFit="1" customWidth="1"/>
    <col min="12806" max="13057" width="8.9296875" style="51"/>
    <col min="13058" max="13058" width="46.06640625" style="51" customWidth="1"/>
    <col min="13059" max="13061" width="9.9296875" style="51" bestFit="1" customWidth="1"/>
    <col min="13062" max="13313" width="8.9296875" style="51"/>
    <col min="13314" max="13314" width="46.06640625" style="51" customWidth="1"/>
    <col min="13315" max="13317" width="9.9296875" style="51" bestFit="1" customWidth="1"/>
    <col min="13318" max="13569" width="8.9296875" style="51"/>
    <col min="13570" max="13570" width="46.06640625" style="51" customWidth="1"/>
    <col min="13571" max="13573" width="9.9296875" style="51" bestFit="1" customWidth="1"/>
    <col min="13574" max="13825" width="8.9296875" style="51"/>
    <col min="13826" max="13826" width="46.06640625" style="51" customWidth="1"/>
    <col min="13827" max="13829" width="9.9296875" style="51" bestFit="1" customWidth="1"/>
    <col min="13830" max="14081" width="8.9296875" style="51"/>
    <col min="14082" max="14082" width="46.06640625" style="51" customWidth="1"/>
    <col min="14083" max="14085" width="9.9296875" style="51" bestFit="1" customWidth="1"/>
    <col min="14086" max="14337" width="8.9296875" style="51"/>
    <col min="14338" max="14338" width="46.06640625" style="51" customWidth="1"/>
    <col min="14339" max="14341" width="9.9296875" style="51" bestFit="1" customWidth="1"/>
    <col min="14342" max="14593" width="8.9296875" style="51"/>
    <col min="14594" max="14594" width="46.06640625" style="51" customWidth="1"/>
    <col min="14595" max="14597" width="9.9296875" style="51" bestFit="1" customWidth="1"/>
    <col min="14598" max="14849" width="8.9296875" style="51"/>
    <col min="14850" max="14850" width="46.06640625" style="51" customWidth="1"/>
    <col min="14851" max="14853" width="9.9296875" style="51" bestFit="1" customWidth="1"/>
    <col min="14854" max="15105" width="8.9296875" style="51"/>
    <col min="15106" max="15106" width="46.06640625" style="51" customWidth="1"/>
    <col min="15107" max="15109" width="9.9296875" style="51" bestFit="1" customWidth="1"/>
    <col min="15110" max="15361" width="8.9296875" style="51"/>
    <col min="15362" max="15362" width="46.06640625" style="51" customWidth="1"/>
    <col min="15363" max="15365" width="9.9296875" style="51" bestFit="1" customWidth="1"/>
    <col min="15366" max="15617" width="8.9296875" style="51"/>
    <col min="15618" max="15618" width="46.06640625" style="51" customWidth="1"/>
    <col min="15619" max="15621" width="9.9296875" style="51" bestFit="1" customWidth="1"/>
    <col min="15622" max="15873" width="8.9296875" style="51"/>
    <col min="15874" max="15874" width="46.06640625" style="51" customWidth="1"/>
    <col min="15875" max="15877" width="9.9296875" style="51" bestFit="1" customWidth="1"/>
    <col min="15878" max="16129" width="8.9296875" style="51"/>
    <col min="16130" max="16130" width="46.06640625" style="51" customWidth="1"/>
    <col min="16131" max="16133" width="9.9296875" style="51" bestFit="1" customWidth="1"/>
    <col min="16134" max="16384" width="8.9296875" style="51"/>
  </cols>
  <sheetData>
    <row r="2" spans="2:15" ht="13.5">
      <c r="B2" s="92" t="s">
        <v>29</v>
      </c>
      <c r="C2" s="92" t="s">
        <v>22</v>
      </c>
      <c r="D2" s="92" t="s">
        <v>56</v>
      </c>
      <c r="E2" s="29"/>
    </row>
    <row r="3" spans="2:15" ht="13.5">
      <c r="B3" s="80" t="s">
        <v>33</v>
      </c>
      <c r="C3" s="52"/>
      <c r="D3" s="53">
        <v>0.36799999999999999</v>
      </c>
      <c r="E3" s="29" t="s">
        <v>174</v>
      </c>
    </row>
    <row r="4" spans="2:15" ht="18.5" customHeight="1">
      <c r="B4" s="80" t="s">
        <v>32</v>
      </c>
      <c r="C4" s="52">
        <v>2021</v>
      </c>
      <c r="D4" s="54">
        <v>0.72789999999999999</v>
      </c>
      <c r="E4" s="29"/>
    </row>
    <row r="5" spans="2:15" ht="13.5">
      <c r="B5" s="55"/>
      <c r="C5" s="55"/>
      <c r="D5" s="55"/>
      <c r="E5" s="29"/>
    </row>
    <row r="6" spans="2:15" ht="24.75" customHeight="1">
      <c r="B6" s="178" t="s">
        <v>52</v>
      </c>
      <c r="C6" s="179"/>
      <c r="D6" s="180"/>
      <c r="E6" s="29"/>
      <c r="F6" s="181" t="s">
        <v>39</v>
      </c>
      <c r="G6" s="181"/>
      <c r="H6" s="181"/>
      <c r="I6" s="181"/>
      <c r="J6" s="181"/>
      <c r="K6" s="181"/>
      <c r="L6" s="181"/>
      <c r="M6" s="181"/>
      <c r="N6" s="181"/>
      <c r="O6" s="181"/>
    </row>
    <row r="7" spans="2:15" ht="15.4" customHeight="1">
      <c r="B7" s="75"/>
      <c r="C7" s="76" t="s">
        <v>53</v>
      </c>
      <c r="D7" s="77" t="s">
        <v>54</v>
      </c>
      <c r="E7" s="29"/>
      <c r="F7" s="182" t="s">
        <v>163</v>
      </c>
      <c r="G7" s="183"/>
      <c r="H7" s="183"/>
      <c r="I7" s="183"/>
      <c r="J7" s="183"/>
      <c r="K7" s="183"/>
      <c r="L7" s="183"/>
      <c r="M7" s="183"/>
      <c r="N7" s="183"/>
      <c r="O7" s="184"/>
    </row>
    <row r="8" spans="2:15" ht="13.5">
      <c r="B8" s="78" t="s">
        <v>69</v>
      </c>
      <c r="C8" s="79">
        <v>0.75</v>
      </c>
      <c r="D8" s="79">
        <v>0.25</v>
      </c>
      <c r="E8" s="29"/>
      <c r="F8" s="185"/>
      <c r="G8" s="186"/>
      <c r="H8" s="186"/>
      <c r="I8" s="186"/>
      <c r="J8" s="186"/>
      <c r="K8" s="186"/>
      <c r="L8" s="186"/>
      <c r="M8" s="186"/>
      <c r="N8" s="186"/>
      <c r="O8" s="187"/>
    </row>
    <row r="9" spans="2:15" ht="14.25">
      <c r="B9" s="78" t="s">
        <v>55</v>
      </c>
      <c r="C9" s="79">
        <v>0.5</v>
      </c>
      <c r="D9" s="79">
        <v>0.5</v>
      </c>
      <c r="E9" s="29"/>
      <c r="F9" s="188"/>
      <c r="G9" s="189"/>
      <c r="H9" s="189"/>
      <c r="I9" s="189"/>
      <c r="J9" s="189"/>
      <c r="K9" s="189"/>
      <c r="L9" s="189"/>
      <c r="M9" s="189"/>
      <c r="N9" s="189"/>
      <c r="O9" s="190"/>
    </row>
    <row r="10" spans="2:15" ht="14.25">
      <c r="B10" s="75" t="s">
        <v>70</v>
      </c>
      <c r="C10" s="79">
        <v>0.25</v>
      </c>
      <c r="D10" s="79">
        <v>0.75</v>
      </c>
      <c r="E10" s="29"/>
      <c r="F10" s="191" t="s">
        <v>40</v>
      </c>
      <c r="G10" s="192"/>
      <c r="H10" s="192"/>
      <c r="I10" s="192"/>
      <c r="J10" s="192"/>
      <c r="K10" s="192"/>
      <c r="L10" s="192"/>
      <c r="M10" s="192"/>
      <c r="N10" s="192"/>
      <c r="O10" s="193"/>
    </row>
    <row r="11" spans="2:15" ht="13.5">
      <c r="B11" s="55"/>
      <c r="C11" s="55"/>
      <c r="D11" s="55"/>
      <c r="E11" s="29"/>
      <c r="F11" s="194"/>
      <c r="G11" s="195"/>
      <c r="H11" s="195"/>
      <c r="I11" s="195"/>
      <c r="J11" s="195"/>
      <c r="K11" s="195"/>
      <c r="L11" s="195"/>
      <c r="M11" s="195"/>
      <c r="N11" s="195"/>
      <c r="O11" s="196"/>
    </row>
    <row r="12" spans="2:15" ht="15.4">
      <c r="B12" s="80" t="s">
        <v>71</v>
      </c>
      <c r="C12" s="52">
        <v>2021</v>
      </c>
      <c r="D12" s="158">
        <f>D4*0.25+D3*0.75</f>
        <v>0.45797500000000002</v>
      </c>
      <c r="E12" s="29"/>
    </row>
    <row r="13" spans="2:15" ht="13.5">
      <c r="B13" s="29"/>
      <c r="C13" s="29"/>
      <c r="D13" s="29"/>
      <c r="E13" s="29"/>
    </row>
    <row r="14" spans="2:15" ht="13.5" customHeight="1"/>
    <row r="15" spans="2:15" ht="13.5" customHeight="1">
      <c r="B15" s="81"/>
    </row>
    <row r="16" spans="2:15" ht="13.5" customHeight="1">
      <c r="B16" s="81"/>
    </row>
    <row r="17" spans="2:6" ht="13.5" customHeight="1">
      <c r="B17" s="81"/>
    </row>
    <row r="18" spans="2:6" ht="13.5">
      <c r="B18" s="29"/>
    </row>
    <row r="19" spans="2:6" ht="13.5">
      <c r="B19" s="29"/>
      <c r="C19" s="29"/>
      <c r="D19" s="29"/>
      <c r="E19" s="29"/>
    </row>
    <row r="20" spans="2:6" ht="13.5">
      <c r="B20" s="29"/>
      <c r="C20" s="29"/>
      <c r="D20" s="29"/>
      <c r="E20" s="29"/>
      <c r="F20" s="74"/>
    </row>
  </sheetData>
  <mergeCells count="4">
    <mergeCell ref="B6:D6"/>
    <mergeCell ref="F6:O6"/>
    <mergeCell ref="F7:O9"/>
    <mergeCell ref="F10:O11"/>
  </mergeCells>
  <hyperlinks>
    <hyperlink ref="F10" r:id="rId1" xr:uid="{E8076C58-486A-40E2-8319-E038DCE5FA96}"/>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4BC1-A6AF-46E7-9ECA-3B3F9C6AF3A4}">
  <dimension ref="B2:H7"/>
  <sheetViews>
    <sheetView zoomScale="75" zoomScaleNormal="75" workbookViewId="0">
      <selection activeCell="H8" sqref="H8"/>
    </sheetView>
  </sheetViews>
  <sheetFormatPr defaultColWidth="8.9296875" defaultRowHeight="12.4"/>
  <cols>
    <col min="1" max="1" width="8.9296875" style="82"/>
    <col min="2" max="2" width="11.9296875" style="82" bestFit="1" customWidth="1"/>
    <col min="3" max="3" width="52.796875" style="82" customWidth="1"/>
    <col min="4" max="4" width="15.53125" style="88" bestFit="1" customWidth="1"/>
    <col min="5" max="5" width="8.9296875" style="82"/>
    <col min="6" max="7" width="9.33203125" style="82" customWidth="1"/>
    <col min="8" max="16384" width="8.9296875" style="82"/>
  </cols>
  <sheetData>
    <row r="2" spans="2:8" ht="60" customHeight="1">
      <c r="B2" s="134" t="s">
        <v>29</v>
      </c>
      <c r="C2" s="134" t="s">
        <v>58</v>
      </c>
      <c r="D2" s="135" t="s">
        <v>56</v>
      </c>
    </row>
    <row r="3" spans="2:8" s="84" customFormat="1" ht="60" customHeight="1">
      <c r="B3" s="83" t="s">
        <v>61</v>
      </c>
      <c r="C3" s="83" t="s">
        <v>66</v>
      </c>
      <c r="D3" s="89">
        <f>(D4-D5)/(D6-D7)</f>
        <v>40.84464849262482</v>
      </c>
    </row>
    <row r="4" spans="2:8" s="84" customFormat="1" ht="60" customHeight="1">
      <c r="B4" s="85" t="s">
        <v>62</v>
      </c>
      <c r="C4" s="83" t="s">
        <v>59</v>
      </c>
      <c r="D4" s="90">
        <v>9540000</v>
      </c>
    </row>
    <row r="5" spans="2:8" s="84" customFormat="1" ht="60" customHeight="1">
      <c r="B5" s="85" t="s">
        <v>63</v>
      </c>
      <c r="C5" s="83" t="s">
        <v>60</v>
      </c>
      <c r="D5" s="86">
        <v>0</v>
      </c>
      <c r="F5" s="82"/>
      <c r="G5" s="82"/>
      <c r="H5" s="82"/>
    </row>
    <row r="6" spans="2:8" s="84" customFormat="1" ht="60" customHeight="1">
      <c r="B6" s="85" t="s">
        <v>65</v>
      </c>
      <c r="C6" s="83" t="s">
        <v>67</v>
      </c>
      <c r="D6" s="91">
        <v>233567.93</v>
      </c>
      <c r="F6" s="82"/>
      <c r="G6" s="82"/>
      <c r="H6" s="82"/>
    </row>
    <row r="7" spans="2:8" s="84" customFormat="1" ht="60" customHeight="1">
      <c r="B7" s="85" t="s">
        <v>64</v>
      </c>
      <c r="C7" s="83" t="s">
        <v>68</v>
      </c>
      <c r="D7" s="87">
        <v>0</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3356A-90EA-4B24-9F80-A4FD1DFF446C}">
  <dimension ref="B1:K42"/>
  <sheetViews>
    <sheetView zoomScale="75" zoomScaleNormal="75" workbookViewId="0">
      <selection activeCell="E5" sqref="E5"/>
    </sheetView>
  </sheetViews>
  <sheetFormatPr defaultColWidth="10.59765625" defaultRowHeight="12.4"/>
  <cols>
    <col min="1" max="1" width="10.59765625" style="104"/>
    <col min="2" max="2" width="36.73046875" style="104" customWidth="1"/>
    <col min="3" max="3" width="22.33203125" style="104" customWidth="1"/>
    <col min="4" max="4" width="36.796875" style="104" customWidth="1"/>
    <col min="5" max="5" width="22.46484375" style="104" customWidth="1"/>
    <col min="6" max="6" width="50.33203125" style="104" customWidth="1"/>
    <col min="7" max="7" width="103.33203125" style="104" customWidth="1"/>
    <col min="8" max="8" width="15.53125" style="104" customWidth="1"/>
    <col min="9" max="9" width="62.796875" style="104" customWidth="1"/>
    <col min="10" max="16384" width="10.59765625" style="104"/>
  </cols>
  <sheetData>
    <row r="1" spans="2:11" ht="12.75" thickBot="1">
      <c r="B1" s="97"/>
      <c r="C1" s="97"/>
      <c r="D1" s="101"/>
      <c r="E1" s="102"/>
      <c r="F1" s="101"/>
      <c r="G1" s="103"/>
      <c r="H1" s="101"/>
      <c r="I1" s="101"/>
      <c r="J1" s="101"/>
      <c r="K1" s="101"/>
    </row>
    <row r="2" spans="2:11" ht="35" customHeight="1">
      <c r="B2" s="105" t="s">
        <v>72</v>
      </c>
      <c r="C2" s="106"/>
      <c r="D2" s="106"/>
      <c r="E2" s="98" t="s">
        <v>73</v>
      </c>
      <c r="F2" s="99"/>
      <c r="G2" s="100"/>
      <c r="H2" s="55"/>
      <c r="I2" s="55"/>
      <c r="J2" s="101"/>
      <c r="K2" s="101"/>
    </row>
    <row r="3" spans="2:11" ht="35" customHeight="1">
      <c r="B3" s="107" t="s">
        <v>100</v>
      </c>
      <c r="C3" s="108">
        <v>15689577</v>
      </c>
      <c r="D3" s="109" t="s">
        <v>74</v>
      </c>
      <c r="E3" s="110" t="s">
        <v>75</v>
      </c>
      <c r="F3" s="110"/>
      <c r="G3" s="111" t="s">
        <v>99</v>
      </c>
      <c r="H3" s="55"/>
      <c r="I3" s="55"/>
      <c r="J3" s="101"/>
      <c r="K3" s="101"/>
    </row>
    <row r="4" spans="2:11" ht="35" customHeight="1">
      <c r="B4" s="107" t="s">
        <v>101</v>
      </c>
      <c r="C4" s="112">
        <v>75058.7</v>
      </c>
      <c r="D4" s="109" t="s">
        <v>76</v>
      </c>
      <c r="E4" s="110" t="s">
        <v>77</v>
      </c>
      <c r="F4" s="110"/>
      <c r="G4" s="113" t="s">
        <v>103</v>
      </c>
      <c r="H4" s="55"/>
      <c r="I4" s="55"/>
      <c r="J4" s="101"/>
      <c r="K4" s="101"/>
    </row>
    <row r="5" spans="2:11" ht="35" customHeight="1">
      <c r="B5" s="107" t="s">
        <v>102</v>
      </c>
      <c r="C5" s="114">
        <v>2.798352</v>
      </c>
      <c r="D5" s="109" t="s">
        <v>78</v>
      </c>
      <c r="E5" s="94" t="s">
        <v>79</v>
      </c>
      <c r="F5" s="115"/>
      <c r="G5" s="116"/>
      <c r="H5" s="55"/>
      <c r="I5" s="55"/>
      <c r="J5" s="101"/>
      <c r="K5" s="101"/>
    </row>
    <row r="6" spans="2:11" ht="35" customHeight="1">
      <c r="B6" s="107" t="s">
        <v>104</v>
      </c>
      <c r="C6" s="112">
        <f>'Cover Page'!D13/1000</f>
        <v>31.99</v>
      </c>
      <c r="D6" s="109" t="s">
        <v>76</v>
      </c>
      <c r="E6" s="197" t="s">
        <v>105</v>
      </c>
      <c r="F6" s="198"/>
      <c r="G6" s="117"/>
      <c r="H6" s="55"/>
      <c r="I6" s="55"/>
      <c r="J6" s="101"/>
      <c r="K6" s="101"/>
    </row>
    <row r="7" spans="2:11" ht="35" customHeight="1">
      <c r="B7" s="107" t="s">
        <v>80</v>
      </c>
      <c r="C7" s="112">
        <f>+C6/C4*C3</f>
        <v>6686.8939673881905</v>
      </c>
      <c r="D7" s="109" t="s">
        <v>74</v>
      </c>
      <c r="E7" s="197" t="s">
        <v>106</v>
      </c>
      <c r="F7" s="198"/>
      <c r="G7" s="117"/>
      <c r="H7" s="55"/>
      <c r="I7" s="55"/>
      <c r="J7" s="101"/>
      <c r="K7" s="101"/>
    </row>
    <row r="8" spans="2:11" ht="35" customHeight="1">
      <c r="B8" s="107" t="s">
        <v>81</v>
      </c>
      <c r="C8" s="112">
        <f>+C7*C5*1000</f>
        <v>18712283.107428677</v>
      </c>
      <c r="D8" s="109" t="s">
        <v>82</v>
      </c>
      <c r="E8" s="197" t="s">
        <v>106</v>
      </c>
      <c r="F8" s="198"/>
      <c r="G8" s="117"/>
      <c r="H8" s="55"/>
      <c r="I8" s="55"/>
      <c r="J8" s="101"/>
      <c r="K8" s="101"/>
    </row>
    <row r="9" spans="2:11" ht="35" customHeight="1">
      <c r="B9" s="107" t="s">
        <v>83</v>
      </c>
      <c r="C9" s="112">
        <f>+C8/C10</f>
        <v>1076656.1051454935</v>
      </c>
      <c r="D9" s="109" t="s">
        <v>84</v>
      </c>
      <c r="E9" s="197" t="s">
        <v>106</v>
      </c>
      <c r="F9" s="198"/>
      <c r="G9" s="117"/>
      <c r="H9" s="55"/>
      <c r="I9" s="55"/>
    </row>
    <row r="10" spans="2:11" ht="35" customHeight="1" thickBot="1">
      <c r="B10" s="118" t="s">
        <v>85</v>
      </c>
      <c r="C10" s="119">
        <v>17.38</v>
      </c>
      <c r="D10" s="120" t="s">
        <v>86</v>
      </c>
      <c r="E10" s="121" t="s">
        <v>87</v>
      </c>
      <c r="F10" s="122"/>
      <c r="G10" s="123" t="s">
        <v>107</v>
      </c>
      <c r="H10" s="55"/>
      <c r="I10" s="55"/>
    </row>
    <row r="13" spans="2:11">
      <c r="B13" s="104" t="s">
        <v>88</v>
      </c>
      <c r="C13" s="124">
        <f>ROUNDDOWN(C7*1000,0)</f>
        <v>6686893</v>
      </c>
      <c r="D13" s="104" t="s">
        <v>89</v>
      </c>
    </row>
    <row r="14" spans="2:11">
      <c r="C14" s="124">
        <f>ROUNDDOWN(C8,0)</f>
        <v>18712283</v>
      </c>
      <c r="D14" s="104" t="s">
        <v>90</v>
      </c>
    </row>
    <row r="15" spans="2:11">
      <c r="B15" s="55"/>
    </row>
    <row r="16" spans="2:11" ht="14.45" customHeight="1" thickBot="1">
      <c r="B16" s="55"/>
    </row>
    <row r="17" spans="2:10" ht="30" customHeight="1" thickBot="1">
      <c r="B17" s="199" t="s">
        <v>91</v>
      </c>
      <c r="C17" s="200"/>
      <c r="D17" s="200"/>
      <c r="E17" s="201"/>
    </row>
    <row r="18" spans="2:10" ht="30" customHeight="1">
      <c r="B18" s="96" t="s">
        <v>92</v>
      </c>
      <c r="C18" s="96" t="s">
        <v>7</v>
      </c>
      <c r="D18" s="96" t="s">
        <v>8</v>
      </c>
      <c r="E18" s="96" t="s">
        <v>9</v>
      </c>
      <c r="F18" s="55"/>
      <c r="G18" s="133" t="s">
        <v>93</v>
      </c>
      <c r="H18" s="133" t="s">
        <v>94</v>
      </c>
      <c r="I18" s="126" t="s">
        <v>95</v>
      </c>
    </row>
    <row r="19" spans="2:10" ht="30" customHeight="1">
      <c r="B19" s="130" t="s">
        <v>108</v>
      </c>
      <c r="C19" s="131">
        <f>ROUNDDOWN(I19*$C$13/365,0)</f>
        <v>5038070</v>
      </c>
      <c r="D19" s="132">
        <v>0</v>
      </c>
      <c r="E19" s="131">
        <f>C19-D19</f>
        <v>5038070</v>
      </c>
      <c r="F19" s="55"/>
      <c r="G19" s="127">
        <f>'Baseline Emissions'!B6</f>
        <v>45383</v>
      </c>
      <c r="H19" s="127">
        <f>'Baseline Emissions'!C6</f>
        <v>45657</v>
      </c>
      <c r="I19" s="128">
        <f>+H19-G19+1</f>
        <v>275</v>
      </c>
    </row>
    <row r="20" spans="2:10" ht="30" customHeight="1">
      <c r="B20" s="130">
        <v>2025</v>
      </c>
      <c r="C20" s="131">
        <f>$C$13</f>
        <v>6686893</v>
      </c>
      <c r="D20" s="132">
        <v>0</v>
      </c>
      <c r="E20" s="131">
        <f t="shared" ref="E20:E27" si="0">C20-D20</f>
        <v>6686893</v>
      </c>
      <c r="F20" s="55"/>
      <c r="G20" s="127"/>
      <c r="H20" s="127"/>
      <c r="I20" s="128"/>
    </row>
    <row r="21" spans="2:10" ht="30" customHeight="1">
      <c r="B21" s="130">
        <v>2026</v>
      </c>
      <c r="C21" s="131">
        <f t="shared" ref="C21:C25" si="1">$C$13</f>
        <v>6686893</v>
      </c>
      <c r="D21" s="132">
        <v>0</v>
      </c>
      <c r="E21" s="131">
        <f t="shared" si="0"/>
        <v>6686893</v>
      </c>
      <c r="F21" s="55"/>
      <c r="G21" s="127"/>
      <c r="H21" s="127"/>
      <c r="I21" s="128"/>
    </row>
    <row r="22" spans="2:10" ht="30" customHeight="1">
      <c r="B22" s="130">
        <v>2027</v>
      </c>
      <c r="C22" s="131">
        <f t="shared" si="1"/>
        <v>6686893</v>
      </c>
      <c r="D22" s="132">
        <v>0</v>
      </c>
      <c r="E22" s="131">
        <f t="shared" si="0"/>
        <v>6686893</v>
      </c>
      <c r="F22" s="55"/>
      <c r="G22" s="127"/>
      <c r="H22" s="127"/>
      <c r="I22" s="128"/>
    </row>
    <row r="23" spans="2:10" ht="30" customHeight="1">
      <c r="B23" s="130">
        <v>2028</v>
      </c>
      <c r="C23" s="131">
        <f t="shared" si="1"/>
        <v>6686893</v>
      </c>
      <c r="D23" s="132">
        <v>0</v>
      </c>
      <c r="E23" s="131">
        <f t="shared" si="0"/>
        <v>6686893</v>
      </c>
      <c r="F23" s="55"/>
      <c r="G23" s="127"/>
      <c r="H23" s="127"/>
      <c r="I23" s="128"/>
    </row>
    <row r="24" spans="2:10" ht="30" customHeight="1">
      <c r="B24" s="130">
        <v>2029</v>
      </c>
      <c r="C24" s="131">
        <f t="shared" si="1"/>
        <v>6686893</v>
      </c>
      <c r="D24" s="132">
        <v>0</v>
      </c>
      <c r="E24" s="131">
        <f t="shared" si="0"/>
        <v>6686893</v>
      </c>
      <c r="F24" s="55"/>
      <c r="G24" s="127"/>
      <c r="H24" s="127"/>
      <c r="I24" s="128"/>
    </row>
    <row r="25" spans="2:10" ht="30" customHeight="1">
      <c r="B25" s="130">
        <v>2030</v>
      </c>
      <c r="C25" s="131">
        <f t="shared" si="1"/>
        <v>6686893</v>
      </c>
      <c r="D25" s="132">
        <v>0</v>
      </c>
      <c r="E25" s="131">
        <f t="shared" si="0"/>
        <v>6686893</v>
      </c>
      <c r="F25" s="55"/>
      <c r="G25" s="129"/>
      <c r="H25" s="129"/>
      <c r="I25" s="128"/>
    </row>
    <row r="26" spans="2:10" ht="30" customHeight="1">
      <c r="B26" s="130" t="s">
        <v>109</v>
      </c>
      <c r="C26" s="131">
        <f>ROUNDDOWN(I26*$C$13/365,0)</f>
        <v>1648822</v>
      </c>
      <c r="D26" s="132">
        <v>0</v>
      </c>
      <c r="E26" s="131">
        <f t="shared" si="0"/>
        <v>1648822</v>
      </c>
      <c r="F26" s="55"/>
      <c r="G26" s="127">
        <f>'Baseline Emissions'!B13</f>
        <v>47849</v>
      </c>
      <c r="H26" s="127">
        <f>'Baseline Emissions'!C13</f>
        <v>47938</v>
      </c>
      <c r="I26" s="128">
        <f>+H26-G26+1</f>
        <v>90</v>
      </c>
      <c r="J26" s="55"/>
    </row>
    <row r="27" spans="2:10" ht="30" customHeight="1">
      <c r="B27" s="130" t="s">
        <v>96</v>
      </c>
      <c r="C27" s="131">
        <f>365*C28/(365*6+366)</f>
        <v>6684276.7018779339</v>
      </c>
      <c r="D27" s="132">
        <v>0</v>
      </c>
      <c r="E27" s="131">
        <f t="shared" si="0"/>
        <v>6684276.7018779339</v>
      </c>
      <c r="F27" s="55"/>
      <c r="G27" s="129"/>
      <c r="H27" s="129"/>
      <c r="I27" s="128"/>
    </row>
    <row r="28" spans="2:10" ht="30" customHeight="1">
      <c r="B28" s="130" t="s">
        <v>5</v>
      </c>
      <c r="C28" s="131">
        <f>SUM(C19:C26)</f>
        <v>46808250</v>
      </c>
      <c r="D28" s="132">
        <v>0</v>
      </c>
      <c r="E28" s="131">
        <f>C28-D28</f>
        <v>46808250</v>
      </c>
      <c r="F28" s="55"/>
      <c r="G28" s="129"/>
      <c r="H28" s="129"/>
      <c r="I28" s="128"/>
    </row>
    <row r="29" spans="2:10" ht="12.75" thickBot="1">
      <c r="B29" s="55"/>
      <c r="C29" s="55"/>
      <c r="D29" s="55"/>
      <c r="E29" s="55"/>
      <c r="F29" s="55"/>
      <c r="G29" s="129" t="s">
        <v>97</v>
      </c>
      <c r="H29" s="129"/>
      <c r="I29" s="128">
        <f>+I19+I26</f>
        <v>365</v>
      </c>
    </row>
    <row r="30" spans="2:10" ht="30" customHeight="1" thickBot="1">
      <c r="B30" s="199" t="s">
        <v>98</v>
      </c>
      <c r="C30" s="200"/>
      <c r="D30" s="200"/>
      <c r="E30" s="201"/>
      <c r="F30" s="55"/>
      <c r="G30" s="55"/>
      <c r="H30" s="55"/>
      <c r="I30" s="55"/>
    </row>
    <row r="31" spans="2:10" ht="30" customHeight="1">
      <c r="B31" s="96" t="s">
        <v>92</v>
      </c>
      <c r="C31" s="96" t="s">
        <v>7</v>
      </c>
      <c r="D31" s="96" t="s">
        <v>8</v>
      </c>
      <c r="E31" s="96" t="s">
        <v>9</v>
      </c>
      <c r="F31" s="55"/>
      <c r="G31" s="133" t="s">
        <v>93</v>
      </c>
      <c r="H31" s="133" t="s">
        <v>94</v>
      </c>
      <c r="I31" s="126" t="s">
        <v>95</v>
      </c>
    </row>
    <row r="32" spans="2:10" ht="30" customHeight="1">
      <c r="B32" s="130" t="str">
        <f>B19</f>
        <v>01/04/2024-31/12/2024 
(275 Days)</v>
      </c>
      <c r="C32" s="131">
        <f>ROUNDDOWN(I32*$C$14/365,0)</f>
        <v>14098295</v>
      </c>
      <c r="D32" s="132">
        <v>0</v>
      </c>
      <c r="E32" s="131">
        <f>C32-D32</f>
        <v>14098295</v>
      </c>
      <c r="F32" s="55"/>
      <c r="G32" s="127">
        <f>G19</f>
        <v>45383</v>
      </c>
      <c r="H32" s="127">
        <f>H19</f>
        <v>45657</v>
      </c>
      <c r="I32" s="128">
        <f>+H32-G32+1</f>
        <v>275</v>
      </c>
    </row>
    <row r="33" spans="2:9" ht="30" customHeight="1">
      <c r="B33" s="130">
        <f t="shared" ref="B33:B39" si="2">B20</f>
        <v>2025</v>
      </c>
      <c r="C33" s="131">
        <f>$C$14</f>
        <v>18712283</v>
      </c>
      <c r="D33" s="132">
        <v>0</v>
      </c>
      <c r="E33" s="131">
        <f t="shared" ref="E33:E40" si="3">C33-D33</f>
        <v>18712283</v>
      </c>
      <c r="F33" s="55"/>
      <c r="G33" s="127"/>
      <c r="H33" s="127"/>
      <c r="I33" s="128"/>
    </row>
    <row r="34" spans="2:9" ht="30" customHeight="1">
      <c r="B34" s="130">
        <f t="shared" si="2"/>
        <v>2026</v>
      </c>
      <c r="C34" s="131">
        <f>$C$14</f>
        <v>18712283</v>
      </c>
      <c r="D34" s="132">
        <v>0</v>
      </c>
      <c r="E34" s="131">
        <f t="shared" si="3"/>
        <v>18712283</v>
      </c>
      <c r="F34" s="55"/>
      <c r="G34" s="127"/>
      <c r="H34" s="127"/>
      <c r="I34" s="128"/>
    </row>
    <row r="35" spans="2:9" ht="30" customHeight="1">
      <c r="B35" s="130">
        <f t="shared" si="2"/>
        <v>2027</v>
      </c>
      <c r="C35" s="131">
        <f t="shared" ref="C35:C38" si="4">$C$14</f>
        <v>18712283</v>
      </c>
      <c r="D35" s="132">
        <v>0</v>
      </c>
      <c r="E35" s="131">
        <f t="shared" si="3"/>
        <v>18712283</v>
      </c>
      <c r="F35" s="55"/>
      <c r="G35" s="127"/>
      <c r="H35" s="127"/>
      <c r="I35" s="128"/>
    </row>
    <row r="36" spans="2:9" ht="30" customHeight="1">
      <c r="B36" s="130">
        <f t="shared" si="2"/>
        <v>2028</v>
      </c>
      <c r="C36" s="131">
        <f t="shared" si="4"/>
        <v>18712283</v>
      </c>
      <c r="D36" s="132">
        <v>0</v>
      </c>
      <c r="E36" s="131">
        <f t="shared" si="3"/>
        <v>18712283</v>
      </c>
      <c r="F36" s="55"/>
      <c r="G36" s="127"/>
      <c r="H36" s="127"/>
      <c r="I36" s="128"/>
    </row>
    <row r="37" spans="2:9" ht="30" customHeight="1">
      <c r="B37" s="130">
        <f t="shared" si="2"/>
        <v>2029</v>
      </c>
      <c r="C37" s="131">
        <f t="shared" si="4"/>
        <v>18712283</v>
      </c>
      <c r="D37" s="132">
        <v>0</v>
      </c>
      <c r="E37" s="131">
        <f t="shared" si="3"/>
        <v>18712283</v>
      </c>
      <c r="F37" s="55"/>
      <c r="G37" s="127"/>
      <c r="H37" s="127"/>
      <c r="I37" s="128"/>
    </row>
    <row r="38" spans="2:9" ht="30" customHeight="1">
      <c r="B38" s="130">
        <f t="shared" si="2"/>
        <v>2030</v>
      </c>
      <c r="C38" s="131">
        <f t="shared" si="4"/>
        <v>18712283</v>
      </c>
      <c r="D38" s="132">
        <v>0</v>
      </c>
      <c r="E38" s="131">
        <f t="shared" si="3"/>
        <v>18712283</v>
      </c>
      <c r="F38" s="55"/>
      <c r="G38" s="129"/>
      <c r="H38" s="129"/>
      <c r="I38" s="128"/>
    </row>
    <row r="39" spans="2:9" ht="30" customHeight="1">
      <c r="B39" s="130" t="str">
        <f t="shared" si="2"/>
        <v>01/01/2031-31/03/2031 
(90 Days)</v>
      </c>
      <c r="C39" s="131">
        <f>ROUNDDOWN(I39*$C$14/365,0)</f>
        <v>4613987</v>
      </c>
      <c r="D39" s="132">
        <v>0</v>
      </c>
      <c r="E39" s="131">
        <f t="shared" si="3"/>
        <v>4613987</v>
      </c>
      <c r="F39" s="55"/>
      <c r="G39" s="127">
        <f>G26</f>
        <v>47849</v>
      </c>
      <c r="H39" s="127">
        <f>H26</f>
        <v>47938</v>
      </c>
      <c r="I39" s="128">
        <f>+H39-G39+1</f>
        <v>90</v>
      </c>
    </row>
    <row r="40" spans="2:9" ht="30" customHeight="1">
      <c r="B40" s="130" t="s">
        <v>96</v>
      </c>
      <c r="C40" s="131">
        <f>C41/7</f>
        <v>18712282.857142858</v>
      </c>
      <c r="D40" s="132">
        <v>0</v>
      </c>
      <c r="E40" s="131">
        <f t="shared" si="3"/>
        <v>18712282.857142858</v>
      </c>
      <c r="F40" s="55"/>
      <c r="G40" s="129"/>
      <c r="H40" s="129"/>
      <c r="I40" s="128"/>
    </row>
    <row r="41" spans="2:9" ht="30" customHeight="1">
      <c r="B41" s="130" t="s">
        <v>5</v>
      </c>
      <c r="C41" s="131">
        <f>SUM(C32:C39)</f>
        <v>130985980</v>
      </c>
      <c r="D41" s="132">
        <v>0</v>
      </c>
      <c r="E41" s="131">
        <f>C41-D41</f>
        <v>130985980</v>
      </c>
      <c r="F41" s="55"/>
      <c r="G41" s="129"/>
      <c r="H41" s="129"/>
      <c r="I41" s="128"/>
    </row>
    <row r="42" spans="2:9">
      <c r="B42" s="55"/>
      <c r="C42" s="55"/>
      <c r="D42" s="55"/>
      <c r="E42" s="55"/>
      <c r="F42" s="55"/>
      <c r="G42" s="129" t="s">
        <v>97</v>
      </c>
      <c r="H42" s="129"/>
      <c r="I42" s="128">
        <f>+I32+I39</f>
        <v>365</v>
      </c>
    </row>
  </sheetData>
  <mergeCells count="6">
    <mergeCell ref="E8:F8"/>
    <mergeCell ref="E9:F9"/>
    <mergeCell ref="B17:E17"/>
    <mergeCell ref="B30:E30"/>
    <mergeCell ref="E6:F6"/>
    <mergeCell ref="E7:F7"/>
  </mergeCells>
  <hyperlinks>
    <hyperlink ref="E3" r:id="rId1" xr:uid="{3D193B13-8B30-45B7-AF57-EF02DF3F67CC}"/>
    <hyperlink ref="E4" r:id="rId2" xr:uid="{819B7302-3164-46A1-B064-F30202BFF96F}"/>
    <hyperlink ref="E5" r:id="rId3" xr:uid="{EA3F0634-2747-4615-8362-01BDBD932CC4}"/>
    <hyperlink ref="E10" r:id="rId4" location="collapse_2" xr:uid="{48C4C77A-7EC5-4DE0-8FED-789FE14349E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E06DD-6D32-4E5A-82DD-5BCC8FD6D09A}">
  <dimension ref="B2:M39"/>
  <sheetViews>
    <sheetView zoomScale="75" zoomScaleNormal="75" workbookViewId="0">
      <selection activeCell="E5" sqref="E5"/>
    </sheetView>
  </sheetViews>
  <sheetFormatPr defaultRowHeight="12.4"/>
  <cols>
    <col min="1" max="1" width="9.06640625" style="55"/>
    <col min="2" max="2" width="37" style="55" bestFit="1" customWidth="1"/>
    <col min="3" max="3" width="19" style="55" bestFit="1" customWidth="1"/>
    <col min="4" max="4" width="17.6640625" style="55" bestFit="1" customWidth="1"/>
    <col min="5" max="5" width="98.53125" style="55" bestFit="1" customWidth="1"/>
    <col min="6" max="6" width="10.06640625" style="55" customWidth="1"/>
    <col min="7" max="7" width="11.796875" style="55" bestFit="1" customWidth="1"/>
    <col min="8" max="8" width="13.19921875" style="55" bestFit="1" customWidth="1"/>
    <col min="9" max="9" width="16.73046875" style="55" customWidth="1"/>
    <col min="10" max="10" width="9.06640625" style="55"/>
    <col min="11" max="11" width="28.06640625" style="55" bestFit="1" customWidth="1"/>
    <col min="12" max="12" width="16.265625" style="55" bestFit="1" customWidth="1"/>
    <col min="13" max="13" width="14.46484375" style="55" bestFit="1" customWidth="1"/>
    <col min="14" max="16384" width="9.06640625" style="55"/>
  </cols>
  <sheetData>
    <row r="2" spans="2:13" ht="30" customHeight="1">
      <c r="B2" s="147" t="s">
        <v>133</v>
      </c>
      <c r="C2" s="148" t="s">
        <v>56</v>
      </c>
      <c r="D2" s="147" t="s">
        <v>30</v>
      </c>
      <c r="E2" s="147" t="s">
        <v>73</v>
      </c>
      <c r="F2"/>
    </row>
    <row r="3" spans="2:13" ht="30" customHeight="1">
      <c r="B3" s="137" t="s">
        <v>134</v>
      </c>
      <c r="C3" s="153">
        <v>2693</v>
      </c>
      <c r="D3" s="137" t="s">
        <v>110</v>
      </c>
      <c r="E3" s="154" t="s">
        <v>135</v>
      </c>
      <c r="F3"/>
    </row>
    <row r="4" spans="2:13" ht="30" customHeight="1">
      <c r="B4" s="137" t="s">
        <v>137</v>
      </c>
      <c r="C4" s="138">
        <v>981</v>
      </c>
      <c r="D4" s="137" t="s">
        <v>110</v>
      </c>
      <c r="E4" s="154" t="s">
        <v>135</v>
      </c>
      <c r="F4"/>
    </row>
    <row r="5" spans="2:13" ht="30" customHeight="1" thickBot="1">
      <c r="B5" s="137" t="s">
        <v>138</v>
      </c>
      <c r="C5" s="138">
        <v>334723.09999999998</v>
      </c>
      <c r="D5" s="137" t="s">
        <v>76</v>
      </c>
      <c r="E5" s="93" t="s">
        <v>75</v>
      </c>
      <c r="F5" s="157" t="s">
        <v>136</v>
      </c>
      <c r="G5" s="113"/>
    </row>
    <row r="6" spans="2:13" ht="30" customHeight="1" thickBot="1">
      <c r="B6" s="149" t="s">
        <v>116</v>
      </c>
      <c r="C6" s="150">
        <f>+C3/C5*1000</f>
        <v>8.045456079965799</v>
      </c>
      <c r="D6" s="137" t="s">
        <v>117</v>
      </c>
      <c r="E6" s="137" t="s">
        <v>106</v>
      </c>
      <c r="F6"/>
      <c r="K6" s="139" t="s">
        <v>111</v>
      </c>
      <c r="L6" s="140" t="s">
        <v>112</v>
      </c>
      <c r="M6" s="141" t="s">
        <v>113</v>
      </c>
    </row>
    <row r="7" spans="2:13" ht="30" customHeight="1" thickBot="1">
      <c r="B7" s="149" t="s">
        <v>119</v>
      </c>
      <c r="C7" s="150">
        <f>+C4/C5*1000</f>
        <v>2.9307806960439842</v>
      </c>
      <c r="D7" s="137" t="s">
        <v>117</v>
      </c>
      <c r="E7" s="137" t="s">
        <v>106</v>
      </c>
      <c r="K7" s="142" t="s">
        <v>114</v>
      </c>
      <c r="L7" s="143" t="s">
        <v>139</v>
      </c>
      <c r="M7" s="143" t="s">
        <v>140</v>
      </c>
    </row>
    <row r="8" spans="2:13" ht="30" customHeight="1" thickBot="1">
      <c r="B8" s="137" t="s">
        <v>121</v>
      </c>
      <c r="C8" s="153">
        <f>'Cover Page'!D13</f>
        <v>31990</v>
      </c>
      <c r="D8" s="137" t="s">
        <v>17</v>
      </c>
      <c r="E8" s="137" t="s">
        <v>105</v>
      </c>
      <c r="K8" s="144" t="s">
        <v>115</v>
      </c>
      <c r="L8" s="145" t="s">
        <v>141</v>
      </c>
      <c r="M8" s="145" t="s">
        <v>142</v>
      </c>
    </row>
    <row r="9" spans="2:13" ht="30" customHeight="1" thickBot="1">
      <c r="B9" s="151" t="s">
        <v>123</v>
      </c>
      <c r="C9" s="152">
        <f>(C8*C6)/1000</f>
        <v>257.37413999810593</v>
      </c>
      <c r="D9" s="137" t="s">
        <v>124</v>
      </c>
      <c r="E9" s="137" t="s">
        <v>106</v>
      </c>
      <c r="K9" s="142" t="s">
        <v>118</v>
      </c>
      <c r="L9" s="143" t="s">
        <v>143</v>
      </c>
      <c r="M9" s="143" t="s">
        <v>144</v>
      </c>
    </row>
    <row r="10" spans="2:13" ht="30" customHeight="1" thickBot="1">
      <c r="B10" s="151" t="s">
        <v>126</v>
      </c>
      <c r="C10" s="152">
        <f>(C8*C7)/1000</f>
        <v>93.755674466447061</v>
      </c>
      <c r="D10" s="136" t="s">
        <v>124</v>
      </c>
      <c r="E10" s="137" t="s">
        <v>106</v>
      </c>
      <c r="K10" s="144" t="s">
        <v>120</v>
      </c>
      <c r="L10" s="145" t="s">
        <v>145</v>
      </c>
      <c r="M10" s="145" t="s">
        <v>146</v>
      </c>
    </row>
    <row r="11" spans="2:13" ht="30" customHeight="1" thickBot="1">
      <c r="K11" s="142" t="s">
        <v>122</v>
      </c>
      <c r="L11" s="143" t="s">
        <v>147</v>
      </c>
      <c r="M11" s="143" t="s">
        <v>148</v>
      </c>
    </row>
    <row r="12" spans="2:13" ht="30" customHeight="1" thickBot="1">
      <c r="K12" s="144" t="s">
        <v>125</v>
      </c>
      <c r="L12" s="145" t="s">
        <v>149</v>
      </c>
      <c r="M12" s="145" t="s">
        <v>150</v>
      </c>
    </row>
    <row r="13" spans="2:13" ht="30" customHeight="1" thickBot="1">
      <c r="K13" s="142" t="s">
        <v>127</v>
      </c>
      <c r="L13" s="143" t="s">
        <v>151</v>
      </c>
      <c r="M13" s="143" t="s">
        <v>152</v>
      </c>
    </row>
    <row r="14" spans="2:13" ht="30" customHeight="1" thickBot="1">
      <c r="B14" s="202" t="s">
        <v>164</v>
      </c>
      <c r="C14" s="202"/>
      <c r="D14" s="202"/>
      <c r="E14" s="202"/>
      <c r="K14" s="144" t="s">
        <v>128</v>
      </c>
      <c r="L14" s="145" t="s">
        <v>153</v>
      </c>
      <c r="M14" s="145" t="s">
        <v>154</v>
      </c>
    </row>
    <row r="15" spans="2:13" ht="30" customHeight="1" thickBot="1">
      <c r="B15" s="95" t="s">
        <v>92</v>
      </c>
      <c r="C15" s="95" t="s">
        <v>7</v>
      </c>
      <c r="D15" s="95" t="s">
        <v>8</v>
      </c>
      <c r="E15" s="95" t="s">
        <v>9</v>
      </c>
      <c r="G15" s="125" t="s">
        <v>93</v>
      </c>
      <c r="H15" s="125" t="s">
        <v>94</v>
      </c>
      <c r="I15" s="126" t="s">
        <v>95</v>
      </c>
      <c r="K15" s="142" t="s">
        <v>162</v>
      </c>
      <c r="L15" s="143" t="s">
        <v>155</v>
      </c>
      <c r="M15" s="143" t="s">
        <v>156</v>
      </c>
    </row>
    <row r="16" spans="2:13" ht="30" customHeight="1" thickBot="1">
      <c r="B16" s="130" t="str">
        <f>NG!B19</f>
        <v>01/04/2024-31/12/2024 
(275 Days)</v>
      </c>
      <c r="C16" s="155">
        <f>ROUNDDOWN(I16*$C$10/365,0)</f>
        <v>70</v>
      </c>
      <c r="D16" s="155">
        <v>0</v>
      </c>
      <c r="E16" s="159">
        <f>C16-D16</f>
        <v>70</v>
      </c>
      <c r="G16" s="127">
        <f>NG!G19</f>
        <v>45383</v>
      </c>
      <c r="H16" s="127">
        <f>NG!H19</f>
        <v>45657</v>
      </c>
      <c r="I16" s="128">
        <f>+H16-G16+1</f>
        <v>275</v>
      </c>
      <c r="K16" s="144" t="s">
        <v>129</v>
      </c>
      <c r="L16" s="145" t="s">
        <v>157</v>
      </c>
      <c r="M16" s="145" t="s">
        <v>158</v>
      </c>
    </row>
    <row r="17" spans="2:13" ht="30" customHeight="1" thickBot="1">
      <c r="B17" s="130">
        <f>NG!B20</f>
        <v>2025</v>
      </c>
      <c r="C17" s="155">
        <f t="shared" ref="C17:C22" si="0">$C$10</f>
        <v>93.755674466447061</v>
      </c>
      <c r="D17" s="155">
        <v>0</v>
      </c>
      <c r="E17" s="159">
        <f t="shared" ref="E17:E24" si="1">C17-D17</f>
        <v>93.755674466447061</v>
      </c>
      <c r="G17" s="127"/>
      <c r="H17" s="127"/>
      <c r="I17" s="128"/>
      <c r="K17" s="142" t="s">
        <v>130</v>
      </c>
      <c r="L17" s="143" t="s">
        <v>159</v>
      </c>
      <c r="M17" s="143" t="s">
        <v>160</v>
      </c>
    </row>
    <row r="18" spans="2:13" ht="30" customHeight="1" thickBot="1">
      <c r="B18" s="130">
        <f>NG!B21</f>
        <v>2026</v>
      </c>
      <c r="C18" s="155">
        <f t="shared" si="0"/>
        <v>93.755674466447061</v>
      </c>
      <c r="D18" s="155">
        <v>0</v>
      </c>
      <c r="E18" s="159">
        <f t="shared" si="1"/>
        <v>93.755674466447061</v>
      </c>
      <c r="G18" s="127"/>
      <c r="H18" s="127"/>
      <c r="I18" s="128"/>
      <c r="K18" s="144" t="s">
        <v>131</v>
      </c>
      <c r="L18" s="146" t="s">
        <v>161</v>
      </c>
      <c r="M18" s="146" t="s">
        <v>132</v>
      </c>
    </row>
    <row r="19" spans="2:13" ht="30" customHeight="1">
      <c r="B19" s="130">
        <f>NG!B22</f>
        <v>2027</v>
      </c>
      <c r="C19" s="155">
        <f t="shared" si="0"/>
        <v>93.755674466447061</v>
      </c>
      <c r="D19" s="155">
        <v>0</v>
      </c>
      <c r="E19" s="159">
        <f t="shared" si="1"/>
        <v>93.755674466447061</v>
      </c>
      <c r="G19" s="127"/>
      <c r="H19" s="127"/>
      <c r="I19" s="128"/>
    </row>
    <row r="20" spans="2:13" ht="30" customHeight="1">
      <c r="B20" s="130">
        <f>NG!B23</f>
        <v>2028</v>
      </c>
      <c r="C20" s="155">
        <f t="shared" si="0"/>
        <v>93.755674466447061</v>
      </c>
      <c r="D20" s="155">
        <v>0</v>
      </c>
      <c r="E20" s="159">
        <f t="shared" si="1"/>
        <v>93.755674466447061</v>
      </c>
      <c r="G20" s="127"/>
      <c r="H20" s="127"/>
      <c r="I20" s="128"/>
    </row>
    <row r="21" spans="2:13" ht="30" customHeight="1">
      <c r="B21" s="130">
        <f>NG!B24</f>
        <v>2029</v>
      </c>
      <c r="C21" s="155">
        <f t="shared" si="0"/>
        <v>93.755674466447061</v>
      </c>
      <c r="D21" s="155">
        <v>0</v>
      </c>
      <c r="E21" s="159">
        <f t="shared" si="1"/>
        <v>93.755674466447061</v>
      </c>
      <c r="G21" s="127"/>
      <c r="H21" s="127"/>
      <c r="I21" s="128"/>
    </row>
    <row r="22" spans="2:13" ht="30" customHeight="1">
      <c r="B22" s="130">
        <f>NG!B25</f>
        <v>2030</v>
      </c>
      <c r="C22" s="159">
        <f t="shared" si="0"/>
        <v>93.755674466447061</v>
      </c>
      <c r="D22" s="155">
        <v>0</v>
      </c>
      <c r="E22" s="159">
        <f t="shared" si="1"/>
        <v>93.755674466447061</v>
      </c>
      <c r="G22" s="129"/>
      <c r="H22" s="129"/>
      <c r="I22" s="128"/>
    </row>
    <row r="23" spans="2:13" ht="30" customHeight="1">
      <c r="B23" s="130" t="str">
        <f>NG!B26</f>
        <v>01/01/2031-31/03/2031 
(90 Days)</v>
      </c>
      <c r="C23" s="155">
        <f>ROUNDDOWN(I23*$C$10/365,0)</f>
        <v>23</v>
      </c>
      <c r="D23" s="155">
        <v>0</v>
      </c>
      <c r="E23" s="159">
        <f t="shared" si="1"/>
        <v>23</v>
      </c>
      <c r="G23" s="127">
        <f>NG!G26</f>
        <v>47849</v>
      </c>
      <c r="H23" s="127">
        <f>NG!H26</f>
        <v>47938</v>
      </c>
      <c r="I23" s="128">
        <f>+H23-G23+1</f>
        <v>90</v>
      </c>
    </row>
    <row r="24" spans="2:13" ht="30" customHeight="1">
      <c r="B24" s="130" t="str">
        <f>NG!B27</f>
        <v>Annual Average</v>
      </c>
      <c r="C24" s="155">
        <f>C25/7</f>
        <v>93.647720971240346</v>
      </c>
      <c r="D24" s="155">
        <f>D25/5</f>
        <v>0</v>
      </c>
      <c r="E24" s="159">
        <f t="shared" si="1"/>
        <v>93.647720971240346</v>
      </c>
      <c r="G24" s="129"/>
      <c r="H24" s="129"/>
      <c r="I24" s="128"/>
    </row>
    <row r="25" spans="2:13" ht="30" customHeight="1">
      <c r="B25" s="130" t="str">
        <f>NG!B28</f>
        <v>Total</v>
      </c>
      <c r="C25" s="155">
        <f>SUM(C16:C23)</f>
        <v>655.53404679868243</v>
      </c>
      <c r="D25" s="155">
        <f>SUM(D16:D23)</f>
        <v>0</v>
      </c>
      <c r="E25" s="159">
        <f>C25-D25</f>
        <v>655.53404679868243</v>
      </c>
      <c r="G25" s="156" t="s">
        <v>97</v>
      </c>
      <c r="H25" s="129"/>
      <c r="I25" s="128">
        <f>+I16+I23</f>
        <v>365</v>
      </c>
    </row>
    <row r="26" spans="2:13" ht="30" customHeight="1"/>
    <row r="27" spans="2:13" ht="30" customHeight="1">
      <c r="B27" s="202" t="s">
        <v>165</v>
      </c>
      <c r="C27" s="202"/>
      <c r="D27" s="202"/>
      <c r="E27" s="202"/>
    </row>
    <row r="28" spans="2:13" ht="30" customHeight="1">
      <c r="B28" s="95" t="s">
        <v>92</v>
      </c>
      <c r="C28" s="95" t="s">
        <v>7</v>
      </c>
      <c r="D28" s="95" t="s">
        <v>8</v>
      </c>
      <c r="E28" s="95" t="s">
        <v>9</v>
      </c>
      <c r="G28" s="125" t="s">
        <v>93</v>
      </c>
      <c r="H28" s="125" t="s">
        <v>94</v>
      </c>
      <c r="I28" s="126" t="s">
        <v>95</v>
      </c>
    </row>
    <row r="29" spans="2:13" ht="30" customHeight="1">
      <c r="B29" s="130" t="str">
        <f>B16</f>
        <v>01/04/2024-31/12/2024 
(275 Days)</v>
      </c>
      <c r="C29" s="155">
        <f>ROUNDDOWN(I29*$C$9/365,0)</f>
        <v>193</v>
      </c>
      <c r="D29" s="155">
        <v>0</v>
      </c>
      <c r="E29" s="159">
        <f>C29-D29</f>
        <v>193</v>
      </c>
      <c r="G29" s="127">
        <f>G16</f>
        <v>45383</v>
      </c>
      <c r="H29" s="127">
        <f>H16</f>
        <v>45657</v>
      </c>
      <c r="I29" s="128">
        <f>+H29-G29+1</f>
        <v>275</v>
      </c>
    </row>
    <row r="30" spans="2:13" ht="30" customHeight="1">
      <c r="B30" s="130">
        <f t="shared" ref="B30:B38" si="2">B17</f>
        <v>2025</v>
      </c>
      <c r="C30" s="155">
        <f t="shared" ref="C30:C35" si="3">$C$9</f>
        <v>257.37413999810593</v>
      </c>
      <c r="D30" s="155">
        <v>0</v>
      </c>
      <c r="E30" s="159">
        <f t="shared" ref="E30:E37" si="4">C30-D30</f>
        <v>257.37413999810593</v>
      </c>
      <c r="G30" s="127"/>
      <c r="H30" s="127"/>
      <c r="I30" s="128"/>
    </row>
    <row r="31" spans="2:13" ht="30" customHeight="1">
      <c r="B31" s="130">
        <f t="shared" si="2"/>
        <v>2026</v>
      </c>
      <c r="C31" s="155">
        <f t="shared" si="3"/>
        <v>257.37413999810593</v>
      </c>
      <c r="D31" s="155">
        <v>0</v>
      </c>
      <c r="E31" s="159">
        <f t="shared" si="4"/>
        <v>257.37413999810593</v>
      </c>
      <c r="G31" s="127"/>
      <c r="H31" s="127"/>
      <c r="I31" s="128"/>
    </row>
    <row r="32" spans="2:13" ht="30" customHeight="1">
      <c r="B32" s="130">
        <f t="shared" si="2"/>
        <v>2027</v>
      </c>
      <c r="C32" s="155">
        <f t="shared" si="3"/>
        <v>257.37413999810593</v>
      </c>
      <c r="D32" s="155">
        <v>0</v>
      </c>
      <c r="E32" s="159">
        <f t="shared" si="4"/>
        <v>257.37413999810593</v>
      </c>
      <c r="G32" s="127"/>
      <c r="H32" s="127"/>
      <c r="I32" s="128"/>
    </row>
    <row r="33" spans="2:9" ht="30" customHeight="1">
      <c r="B33" s="130">
        <f t="shared" si="2"/>
        <v>2028</v>
      </c>
      <c r="C33" s="155">
        <f t="shared" si="3"/>
        <v>257.37413999810593</v>
      </c>
      <c r="D33" s="155">
        <v>0</v>
      </c>
      <c r="E33" s="159">
        <f t="shared" si="4"/>
        <v>257.37413999810593</v>
      </c>
      <c r="G33" s="127"/>
      <c r="H33" s="127"/>
      <c r="I33" s="128"/>
    </row>
    <row r="34" spans="2:9" ht="30" customHeight="1">
      <c r="B34" s="130">
        <f t="shared" si="2"/>
        <v>2029</v>
      </c>
      <c r="C34" s="155">
        <f t="shared" si="3"/>
        <v>257.37413999810593</v>
      </c>
      <c r="D34" s="155">
        <v>0</v>
      </c>
      <c r="E34" s="159">
        <f t="shared" si="4"/>
        <v>257.37413999810593</v>
      </c>
      <c r="G34" s="127"/>
      <c r="H34" s="127"/>
      <c r="I34" s="128"/>
    </row>
    <row r="35" spans="2:9" ht="30" customHeight="1">
      <c r="B35" s="130">
        <f t="shared" si="2"/>
        <v>2030</v>
      </c>
      <c r="C35" s="155">
        <f t="shared" si="3"/>
        <v>257.37413999810593</v>
      </c>
      <c r="D35" s="155">
        <v>0</v>
      </c>
      <c r="E35" s="159">
        <f t="shared" si="4"/>
        <v>257.37413999810593</v>
      </c>
      <c r="G35" s="129"/>
      <c r="H35" s="129"/>
      <c r="I35" s="128"/>
    </row>
    <row r="36" spans="2:9" ht="30" customHeight="1">
      <c r="B36" s="130" t="str">
        <f t="shared" si="2"/>
        <v>01/01/2031-31/03/2031 
(90 Days)</v>
      </c>
      <c r="C36" s="155">
        <f>ROUNDDOWN(I36*$C$9/365,0)</f>
        <v>63</v>
      </c>
      <c r="D36" s="155">
        <v>0</v>
      </c>
      <c r="E36" s="159">
        <f t="shared" si="4"/>
        <v>63</v>
      </c>
      <c r="G36" s="127">
        <f>G23</f>
        <v>47849</v>
      </c>
      <c r="H36" s="127">
        <f>H23</f>
        <v>47938</v>
      </c>
      <c r="I36" s="128">
        <f>+H36-G36+1</f>
        <v>90</v>
      </c>
    </row>
    <row r="37" spans="2:9" ht="30" customHeight="1">
      <c r="B37" s="130" t="str">
        <f t="shared" si="2"/>
        <v>Annual Average</v>
      </c>
      <c r="C37" s="155">
        <f>C38/7</f>
        <v>257.17783428409081</v>
      </c>
      <c r="D37" s="155">
        <v>0</v>
      </c>
      <c r="E37" s="159">
        <f t="shared" si="4"/>
        <v>257.17783428409081</v>
      </c>
      <c r="G37" s="129"/>
      <c r="H37" s="129"/>
      <c r="I37" s="128"/>
    </row>
    <row r="38" spans="2:9" ht="30" customHeight="1">
      <c r="B38" s="130" t="str">
        <f t="shared" si="2"/>
        <v>Total</v>
      </c>
      <c r="C38" s="155">
        <f>SUM(C29:C36)</f>
        <v>1800.2448399886355</v>
      </c>
      <c r="D38" s="155">
        <v>0</v>
      </c>
      <c r="E38" s="159">
        <f>C38-D38</f>
        <v>1800.2448399886355</v>
      </c>
      <c r="G38" s="156" t="s">
        <v>97</v>
      </c>
      <c r="H38" s="129"/>
      <c r="I38" s="128">
        <f>+I29+I36</f>
        <v>365</v>
      </c>
    </row>
    <row r="39" spans="2:9" ht="30" customHeight="1"/>
  </sheetData>
  <mergeCells count="2">
    <mergeCell ref="B27:E27"/>
    <mergeCell ref="B14:E14"/>
  </mergeCells>
  <hyperlinks>
    <hyperlink ref="E3" r:id="rId1" xr:uid="{C75E5C63-BBBA-4E85-B262-74EA77F55BFF}"/>
    <hyperlink ref="E5" r:id="rId2" xr:uid="{FC76352C-A4E3-4723-9392-D8536D9FB6A0}"/>
    <hyperlink ref="E4" r:id="rId3" xr:uid="{E4E70214-8F41-4C35-A805-B4B9263C61B5}"/>
  </hyperlinks>
  <pageMargins left="0.7" right="0.7" top="0.75" bottom="0.75" header="0.3" footer="0.3"/>
  <pageSetup paperSize="9" orientation="portrait" horizontalDpi="300" verticalDpi="30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Baseline Emissions</vt:lpstr>
      <vt:lpstr>Emission Factor</vt:lpstr>
      <vt:lpstr>Power Density</vt:lpstr>
      <vt:lpstr>NG</vt:lpstr>
      <vt:lpstr>NOx-SO2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Ece Coşgun - EKI</dc:creator>
  <cp:lastModifiedBy>Ece Coşgun</cp:lastModifiedBy>
  <dcterms:created xsi:type="dcterms:W3CDTF">2022-09-14T12:29:50Z</dcterms:created>
  <dcterms:modified xsi:type="dcterms:W3CDTF">2024-08-09T14:35:03Z</dcterms:modified>
</cp:coreProperties>
</file>