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olors1.xml" ContentType="application/vnd.ms-office.chartcolorstyle+xml"/>
  <Override PartName="/xl/charts/style1.xml" ContentType="application/vnd.ms-office.chartstyle+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codeName="ThisWorkbook"/>
  <mc:AlternateContent xmlns:mc="http://schemas.openxmlformats.org/markup-compatibility/2006">
    <mc:Choice Requires="x15">
      <x15ac:absPath xmlns:x15ac="http://schemas.microsoft.com/office/spreadsheetml/2010/11/ac" url="https://d.docs.live.net/32d20bacf72c18b5/Documentos/Trabalho/Projetos/Brasil/Catanduva/Validação VCS/Findings 1st round/Approval/"/>
    </mc:Choice>
  </mc:AlternateContent>
  <xr:revisionPtr revIDLastSave="38" documentId="13_ncr:1_{3D8968FD-E6C8-4DDC-B0DA-5159BF06370B}" xr6:coauthVersionLast="47" xr6:coauthVersionMax="47" xr10:uidLastSave="{F63F948B-D807-4AA9-ADA8-D857FBF741F2}"/>
  <bookViews>
    <workbookView xWindow="-120" yWindow="-120" windowWidth="38640" windowHeight="15720" tabRatio="725" activeTab="3" xr2:uid="{00000000-000D-0000-FFFF-FFFF00000000}"/>
  </bookViews>
  <sheets>
    <sheet name="Input data" sheetId="17" r:id="rId1"/>
    <sheet name="LFG generation and capture" sheetId="11" r:id="rId2"/>
    <sheet name="Calculations" sheetId="27" r:id="rId3"/>
    <sheet name="PD Ex-Ante calculation" sheetId="26" r:id="rId4"/>
    <sheet name="PD Table" sheetId="22" r:id="rId5"/>
    <sheet name="FOD Basics" sheetId="18" r:id="rId6"/>
    <sheet name="FOD Calculations" sheetId="19" r:id="rId7"/>
  </sheets>
  <definedNames>
    <definedName name="\C" localSheetId="3">#REF!</definedName>
    <definedName name="\T" localSheetId="3">#REF!</definedName>
    <definedName name="__L230_" localSheetId="3">#REF!</definedName>
    <definedName name="__L230_">#REF!</definedName>
    <definedName name="_Fill" localSheetId="3" hidden="1">#REF!</definedName>
    <definedName name="_L230_">#REF!</definedName>
    <definedName name="_PG1" localSheetId="3">#REF!</definedName>
    <definedName name="_PG1">#REF!</definedName>
    <definedName name="_PG2">#REF!</definedName>
    <definedName name="Clsses">#REF!</definedName>
    <definedName name="CurrencySymbol" localSheetId="3">#REF!</definedName>
    <definedName name="K.02" localSheetId="3">#REF!</definedName>
    <definedName name="_xlnm.Print_Area" localSheetId="5">'FOD Basics'!$A$3:$R$50</definedName>
    <definedName name="_xlnm.Print_Area" localSheetId="0">'Input data'!$A$1:$Q$39</definedName>
    <definedName name="Puissance_unitaire" localSheetId="3">#REF!</definedName>
    <definedName name="Yr1CumCF" localSheetId="3">#REF!</definedName>
    <definedName name="Yr2CumCF" localSheetId="3">#REF!</definedName>
    <definedName name="Yr2NetCF">#REF!</definedName>
    <definedName name="Yr3CumCF">#REF!</definedName>
    <definedName name="Yr3NetCF">#REF!</definedName>
    <definedName name="Yr4CumCF">#REF!</definedName>
    <definedName name="Yr4NetCF">#REF!</definedName>
    <definedName name="Yr5CumCF">#REF!</definedName>
    <definedName name="Yr5NetC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7" l="1"/>
  <c r="B46" i="19"/>
  <c r="B47" i="19"/>
  <c r="B48" i="19"/>
  <c r="B49" i="19"/>
  <c r="B50" i="19"/>
  <c r="B51" i="19"/>
  <c r="B52" i="19"/>
  <c r="B53" i="19"/>
  <c r="B54" i="19"/>
  <c r="B55" i="19"/>
  <c r="B56" i="19"/>
  <c r="B57" i="19"/>
  <c r="B58" i="19"/>
  <c r="B59" i="19"/>
  <c r="B60" i="19"/>
  <c r="B61" i="19"/>
  <c r="B62" i="19"/>
  <c r="B63" i="19"/>
  <c r="B64" i="19"/>
  <c r="B65" i="19"/>
  <c r="B66" i="19"/>
  <c r="B67" i="19"/>
  <c r="B68" i="19"/>
  <c r="H20" i="18"/>
  <c r="R14" i="26" l="1"/>
  <c r="R7" i="26"/>
  <c r="G6" i="22" l="1"/>
  <c r="F21" i="17" l="1"/>
  <c r="M21" i="17" l="1"/>
  <c r="M22" i="17" s="1"/>
  <c r="M23" i="17" s="1"/>
  <c r="M24" i="17" s="1"/>
  <c r="M25" i="17" s="1"/>
  <c r="M26" i="17" s="1"/>
  <c r="L9" i="17" l="1"/>
  <c r="L10" i="17" s="1"/>
  <c r="L11" i="17" s="1"/>
  <c r="L12" i="17" s="1"/>
  <c r="L13" i="17" s="1"/>
  <c r="N9" i="17"/>
  <c r="N10" i="17" s="1"/>
  <c r="N11" i="17" s="1"/>
  <c r="N12" i="17" s="1"/>
  <c r="O10" i="17"/>
  <c r="O11" i="17"/>
  <c r="O12" i="17"/>
  <c r="C17" i="26"/>
  <c r="D18" i="26" s="1"/>
  <c r="M27" i="17" l="1"/>
  <c r="M28" i="17" s="1"/>
  <c r="M29" i="17" s="1"/>
  <c r="M30" i="17" s="1"/>
  <c r="M31" i="17" s="1"/>
  <c r="M32" i="17" s="1"/>
  <c r="M33" i="17" s="1"/>
  <c r="M34" i="17" s="1"/>
  <c r="M35" i="17" s="1"/>
  <c r="M36" i="17" s="1"/>
  <c r="M37" i="17" s="1"/>
  <c r="M38" i="17" s="1"/>
  <c r="M39" i="17" s="1"/>
  <c r="M40" i="17" s="1"/>
  <c r="M41" i="17" s="1"/>
  <c r="M42" i="17" s="1"/>
  <c r="M43" i="17" s="1"/>
  <c r="M44" i="17" s="1"/>
  <c r="M45" i="17" s="1"/>
  <c r="B44" i="19" l="1"/>
  <c r="O45" i="17"/>
  <c r="M46" i="17"/>
  <c r="E22" i="27"/>
  <c r="E21" i="27"/>
  <c r="E20" i="27"/>
  <c r="E19" i="27"/>
  <c r="E18" i="27"/>
  <c r="E17" i="27"/>
  <c r="E16" i="27"/>
  <c r="E15" i="27"/>
  <c r="E14" i="27"/>
  <c r="E13" i="27"/>
  <c r="E12" i="27"/>
  <c r="E11" i="27"/>
  <c r="E10" i="27"/>
  <c r="E9" i="27"/>
  <c r="E8" i="27"/>
  <c r="E7" i="27"/>
  <c r="C6" i="27"/>
  <c r="O23" i="17"/>
  <c r="O17" i="17"/>
  <c r="O18" i="17"/>
  <c r="O19" i="17"/>
  <c r="O20" i="17"/>
  <c r="O21" i="17"/>
  <c r="O22" i="17"/>
  <c r="J7" i="26"/>
  <c r="J14" i="26"/>
  <c r="H13" i="22"/>
  <c r="G13" i="22"/>
  <c r="I6" i="22"/>
  <c r="E14" i="22"/>
  <c r="B6" i="22"/>
  <c r="B45" i="19" l="1"/>
  <c r="O46" i="17"/>
  <c r="E24" i="27"/>
  <c r="E23" i="27"/>
  <c r="L9" i="26"/>
  <c r="L10" i="26"/>
  <c r="L11" i="26"/>
  <c r="L12" i="26"/>
  <c r="L13" i="26"/>
  <c r="L8" i="26"/>
  <c r="E25" i="27" l="1"/>
  <c r="O7" i="26"/>
  <c r="K7" i="26"/>
  <c r="P7" i="26" s="1"/>
  <c r="B8" i="26"/>
  <c r="O14" i="26"/>
  <c r="B7" i="22" l="1"/>
  <c r="E26" i="27"/>
  <c r="E17" i="26"/>
  <c r="H6" i="22"/>
  <c r="J6" i="22" s="1"/>
  <c r="K8" i="26"/>
  <c r="P8" i="26" s="1"/>
  <c r="B9" i="26"/>
  <c r="B8" i="22" l="1"/>
  <c r="L7" i="26"/>
  <c r="E27" i="27"/>
  <c r="E18" i="26"/>
  <c r="I13" i="22"/>
  <c r="J13" i="22" s="1"/>
  <c r="K9" i="26"/>
  <c r="P9" i="26" s="1"/>
  <c r="B10" i="26"/>
  <c r="B9" i="22" l="1"/>
  <c r="L14" i="26"/>
  <c r="L15" i="26" s="1"/>
  <c r="E28" i="27"/>
  <c r="B11" i="26"/>
  <c r="K10" i="26"/>
  <c r="P10" i="26" s="1"/>
  <c r="B10" i="22" l="1"/>
  <c r="E29" i="27"/>
  <c r="B12" i="26"/>
  <c r="K11" i="26"/>
  <c r="P11" i="26" s="1"/>
  <c r="B11" i="22" l="1"/>
  <c r="E30" i="27"/>
  <c r="K12" i="26"/>
  <c r="P12" i="26" s="1"/>
  <c r="B13" i="26"/>
  <c r="B12" i="22" l="1"/>
  <c r="E31" i="27"/>
  <c r="K13" i="26"/>
  <c r="P13" i="26" s="1"/>
  <c r="B14" i="26"/>
  <c r="B13" i="22" l="1"/>
  <c r="E32" i="27"/>
  <c r="K14" i="26"/>
  <c r="P14" i="26" s="1"/>
  <c r="E33" i="27" l="1"/>
  <c r="O24" i="17"/>
  <c r="O25" i="17"/>
  <c r="B21" i="19"/>
  <c r="B22" i="19"/>
  <c r="B20" i="19"/>
  <c r="E34" i="27" l="1"/>
  <c r="O26" i="17"/>
  <c r="O27" i="17"/>
  <c r="B23" i="19"/>
  <c r="E35" i="27" l="1"/>
  <c r="O28" i="17"/>
  <c r="B24" i="19"/>
  <c r="E36" i="27" l="1"/>
  <c r="O29" i="17"/>
  <c r="B25" i="19"/>
  <c r="E37" i="27" l="1"/>
  <c r="O30" i="17"/>
  <c r="B26" i="19"/>
  <c r="E38" i="27" l="1"/>
  <c r="O31" i="17"/>
  <c r="E39" i="27" l="1"/>
  <c r="O32" i="17"/>
  <c r="E40" i="27" l="1"/>
  <c r="F42" i="27"/>
  <c r="O33" i="17"/>
  <c r="E42" i="27" l="1"/>
  <c r="O34" i="17"/>
  <c r="O35" i="17" l="1"/>
  <c r="O36" i="17" l="1"/>
  <c r="O37" i="17" l="1"/>
  <c r="O38" i="17" l="1"/>
  <c r="O39" i="17" l="1"/>
  <c r="O40" i="17" l="1"/>
  <c r="O41" i="17" l="1"/>
  <c r="O42" i="17" l="1"/>
  <c r="O43" i="17" l="1"/>
  <c r="B27" i="19" l="1"/>
  <c r="B28" i="19" l="1"/>
  <c r="B29" i="19" l="1"/>
  <c r="B30" i="19" l="1"/>
  <c r="B31" i="19" l="1"/>
  <c r="B6" i="11"/>
  <c r="M14" i="26" l="1"/>
  <c r="N14" i="26" s="1"/>
  <c r="C13" i="22" s="1"/>
  <c r="M7" i="26"/>
  <c r="N7" i="26" s="1"/>
  <c r="M8" i="26"/>
  <c r="N8" i="26" s="1"/>
  <c r="C7" i="22" s="1"/>
  <c r="M9" i="26"/>
  <c r="N9" i="26" s="1"/>
  <c r="C8" i="22" s="1"/>
  <c r="M10" i="26"/>
  <c r="N10" i="26" s="1"/>
  <c r="C9" i="22" s="1"/>
  <c r="M12" i="26"/>
  <c r="N12" i="26" s="1"/>
  <c r="C11" i="22" s="1"/>
  <c r="M11" i="26"/>
  <c r="N11" i="26" s="1"/>
  <c r="C10" i="22" s="1"/>
  <c r="M13" i="26"/>
  <c r="N13" i="26" s="1"/>
  <c r="C12" i="22" s="1"/>
  <c r="A7" i="27"/>
  <c r="B32" i="19"/>
  <c r="E16" i="22"/>
  <c r="M15" i="26" l="1"/>
  <c r="C6" i="22"/>
  <c r="C14" i="22" s="1"/>
  <c r="N15" i="26"/>
  <c r="B33" i="19"/>
  <c r="B34" i="19" l="1"/>
  <c r="B35" i="19" l="1"/>
  <c r="B36" i="19" l="1"/>
  <c r="B37" i="19" l="1"/>
  <c r="B9" i="19"/>
  <c r="B10" i="19"/>
  <c r="B11" i="19"/>
  <c r="B12" i="19"/>
  <c r="B13" i="19"/>
  <c r="B14" i="19"/>
  <c r="B15" i="19"/>
  <c r="B16" i="19"/>
  <c r="B17" i="19"/>
  <c r="B18" i="19"/>
  <c r="B19" i="19"/>
  <c r="B38" i="19" l="1"/>
  <c r="B39" i="19" l="1"/>
  <c r="B40" i="19" l="1"/>
  <c r="B41" i="19" l="1"/>
  <c r="B42" i="19" l="1"/>
  <c r="B43" i="19" l="1"/>
  <c r="O44" i="17"/>
  <c r="O13" i="17" l="1"/>
  <c r="B7" i="11"/>
  <c r="A8" i="27" s="1"/>
  <c r="B8" i="19"/>
  <c r="BC8" i="19" s="1"/>
  <c r="A8" i="19"/>
  <c r="A9" i="19" s="1"/>
  <c r="A10" i="19" s="1"/>
  <c r="A11" i="19" s="1"/>
  <c r="A12" i="19" s="1"/>
  <c r="A13" i="19" s="1"/>
  <c r="A14" i="19" s="1"/>
  <c r="A15" i="19" s="1"/>
  <c r="A16" i="19" s="1"/>
  <c r="A17" i="19" s="1"/>
  <c r="A18" i="19" s="1"/>
  <c r="C73" i="19"/>
  <c r="C74" i="19" s="1"/>
  <c r="C76" i="19"/>
  <c r="C12" i="18"/>
  <c r="C36" i="18"/>
  <c r="D41" i="18" s="1"/>
  <c r="D36" i="18"/>
  <c r="D42" i="18" s="1"/>
  <c r="E36" i="18"/>
  <c r="D43" i="18" s="1"/>
  <c r="F36" i="18"/>
  <c r="D44" i="18" s="1"/>
  <c r="G36" i="18"/>
  <c r="D45" i="18" s="1"/>
  <c r="H36" i="18"/>
  <c r="F39" i="18"/>
  <c r="G39" i="18" s="1"/>
  <c r="B41" i="18"/>
  <c r="C41" i="18"/>
  <c r="B42" i="18"/>
  <c r="C42" i="18"/>
  <c r="B43" i="18"/>
  <c r="C43" i="18"/>
  <c r="B44" i="18"/>
  <c r="C44" i="18"/>
  <c r="B45" i="18"/>
  <c r="C45" i="18"/>
  <c r="F49" i="18"/>
  <c r="G49" i="18" s="1"/>
  <c r="H49" i="18" s="1"/>
  <c r="I49" i="18" s="1"/>
  <c r="J49" i="18" s="1"/>
  <c r="K49" i="18" s="1"/>
  <c r="L49" i="18" s="1"/>
  <c r="M49" i="18" s="1"/>
  <c r="N49" i="18" s="1"/>
  <c r="O49" i="18" s="1"/>
  <c r="P49" i="18" s="1"/>
  <c r="Q49" i="18" s="1"/>
  <c r="R49" i="18" s="1"/>
  <c r="S49" i="18" s="1"/>
  <c r="T49" i="18" s="1"/>
  <c r="U49" i="18" s="1"/>
  <c r="V49" i="18" s="1"/>
  <c r="W49" i="18" s="1"/>
  <c r="X49" i="18" s="1"/>
  <c r="Y49" i="18" s="1"/>
  <c r="Z49" i="18" s="1"/>
  <c r="AA49" i="18" s="1"/>
  <c r="AB49" i="18" s="1"/>
  <c r="AC49" i="18" s="1"/>
  <c r="AD49" i="18" s="1"/>
  <c r="AE49" i="18" s="1"/>
  <c r="AF49" i="18" s="1"/>
  <c r="AG49" i="18" s="1"/>
  <c r="AH49" i="18" s="1"/>
  <c r="AI49" i="18" s="1"/>
  <c r="AJ49" i="18" s="1"/>
  <c r="AK49" i="18" s="1"/>
  <c r="AL49" i="18" s="1"/>
  <c r="AM49" i="18" s="1"/>
  <c r="AN49" i="18" s="1"/>
  <c r="AO49" i="18" s="1"/>
  <c r="AP49" i="18" s="1"/>
  <c r="AQ49" i="18" s="1"/>
  <c r="AR49" i="18" s="1"/>
  <c r="AS49" i="18" s="1"/>
  <c r="AT49" i="18" s="1"/>
  <c r="AU49" i="18" s="1"/>
  <c r="AV49" i="18" s="1"/>
  <c r="AW49" i="18" s="1"/>
  <c r="AX49" i="18" s="1"/>
  <c r="AY49" i="18" s="1"/>
  <c r="AZ49" i="18" s="1"/>
  <c r="BA49" i="18" s="1"/>
  <c r="BB49" i="18" s="1"/>
  <c r="BC49" i="18" s="1"/>
  <c r="L14" i="17"/>
  <c r="L15" i="17" s="1"/>
  <c r="L16" i="17" s="1"/>
  <c r="L17" i="17" s="1"/>
  <c r="L18" i="17" s="1"/>
  <c r="L19" i="17" s="1"/>
  <c r="L20" i="17" s="1"/>
  <c r="L21" i="17" s="1"/>
  <c r="L22" i="17" s="1"/>
  <c r="L23" i="17" s="1"/>
  <c r="L24" i="17" s="1"/>
  <c r="L25" i="17" s="1"/>
  <c r="L26" i="17" s="1"/>
  <c r="L27" i="17" s="1"/>
  <c r="L28" i="17" s="1"/>
  <c r="L29" i="17" s="1"/>
  <c r="L30" i="17" s="1"/>
  <c r="L31" i="17" s="1"/>
  <c r="L32" i="17" s="1"/>
  <c r="L33" i="17" s="1"/>
  <c r="L34" i="17" s="1"/>
  <c r="L35" i="17" s="1"/>
  <c r="L36" i="17" s="1"/>
  <c r="L37" i="17" s="1"/>
  <c r="L38" i="17" s="1"/>
  <c r="L39" i="17" s="1"/>
  <c r="L40" i="17" s="1"/>
  <c r="L41" i="17" s="1"/>
  <c r="L42" i="17" s="1"/>
  <c r="L43" i="17" s="1"/>
  <c r="L44" i="17" s="1"/>
  <c r="L45" i="17" s="1"/>
  <c r="L46" i="17" s="1"/>
  <c r="O14" i="17"/>
  <c r="O15" i="17"/>
  <c r="O16" i="17"/>
  <c r="A19" i="19" l="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41" i="19" s="1"/>
  <c r="A42" i="19" s="1"/>
  <c r="A43" i="19" s="1"/>
  <c r="A44" i="19" s="1"/>
  <c r="A45" i="19" s="1"/>
  <c r="A46" i="19" s="1"/>
  <c r="A47" i="19" s="1"/>
  <c r="A48" i="19" s="1"/>
  <c r="A49" i="19" s="1"/>
  <c r="A50" i="19" s="1"/>
  <c r="A51" i="19" s="1"/>
  <c r="A52" i="19" s="1"/>
  <c r="A53" i="19" s="1"/>
  <c r="A54" i="19" s="1"/>
  <c r="A55" i="19" s="1"/>
  <c r="A56" i="19" s="1"/>
  <c r="A57" i="19" s="1"/>
  <c r="A58" i="19" s="1"/>
  <c r="A59" i="19" s="1"/>
  <c r="A60" i="19" s="1"/>
  <c r="A61" i="19" s="1"/>
  <c r="A62" i="19" s="1"/>
  <c r="A63" i="19" s="1"/>
  <c r="A64" i="19" s="1"/>
  <c r="A65" i="19" s="1"/>
  <c r="A66" i="19" s="1"/>
  <c r="A67" i="19" s="1"/>
  <c r="A68" i="19" s="1"/>
  <c r="C75" i="19"/>
  <c r="C77" i="19" s="1"/>
  <c r="C16" i="18"/>
  <c r="B8" i="11"/>
  <c r="A9" i="27" s="1"/>
  <c r="G41" i="18"/>
  <c r="F43" i="18"/>
  <c r="E41" i="18"/>
  <c r="F44" i="18"/>
  <c r="F41" i="18"/>
  <c r="E44" i="18"/>
  <c r="E45" i="18"/>
  <c r="G45" i="18"/>
  <c r="F45" i="18"/>
  <c r="B46" i="18"/>
  <c r="H39" i="18"/>
  <c r="H43" i="18" s="1"/>
  <c r="G44" i="18"/>
  <c r="E43" i="18"/>
  <c r="G43" i="18"/>
  <c r="F42" i="18"/>
  <c r="G42" i="18"/>
  <c r="E42" i="18"/>
  <c r="D6" i="19"/>
  <c r="E6" i="19" s="1"/>
  <c r="F6" i="19" s="1"/>
  <c r="G6" i="19" s="1"/>
  <c r="H6" i="19" s="1"/>
  <c r="I6" i="19" s="1"/>
  <c r="J6" i="19" s="1"/>
  <c r="K6" i="19" s="1"/>
  <c r="L6" i="19" s="1"/>
  <c r="M6" i="19" s="1"/>
  <c r="N6" i="19" s="1"/>
  <c r="O6" i="19" s="1"/>
  <c r="P6" i="19" s="1"/>
  <c r="Q6" i="19" s="1"/>
  <c r="R6" i="19" s="1"/>
  <c r="S6" i="19" s="1"/>
  <c r="T6" i="19" s="1"/>
  <c r="U6" i="19" s="1"/>
  <c r="V6" i="19" s="1"/>
  <c r="W6" i="19" s="1"/>
  <c r="X6" i="19" s="1"/>
  <c r="Y6" i="19" s="1"/>
  <c r="Z6" i="19" s="1"/>
  <c r="AA6" i="19" s="1"/>
  <c r="N13" i="17" l="1"/>
  <c r="N14" i="17" s="1"/>
  <c r="N15" i="17" s="1"/>
  <c r="N16" i="17" s="1"/>
  <c r="N17" i="17" s="1"/>
  <c r="N18" i="17" s="1"/>
  <c r="N19" i="17" s="1"/>
  <c r="N20" i="17" s="1"/>
  <c r="N21" i="17" s="1"/>
  <c r="N22" i="17" s="1"/>
  <c r="N23" i="17" s="1"/>
  <c r="N24" i="17" s="1"/>
  <c r="N25" i="17" s="1"/>
  <c r="N26" i="17" s="1"/>
  <c r="N27" i="17" s="1"/>
  <c r="N28" i="17" s="1"/>
  <c r="N29" i="17" s="1"/>
  <c r="N30" i="17" s="1"/>
  <c r="N31" i="17" s="1"/>
  <c r="N32" i="17" s="1"/>
  <c r="N33" i="17" s="1"/>
  <c r="N34" i="17" s="1"/>
  <c r="N35" i="17" s="1"/>
  <c r="N36" i="17" s="1"/>
  <c r="N37" i="17" s="1"/>
  <c r="N38" i="17" s="1"/>
  <c r="N39" i="17" s="1"/>
  <c r="N40" i="17" s="1"/>
  <c r="N41" i="17" s="1"/>
  <c r="N42" i="17" s="1"/>
  <c r="N43" i="17" s="1"/>
  <c r="AB6" i="19"/>
  <c r="AC6" i="19" s="1"/>
  <c r="B9" i="11"/>
  <c r="A10" i="27" s="1"/>
  <c r="G46" i="18"/>
  <c r="G47" i="18" s="1"/>
  <c r="G50" i="18" s="1"/>
  <c r="G53" i="18" s="1"/>
  <c r="F46" i="18"/>
  <c r="F47" i="18" s="1"/>
  <c r="F50" i="18" s="1"/>
  <c r="F53" i="18" s="1"/>
  <c r="E46" i="18"/>
  <c r="E47" i="18" s="1"/>
  <c r="E50" i="18" s="1"/>
  <c r="E53" i="18" s="1"/>
  <c r="I39" i="18"/>
  <c r="H45" i="18"/>
  <c r="H44" i="18"/>
  <c r="H41" i="18"/>
  <c r="H42" i="18"/>
  <c r="H46" i="18"/>
  <c r="AQ46" i="19" l="1"/>
  <c r="AW52" i="19"/>
  <c r="BL67" i="19"/>
  <c r="AY54" i="19"/>
  <c r="AZ55" i="19"/>
  <c r="AU50" i="19"/>
  <c r="BI64" i="19"/>
  <c r="BC58" i="19"/>
  <c r="BM68" i="19"/>
  <c r="AR47" i="19"/>
  <c r="BF61" i="19"/>
  <c r="AT49" i="19"/>
  <c r="BH63" i="19"/>
  <c r="BB57" i="19"/>
  <c r="BD59" i="19"/>
  <c r="BE60" i="19"/>
  <c r="BJ65" i="19"/>
  <c r="AV51" i="19"/>
  <c r="BG62" i="19"/>
  <c r="AX53" i="19"/>
  <c r="BK66" i="19"/>
  <c r="BA56" i="19"/>
  <c r="AS48" i="19"/>
  <c r="AQ47" i="19"/>
  <c r="AY55" i="19"/>
  <c r="AR48" i="19"/>
  <c r="BJ66" i="19"/>
  <c r="AU51" i="19"/>
  <c r="BD60" i="19"/>
  <c r="BG63" i="19"/>
  <c r="BC59" i="19"/>
  <c r="AZ56" i="19"/>
  <c r="AX54" i="19"/>
  <c r="BI65" i="19"/>
  <c r="AP46" i="19"/>
  <c r="BL68" i="19"/>
  <c r="BF62" i="19"/>
  <c r="BB58" i="19"/>
  <c r="BE61" i="19"/>
  <c r="AT50" i="19"/>
  <c r="AV52" i="19"/>
  <c r="BK67" i="19"/>
  <c r="BH64" i="19"/>
  <c r="AS49" i="19"/>
  <c r="AW53" i="19"/>
  <c r="BA57" i="19"/>
  <c r="BK65" i="19"/>
  <c r="AX52" i="19"/>
  <c r="BC57" i="19"/>
  <c r="AT48" i="19"/>
  <c r="BM67" i="19"/>
  <c r="AS47" i="19"/>
  <c r="BA55" i="19"/>
  <c r="BD58" i="19"/>
  <c r="AW51" i="19"/>
  <c r="BH62" i="19"/>
  <c r="BG61" i="19"/>
  <c r="BN68" i="19"/>
  <c r="BI63" i="19"/>
  <c r="AV50" i="19"/>
  <c r="AU49" i="19"/>
  <c r="AR46" i="19"/>
  <c r="BE59" i="19"/>
  <c r="BB56" i="19"/>
  <c r="AY53" i="19"/>
  <c r="BJ64" i="19"/>
  <c r="BL66" i="19"/>
  <c r="AZ54" i="19"/>
  <c r="BF60" i="19"/>
  <c r="M15" i="19"/>
  <c r="AQ45" i="19"/>
  <c r="AP44" i="19"/>
  <c r="AN44" i="19"/>
  <c r="AO45" i="19"/>
  <c r="AO44" i="19"/>
  <c r="AP45" i="19"/>
  <c r="AD6" i="19"/>
  <c r="AE6" i="19" s="1"/>
  <c r="AF6" i="19" s="1"/>
  <c r="AG6" i="19" s="1"/>
  <c r="AH6" i="19" s="1"/>
  <c r="AI6" i="19" s="1"/>
  <c r="AJ6" i="19" s="1"/>
  <c r="AK6" i="19" s="1"/>
  <c r="AL6" i="19" s="1"/>
  <c r="AM6" i="19" s="1"/>
  <c r="AN6" i="19" s="1"/>
  <c r="AO6" i="19" s="1"/>
  <c r="AP6" i="19" s="1"/>
  <c r="AQ6" i="19" s="1"/>
  <c r="AR6" i="19" s="1"/>
  <c r="AS6" i="19" s="1"/>
  <c r="AT6" i="19" s="1"/>
  <c r="AU6" i="19" s="1"/>
  <c r="AV6" i="19" s="1"/>
  <c r="AW6" i="19" s="1"/>
  <c r="AX6" i="19" s="1"/>
  <c r="AY6" i="19" s="1"/>
  <c r="AZ6" i="19" s="1"/>
  <c r="BA6" i="19" s="1"/>
  <c r="BB6" i="19" s="1"/>
  <c r="BC6" i="19" s="1"/>
  <c r="BD6" i="19" s="1"/>
  <c r="BE6" i="19" s="1"/>
  <c r="BF6" i="19" s="1"/>
  <c r="BG6" i="19" s="1"/>
  <c r="BH6" i="19" s="1"/>
  <c r="BI6" i="19" s="1"/>
  <c r="BJ6" i="19" s="1"/>
  <c r="BK6" i="19" s="1"/>
  <c r="BL6" i="19" s="1"/>
  <c r="BM6" i="19" s="1"/>
  <c r="BN6" i="19" s="1"/>
  <c r="BO6" i="19" s="1"/>
  <c r="BP6" i="19" s="1"/>
  <c r="BQ6" i="19" s="1"/>
  <c r="BR6" i="19" s="1"/>
  <c r="BS6" i="19" s="1"/>
  <c r="BT6" i="19" s="1"/>
  <c r="BU6" i="19" s="1"/>
  <c r="BV6" i="19" s="1"/>
  <c r="BW6" i="19" s="1"/>
  <c r="BX6" i="19" s="1"/>
  <c r="BY6" i="19" s="1"/>
  <c r="BZ6" i="19" s="1"/>
  <c r="CA6" i="19" s="1"/>
  <c r="CB6" i="19" s="1"/>
  <c r="CC6" i="19" s="1"/>
  <c r="CD6" i="19" s="1"/>
  <c r="C16" i="22"/>
  <c r="AG37" i="19"/>
  <c r="AH38" i="19"/>
  <c r="AI39" i="19"/>
  <c r="AL42" i="19"/>
  <c r="AF36" i="19"/>
  <c r="AJ40" i="19"/>
  <c r="AK41" i="19"/>
  <c r="AM43" i="19"/>
  <c r="AN43" i="19"/>
  <c r="AH37" i="19"/>
  <c r="AJ39" i="19"/>
  <c r="AI38" i="19"/>
  <c r="AM42" i="19"/>
  <c r="AG36" i="19"/>
  <c r="AK40" i="19"/>
  <c r="AL41" i="19"/>
  <c r="AH36" i="19"/>
  <c r="AN42" i="19"/>
  <c r="AK39" i="19"/>
  <c r="AJ38" i="19"/>
  <c r="AL40" i="19"/>
  <c r="AI37" i="19"/>
  <c r="AM41" i="19"/>
  <c r="AO43" i="19"/>
  <c r="B10" i="11"/>
  <c r="A11" i="27" s="1"/>
  <c r="M16" i="19"/>
  <c r="P19" i="19"/>
  <c r="I12" i="19"/>
  <c r="H11" i="19"/>
  <c r="F9" i="19"/>
  <c r="J13" i="19"/>
  <c r="K14" i="19"/>
  <c r="O18" i="19"/>
  <c r="R21" i="19"/>
  <c r="L15" i="19"/>
  <c r="G10" i="19"/>
  <c r="Q20" i="19"/>
  <c r="E8" i="19"/>
  <c r="N17" i="19"/>
  <c r="S22" i="19"/>
  <c r="F8" i="19"/>
  <c r="G9" i="19"/>
  <c r="J12" i="19"/>
  <c r="K13" i="19"/>
  <c r="R20" i="19"/>
  <c r="P18" i="19"/>
  <c r="T22" i="19"/>
  <c r="Q19" i="19"/>
  <c r="L14" i="19"/>
  <c r="H10" i="19"/>
  <c r="I11" i="19"/>
  <c r="O17" i="19"/>
  <c r="N16" i="19"/>
  <c r="S21" i="19"/>
  <c r="P20" i="19"/>
  <c r="I13" i="19"/>
  <c r="M17" i="19"/>
  <c r="O19" i="19"/>
  <c r="F10" i="19"/>
  <c r="K15" i="19"/>
  <c r="G11" i="19"/>
  <c r="N18" i="19"/>
  <c r="E9" i="19"/>
  <c r="L16" i="19"/>
  <c r="R22" i="19"/>
  <c r="J14" i="19"/>
  <c r="Q21" i="19"/>
  <c r="H12" i="19"/>
  <c r="D8" i="19"/>
  <c r="I44" i="18"/>
  <c r="J39" i="18"/>
  <c r="I45" i="18"/>
  <c r="I41" i="18"/>
  <c r="I46" i="18"/>
  <c r="I43" i="18"/>
  <c r="I42" i="18"/>
  <c r="H47" i="18"/>
  <c r="H50" i="18" s="1"/>
  <c r="H53" i="18" s="1"/>
  <c r="T23" i="19"/>
  <c r="U23" i="19"/>
  <c r="S23" i="19"/>
  <c r="BF59" i="19" l="1"/>
  <c r="AW50" i="19"/>
  <c r="AY52" i="19"/>
  <c r="BK64" i="19"/>
  <c r="BD57" i="19"/>
  <c r="AU48" i="19"/>
  <c r="AT47" i="19"/>
  <c r="BN67" i="19"/>
  <c r="BM66" i="19"/>
  <c r="BE58" i="19"/>
  <c r="AX51" i="19"/>
  <c r="BL65" i="19"/>
  <c r="BI62" i="19"/>
  <c r="BC56" i="19"/>
  <c r="BA54" i="19"/>
  <c r="BH61" i="19"/>
  <c r="BB55" i="19"/>
  <c r="BG60" i="19"/>
  <c r="AZ53" i="19"/>
  <c r="BO68" i="19"/>
  <c r="BJ63" i="19"/>
  <c r="AS46" i="19"/>
  <c r="AV49" i="19"/>
  <c r="G8" i="19"/>
  <c r="AQ44" i="19"/>
  <c r="AR45" i="19"/>
  <c r="B11" i="11"/>
  <c r="A12" i="27" s="1"/>
  <c r="AO42" i="19"/>
  <c r="AJ37" i="19"/>
  <c r="AI36" i="19"/>
  <c r="AK38" i="19"/>
  <c r="AL39" i="19"/>
  <c r="AM40" i="19"/>
  <c r="AP43" i="19"/>
  <c r="AN41" i="19"/>
  <c r="F7" i="19"/>
  <c r="F69" i="19" s="1"/>
  <c r="E7" i="19"/>
  <c r="E69" i="19" s="1"/>
  <c r="D7" i="19"/>
  <c r="D69" i="19" s="1"/>
  <c r="C6" i="11" s="1"/>
  <c r="O16" i="19"/>
  <c r="T21" i="19"/>
  <c r="H9" i="19"/>
  <c r="J11" i="19"/>
  <c r="M14" i="19"/>
  <c r="K12" i="19"/>
  <c r="S20" i="19"/>
  <c r="R19" i="19"/>
  <c r="U22" i="19"/>
  <c r="Q18" i="19"/>
  <c r="P17" i="19"/>
  <c r="L13" i="19"/>
  <c r="I10" i="19"/>
  <c r="N15" i="19"/>
  <c r="I47" i="18"/>
  <c r="I50" i="18" s="1"/>
  <c r="I53" i="18" s="1"/>
  <c r="V23" i="19"/>
  <c r="W24" i="19"/>
  <c r="T24" i="19"/>
  <c r="V24" i="19"/>
  <c r="U24" i="19"/>
  <c r="K39" i="18"/>
  <c r="J44" i="18"/>
  <c r="J43" i="18"/>
  <c r="J45" i="18"/>
  <c r="J46" i="18"/>
  <c r="J42" i="18"/>
  <c r="J41" i="18"/>
  <c r="AZ52" i="19" l="1"/>
  <c r="AV48" i="19"/>
  <c r="BC55" i="19"/>
  <c r="BN66" i="19"/>
  <c r="BG59" i="19"/>
  <c r="AU47" i="19"/>
  <c r="BA53" i="19"/>
  <c r="AW49" i="19"/>
  <c r="BD56" i="19"/>
  <c r="BJ62" i="19"/>
  <c r="AX50" i="19"/>
  <c r="AT46" i="19"/>
  <c r="BO67" i="19"/>
  <c r="BL64" i="19"/>
  <c r="BE57" i="19"/>
  <c r="BK63" i="19"/>
  <c r="BM65" i="19"/>
  <c r="BB54" i="19"/>
  <c r="BF58" i="19"/>
  <c r="BH60" i="19"/>
  <c r="BI61" i="19"/>
  <c r="BP68" i="19"/>
  <c r="AY51" i="19"/>
  <c r="AR44" i="19"/>
  <c r="AS45" i="19"/>
  <c r="B7" i="27"/>
  <c r="B12" i="11"/>
  <c r="A13" i="27" s="1"/>
  <c r="AP42" i="19"/>
  <c r="AL38" i="19"/>
  <c r="AK37" i="19"/>
  <c r="AJ36" i="19"/>
  <c r="AN40" i="19"/>
  <c r="AM39" i="19"/>
  <c r="AO41" i="19"/>
  <c r="AQ43" i="19"/>
  <c r="G7" i="19"/>
  <c r="G69" i="19" s="1"/>
  <c r="L39" i="18"/>
  <c r="K45" i="18"/>
  <c r="K43" i="18"/>
  <c r="K44" i="18"/>
  <c r="K46" i="18"/>
  <c r="K42" i="18"/>
  <c r="K41" i="18"/>
  <c r="J47" i="18"/>
  <c r="J50" i="18" s="1"/>
  <c r="J53" i="18" s="1"/>
  <c r="W25" i="19"/>
  <c r="U25" i="19"/>
  <c r="V25" i="19"/>
  <c r="X25" i="19"/>
  <c r="Y25" i="19"/>
  <c r="L12" i="19"/>
  <c r="U21" i="19"/>
  <c r="S19" i="19"/>
  <c r="H8" i="19"/>
  <c r="J10" i="19"/>
  <c r="V22" i="19"/>
  <c r="K11" i="19"/>
  <c r="M13" i="19"/>
  <c r="R18" i="19"/>
  <c r="I9" i="19"/>
  <c r="Q17" i="19"/>
  <c r="N14" i="19"/>
  <c r="P16" i="19"/>
  <c r="T20" i="19"/>
  <c r="O15" i="19"/>
  <c r="W23" i="19"/>
  <c r="X24" i="19"/>
  <c r="N44" i="17"/>
  <c r="N45" i="17" s="1"/>
  <c r="N46" i="17" s="1"/>
  <c r="BM64" i="19" l="1"/>
  <c r="AY50" i="19"/>
  <c r="BF57" i="19"/>
  <c r="BA52" i="19"/>
  <c r="BC54" i="19"/>
  <c r="BD55" i="19"/>
  <c r="BG58" i="19"/>
  <c r="BQ68" i="19"/>
  <c r="BJ61" i="19"/>
  <c r="AW48" i="19"/>
  <c r="BP67" i="19"/>
  <c r="BE56" i="19"/>
  <c r="AV47" i="19"/>
  <c r="BN65" i="19"/>
  <c r="BL63" i="19"/>
  <c r="BB53" i="19"/>
  <c r="BH59" i="19"/>
  <c r="BK62" i="19"/>
  <c r="AZ51" i="19"/>
  <c r="AX49" i="19"/>
  <c r="AU46" i="19"/>
  <c r="BO66" i="19"/>
  <c r="BI60" i="19"/>
  <c r="AS44" i="19"/>
  <c r="AT45" i="19"/>
  <c r="B13" i="11"/>
  <c r="A14" i="27" s="1"/>
  <c r="Z25" i="19"/>
  <c r="AQ42" i="19"/>
  <c r="AK36" i="19"/>
  <c r="AN39" i="19"/>
  <c r="AO40" i="19"/>
  <c r="AM38" i="19"/>
  <c r="AL37" i="19"/>
  <c r="AP41" i="19"/>
  <c r="AR43" i="19"/>
  <c r="H7" i="19"/>
  <c r="H69" i="19" s="1"/>
  <c r="K47" i="18"/>
  <c r="K50" i="18" s="1"/>
  <c r="K53" i="18" s="1"/>
  <c r="M39" i="18"/>
  <c r="L45" i="18"/>
  <c r="L44" i="18"/>
  <c r="L46" i="18"/>
  <c r="L43" i="18"/>
  <c r="L42" i="18"/>
  <c r="L41" i="18"/>
  <c r="K10" i="19"/>
  <c r="U20" i="19"/>
  <c r="M12" i="19"/>
  <c r="L11" i="19"/>
  <c r="V21" i="19"/>
  <c r="J9" i="19"/>
  <c r="R17" i="19"/>
  <c r="N13" i="19"/>
  <c r="W22" i="19"/>
  <c r="S18" i="19"/>
  <c r="I8" i="19"/>
  <c r="Q16" i="19"/>
  <c r="T19" i="19"/>
  <c r="O14" i="19"/>
  <c r="P15" i="19"/>
  <c r="X23" i="19"/>
  <c r="Y24" i="19"/>
  <c r="Z26" i="19"/>
  <c r="Y26" i="19"/>
  <c r="W26" i="19"/>
  <c r="V26" i="19"/>
  <c r="AA26" i="19"/>
  <c r="X26" i="19"/>
  <c r="BA51" i="19" l="1"/>
  <c r="AV46" i="19"/>
  <c r="BN64" i="19"/>
  <c r="BB52" i="19"/>
  <c r="AW47" i="19"/>
  <c r="AX48" i="19"/>
  <c r="BQ67" i="19"/>
  <c r="BE55" i="19"/>
  <c r="BL62" i="19"/>
  <c r="BH58" i="19"/>
  <c r="BK61" i="19"/>
  <c r="BM63" i="19"/>
  <c r="BI59" i="19"/>
  <c r="BP66" i="19"/>
  <c r="BG57" i="19"/>
  <c r="AZ50" i="19"/>
  <c r="BO65" i="19"/>
  <c r="AY49" i="19"/>
  <c r="BJ60" i="19"/>
  <c r="BC53" i="19"/>
  <c r="BF56" i="19"/>
  <c r="BR68" i="19"/>
  <c r="BD54" i="19"/>
  <c r="V20" i="19"/>
  <c r="AT44" i="19"/>
  <c r="AU45" i="19"/>
  <c r="B14" i="11"/>
  <c r="A15" i="27" s="1"/>
  <c r="P14" i="19"/>
  <c r="N12" i="19"/>
  <c r="K9" i="19"/>
  <c r="S17" i="19"/>
  <c r="T18" i="19"/>
  <c r="J8" i="19"/>
  <c r="J7" i="19" s="1"/>
  <c r="Z24" i="19"/>
  <c r="Q15" i="19"/>
  <c r="AA25" i="19"/>
  <c r="AL36" i="19"/>
  <c r="AR42" i="19"/>
  <c r="AP40" i="19"/>
  <c r="AO39" i="19"/>
  <c r="AM37" i="19"/>
  <c r="AN38" i="19"/>
  <c r="AS43" i="19"/>
  <c r="AQ41" i="19"/>
  <c r="I7" i="19"/>
  <c r="AB26" i="19"/>
  <c r="Y23" i="19"/>
  <c r="O13" i="19"/>
  <c r="R16" i="19"/>
  <c r="X22" i="19"/>
  <c r="U19" i="19"/>
  <c r="M11" i="19"/>
  <c r="W21" i="19"/>
  <c r="L10" i="19"/>
  <c r="W27" i="19"/>
  <c r="AB27" i="19"/>
  <c r="Y27" i="19"/>
  <c r="AC27" i="19"/>
  <c r="AA27" i="19"/>
  <c r="X27" i="19"/>
  <c r="Z27" i="19"/>
  <c r="L47" i="18"/>
  <c r="L50" i="18" s="1"/>
  <c r="L53" i="18" s="1"/>
  <c r="M45" i="18"/>
  <c r="M44" i="18"/>
  <c r="N39" i="18"/>
  <c r="M43" i="18"/>
  <c r="M46" i="18"/>
  <c r="M42" i="18"/>
  <c r="M41" i="18"/>
  <c r="BA50" i="19" l="1"/>
  <c r="AW46" i="19"/>
  <c r="AY48" i="19"/>
  <c r="BR67" i="19"/>
  <c r="BH57" i="19"/>
  <c r="BO64" i="19"/>
  <c r="BC52" i="19"/>
  <c r="AX47" i="19"/>
  <c r="BS68" i="19"/>
  <c r="BI58" i="19"/>
  <c r="BM62" i="19"/>
  <c r="BB51" i="19"/>
  <c r="BQ66" i="19"/>
  <c r="BP65" i="19"/>
  <c r="BK60" i="19"/>
  <c r="BJ59" i="19"/>
  <c r="BG56" i="19"/>
  <c r="BN63" i="19"/>
  <c r="BF55" i="19"/>
  <c r="BE54" i="19"/>
  <c r="AZ49" i="19"/>
  <c r="BL61" i="19"/>
  <c r="BD53" i="19"/>
  <c r="AV45" i="19"/>
  <c r="AU44" i="19"/>
  <c r="I69" i="19"/>
  <c r="J69" i="19"/>
  <c r="B15" i="11"/>
  <c r="A16" i="27" s="1"/>
  <c r="AD27" i="19"/>
  <c r="AS42" i="19"/>
  <c r="AN37" i="19"/>
  <c r="AQ40" i="19"/>
  <c r="AO38" i="19"/>
  <c r="AP39" i="19"/>
  <c r="AM36" i="19"/>
  <c r="AT43" i="19"/>
  <c r="AR41" i="19"/>
  <c r="M47" i="18"/>
  <c r="M50" i="18" s="1"/>
  <c r="M53" i="18" s="1"/>
  <c r="O39" i="18"/>
  <c r="N45" i="18"/>
  <c r="N43" i="18"/>
  <c r="N44" i="18"/>
  <c r="N41" i="18"/>
  <c r="N46" i="18"/>
  <c r="N42" i="18"/>
  <c r="AB28" i="19"/>
  <c r="AA28" i="19"/>
  <c r="Y28" i="19"/>
  <c r="AE28" i="19"/>
  <c r="Z28" i="19"/>
  <c r="AD28" i="19"/>
  <c r="X28" i="19"/>
  <c r="AC28" i="19"/>
  <c r="M10" i="19"/>
  <c r="L9" i="19"/>
  <c r="W20" i="19"/>
  <c r="O12" i="19"/>
  <c r="N11" i="19"/>
  <c r="S16" i="19"/>
  <c r="X21" i="19"/>
  <c r="P13" i="19"/>
  <c r="V19" i="19"/>
  <c r="R15" i="19"/>
  <c r="K8" i="19"/>
  <c r="U18" i="19"/>
  <c r="Q14" i="19"/>
  <c r="T17" i="19"/>
  <c r="Y22" i="19"/>
  <c r="Z23" i="19"/>
  <c r="AA24" i="19"/>
  <c r="AB25" i="19"/>
  <c r="AC26" i="19"/>
  <c r="BC51" i="19" l="1"/>
  <c r="BK59" i="19"/>
  <c r="BH56" i="19"/>
  <c r="AX46" i="19"/>
  <c r="BD52" i="19"/>
  <c r="BF54" i="19"/>
  <c r="AY47" i="19"/>
  <c r="AZ48" i="19"/>
  <c r="BL60" i="19"/>
  <c r="BI57" i="19"/>
  <c r="BQ65" i="19"/>
  <c r="BE53" i="19"/>
  <c r="BM61" i="19"/>
  <c r="BA49" i="19"/>
  <c r="BN62" i="19"/>
  <c r="BS67" i="19"/>
  <c r="BG55" i="19"/>
  <c r="BR66" i="19"/>
  <c r="BB50" i="19"/>
  <c r="BJ58" i="19"/>
  <c r="BT68" i="19"/>
  <c r="BO63" i="19"/>
  <c r="BP64" i="19"/>
  <c r="L8" i="19"/>
  <c r="L7" i="19" s="1"/>
  <c r="AV44" i="19"/>
  <c r="AW45" i="19"/>
  <c r="B16" i="11"/>
  <c r="A17" i="27" s="1"/>
  <c r="P12" i="19"/>
  <c r="AD26" i="19"/>
  <c r="V18" i="19"/>
  <c r="U17" i="19"/>
  <c r="Q13" i="19"/>
  <c r="AC25" i="19"/>
  <c r="R14" i="19"/>
  <c r="W19" i="19"/>
  <c r="X20" i="19"/>
  <c r="AE27" i="19"/>
  <c r="AB24" i="19"/>
  <c r="Z22" i="19"/>
  <c r="S15" i="19"/>
  <c r="Y21" i="19"/>
  <c r="AF28" i="19"/>
  <c r="AA23" i="19"/>
  <c r="N10" i="19"/>
  <c r="T16" i="19"/>
  <c r="O11" i="19"/>
  <c r="M9" i="19"/>
  <c r="AO37" i="19"/>
  <c r="AS41" i="19"/>
  <c r="AN36" i="19"/>
  <c r="AR40" i="19"/>
  <c r="AP38" i="19"/>
  <c r="AT42" i="19"/>
  <c r="AQ39" i="19"/>
  <c r="AU43" i="19"/>
  <c r="K7" i="19"/>
  <c r="N47" i="18"/>
  <c r="N50" i="18" s="1"/>
  <c r="N53" i="18" s="1"/>
  <c r="AF29" i="19"/>
  <c r="AC29" i="19"/>
  <c r="AD29" i="19"/>
  <c r="AB29" i="19"/>
  <c r="AA29" i="19"/>
  <c r="AE29" i="19"/>
  <c r="AG29" i="19"/>
  <c r="Y29" i="19"/>
  <c r="Z29" i="19"/>
  <c r="P39" i="18"/>
  <c r="O44" i="18"/>
  <c r="O46" i="18"/>
  <c r="O41" i="18"/>
  <c r="O45" i="18"/>
  <c r="O43" i="18"/>
  <c r="O42" i="18"/>
  <c r="BK58" i="19" l="1"/>
  <c r="BN61" i="19"/>
  <c r="BC50" i="19"/>
  <c r="BB49" i="19"/>
  <c r="AY46" i="19"/>
  <c r="BJ57" i="19"/>
  <c r="BE52" i="19"/>
  <c r="BG54" i="19"/>
  <c r="BT67" i="19"/>
  <c r="BH55" i="19"/>
  <c r="BA48" i="19"/>
  <c r="BU68" i="19"/>
  <c r="BI56" i="19"/>
  <c r="BD51" i="19"/>
  <c r="BR65" i="19"/>
  <c r="BL59" i="19"/>
  <c r="BQ64" i="19"/>
  <c r="BP63" i="19"/>
  <c r="BM60" i="19"/>
  <c r="BO62" i="19"/>
  <c r="BS66" i="19"/>
  <c r="BF53" i="19"/>
  <c r="AZ47" i="19"/>
  <c r="V17" i="19"/>
  <c r="AW44" i="19"/>
  <c r="AX45" i="19"/>
  <c r="L69" i="19"/>
  <c r="C14" i="11" s="1"/>
  <c r="B15" i="27" s="1"/>
  <c r="C15" i="27" s="1"/>
  <c r="D15" i="27" s="1"/>
  <c r="G15" i="27" s="1"/>
  <c r="H15" i="27" s="1"/>
  <c r="K69" i="19"/>
  <c r="B17" i="11"/>
  <c r="A18" i="27" s="1"/>
  <c r="T15" i="19"/>
  <c r="AD25" i="19"/>
  <c r="N9" i="19"/>
  <c r="W18" i="19"/>
  <c r="Z21" i="19"/>
  <c r="AF27" i="19"/>
  <c r="O10" i="19"/>
  <c r="X19" i="19"/>
  <c r="Y20" i="19"/>
  <c r="AC24" i="19"/>
  <c r="AE26" i="19"/>
  <c r="S14" i="19"/>
  <c r="AG28" i="19"/>
  <c r="AT41" i="19"/>
  <c r="AO36" i="19"/>
  <c r="AS40" i="19"/>
  <c r="AP37" i="19"/>
  <c r="AR39" i="19"/>
  <c r="AU42" i="19"/>
  <c r="AQ38" i="19"/>
  <c r="AV43" i="19"/>
  <c r="U16" i="19"/>
  <c r="M8" i="19"/>
  <c r="P11" i="19"/>
  <c r="AB23" i="19"/>
  <c r="R13" i="19"/>
  <c r="AA22" i="19"/>
  <c r="Q12" i="19"/>
  <c r="AH29" i="19"/>
  <c r="AE30" i="19"/>
  <c r="AF30" i="19"/>
  <c r="AA30" i="19"/>
  <c r="AC30" i="19"/>
  <c r="AG30" i="19"/>
  <c r="AH30" i="19"/>
  <c r="Z30" i="19"/>
  <c r="AI30" i="19"/>
  <c r="AB30" i="19"/>
  <c r="AD30" i="19"/>
  <c r="Q39" i="18"/>
  <c r="P45" i="18"/>
  <c r="P44" i="18"/>
  <c r="P41" i="18"/>
  <c r="P46" i="18"/>
  <c r="P43" i="18"/>
  <c r="P42" i="18"/>
  <c r="O47" i="18"/>
  <c r="O50" i="18" s="1"/>
  <c r="O53" i="18" s="1"/>
  <c r="BP62" i="19" l="1"/>
  <c r="BL58" i="19"/>
  <c r="BJ56" i="19"/>
  <c r="BE51" i="19"/>
  <c r="BM59" i="19"/>
  <c r="BS65" i="19"/>
  <c r="AZ46" i="19"/>
  <c r="BK57" i="19"/>
  <c r="BR64" i="19"/>
  <c r="BF52" i="19"/>
  <c r="BN60" i="19"/>
  <c r="BQ63" i="19"/>
  <c r="BO61" i="19"/>
  <c r="BU67" i="19"/>
  <c r="BG53" i="19"/>
  <c r="BA47" i="19"/>
  <c r="BD50" i="19"/>
  <c r="BC49" i="19"/>
  <c r="BT66" i="19"/>
  <c r="BI55" i="19"/>
  <c r="BV68" i="19"/>
  <c r="BB48" i="19"/>
  <c r="BH54" i="19"/>
  <c r="AX44" i="19"/>
  <c r="AY45" i="19"/>
  <c r="D14" i="11"/>
  <c r="B18" i="11"/>
  <c r="A19" i="27" s="1"/>
  <c r="AJ30" i="19"/>
  <c r="AV42" i="19"/>
  <c r="AU41" i="19"/>
  <c r="AT40" i="19"/>
  <c r="AQ37" i="19"/>
  <c r="AP36" i="19"/>
  <c r="AS39" i="19"/>
  <c r="AR38" i="19"/>
  <c r="AW43" i="19"/>
  <c r="M7" i="19"/>
  <c r="P47" i="18"/>
  <c r="P50" i="18" s="1"/>
  <c r="P53" i="18" s="1"/>
  <c r="AF31" i="19"/>
  <c r="AB31" i="19"/>
  <c r="AC31" i="19"/>
  <c r="AH31" i="19"/>
  <c r="AJ31" i="19"/>
  <c r="AD31" i="19"/>
  <c r="AA31" i="19"/>
  <c r="AK31" i="19"/>
  <c r="AG31" i="19"/>
  <c r="AI31" i="19"/>
  <c r="AE31" i="19"/>
  <c r="R39" i="18"/>
  <c r="Q45" i="18"/>
  <c r="Q41" i="18"/>
  <c r="Q44" i="18"/>
  <c r="Q46" i="18"/>
  <c r="Q42" i="18"/>
  <c r="Q43" i="18"/>
  <c r="R12" i="19"/>
  <c r="P10" i="19"/>
  <c r="N8" i="19"/>
  <c r="V16" i="19"/>
  <c r="AA21" i="19"/>
  <c r="Z20" i="19"/>
  <c r="Q11" i="19"/>
  <c r="O9" i="19"/>
  <c r="AB22" i="19"/>
  <c r="U15" i="19"/>
  <c r="S13" i="19"/>
  <c r="Y19" i="19"/>
  <c r="T14" i="19"/>
  <c r="W17" i="19"/>
  <c r="X18" i="19"/>
  <c r="AC23" i="19"/>
  <c r="AD24" i="19"/>
  <c r="AE25" i="19"/>
  <c r="AF26" i="19"/>
  <c r="AG27" i="19"/>
  <c r="AH28" i="19"/>
  <c r="AI29" i="19"/>
  <c r="BF51" i="19" l="1"/>
  <c r="BJ55" i="19"/>
  <c r="BU66" i="19"/>
  <c r="BE50" i="19"/>
  <c r="BT65" i="19"/>
  <c r="BS64" i="19"/>
  <c r="BD49" i="19"/>
  <c r="BI54" i="19"/>
  <c r="BO60" i="19"/>
  <c r="BW68" i="19"/>
  <c r="BG52" i="19"/>
  <c r="BC48" i="19"/>
  <c r="BQ62" i="19"/>
  <c r="BN59" i="19"/>
  <c r="BP61" i="19"/>
  <c r="BA46" i="19"/>
  <c r="BB47" i="19"/>
  <c r="BV67" i="19"/>
  <c r="BH53" i="19"/>
  <c r="BK56" i="19"/>
  <c r="BR63" i="19"/>
  <c r="BM58" i="19"/>
  <c r="BL57" i="19"/>
  <c r="AK30" i="19"/>
  <c r="AZ45" i="19"/>
  <c r="AY44" i="19"/>
  <c r="M69" i="19"/>
  <c r="C15" i="11" s="1"/>
  <c r="B16" i="27" s="1"/>
  <c r="C16" i="27" s="1"/>
  <c r="D16" i="27" s="1"/>
  <c r="G16" i="27" s="1"/>
  <c r="H16" i="27" s="1"/>
  <c r="B19" i="11"/>
  <c r="A20" i="27" s="1"/>
  <c r="P9" i="19"/>
  <c r="AW42" i="19"/>
  <c r="AR37" i="19"/>
  <c r="AV41" i="19"/>
  <c r="AU40" i="19"/>
  <c r="AQ36" i="19"/>
  <c r="AS38" i="19"/>
  <c r="AT39" i="19"/>
  <c r="AX43" i="19"/>
  <c r="N7" i="19"/>
  <c r="AE24" i="19"/>
  <c r="AL31" i="19"/>
  <c r="Y18" i="19"/>
  <c r="V15" i="19"/>
  <c r="AG26" i="19"/>
  <c r="R11" i="19"/>
  <c r="AI28" i="19"/>
  <c r="AD23" i="19"/>
  <c r="T13" i="19"/>
  <c r="AH27" i="19"/>
  <c r="AC22" i="19"/>
  <c r="U14" i="19"/>
  <c r="AJ29" i="19"/>
  <c r="AF25" i="19"/>
  <c r="Q10" i="19"/>
  <c r="X17" i="19"/>
  <c r="AA20" i="19"/>
  <c r="W16" i="19"/>
  <c r="AB21" i="19"/>
  <c r="S12" i="19"/>
  <c r="Z19" i="19"/>
  <c r="O8" i="19"/>
  <c r="O7" i="19" s="1"/>
  <c r="S39" i="18"/>
  <c r="R45" i="18"/>
  <c r="R44" i="18"/>
  <c r="R46" i="18"/>
  <c r="R42" i="18"/>
  <c r="R41" i="18"/>
  <c r="R43" i="18"/>
  <c r="Q47" i="18"/>
  <c r="Q50" i="18" s="1"/>
  <c r="Q53" i="18" s="1"/>
  <c r="AI32" i="19"/>
  <c r="AK32" i="19"/>
  <c r="AM32" i="19"/>
  <c r="AB32" i="19"/>
  <c r="AD32" i="19"/>
  <c r="AF32" i="19"/>
  <c r="AE32" i="19"/>
  <c r="AC32" i="19"/>
  <c r="AG32" i="19"/>
  <c r="AH32" i="19"/>
  <c r="AJ32" i="19"/>
  <c r="AL32" i="19"/>
  <c r="BH52" i="19" l="1"/>
  <c r="BD48" i="19"/>
  <c r="BK55" i="19"/>
  <c r="BG51" i="19"/>
  <c r="BV66" i="19"/>
  <c r="BC47" i="19"/>
  <c r="BR62" i="19"/>
  <c r="BW67" i="19"/>
  <c r="BM57" i="19"/>
  <c r="BX68" i="19"/>
  <c r="BI53" i="19"/>
  <c r="BE49" i="19"/>
  <c r="BO59" i="19"/>
  <c r="BN58" i="19"/>
  <c r="BB46" i="19"/>
  <c r="BL56" i="19"/>
  <c r="BP60" i="19"/>
  <c r="BJ54" i="19"/>
  <c r="BF50" i="19"/>
  <c r="BQ61" i="19"/>
  <c r="BU65" i="19"/>
  <c r="BS63" i="19"/>
  <c r="BT64" i="19"/>
  <c r="AZ44" i="19"/>
  <c r="BA45" i="19"/>
  <c r="D15" i="11"/>
  <c r="N69" i="19"/>
  <c r="C16" i="11" s="1"/>
  <c r="B17" i="27" s="1"/>
  <c r="C17" i="27" s="1"/>
  <c r="D17" i="27" s="1"/>
  <c r="B20" i="11"/>
  <c r="A21" i="27" s="1"/>
  <c r="AN32" i="19"/>
  <c r="AX42" i="19"/>
  <c r="AR36" i="19"/>
  <c r="AV40" i="19"/>
  <c r="AU39" i="19"/>
  <c r="AS37" i="19"/>
  <c r="AT38" i="19"/>
  <c r="AY43" i="19"/>
  <c r="AW41" i="19"/>
  <c r="O69" i="19"/>
  <c r="C17" i="11" s="1"/>
  <c r="B18" i="27" s="1"/>
  <c r="C18" i="27" s="1"/>
  <c r="D18" i="27" s="1"/>
  <c r="AF33" i="19"/>
  <c r="AE33" i="19"/>
  <c r="AN33" i="19"/>
  <c r="AJ33" i="19"/>
  <c r="AC33" i="19"/>
  <c r="AM33" i="19"/>
  <c r="AO33" i="19"/>
  <c r="AK33" i="19"/>
  <c r="AD33" i="19"/>
  <c r="AH33" i="19"/>
  <c r="AG33" i="19"/>
  <c r="AI33" i="19"/>
  <c r="AL33" i="19"/>
  <c r="R47" i="18"/>
  <c r="R50" i="18" s="1"/>
  <c r="R53" i="18" s="1"/>
  <c r="S11" i="19"/>
  <c r="T12" i="19"/>
  <c r="AB20" i="19"/>
  <c r="AC21" i="19"/>
  <c r="Q9" i="19"/>
  <c r="P8" i="19"/>
  <c r="P7" i="19" s="1"/>
  <c r="R10" i="19"/>
  <c r="X16" i="19"/>
  <c r="AD22" i="19"/>
  <c r="Y17" i="19"/>
  <c r="Z18" i="19"/>
  <c r="W15" i="19"/>
  <c r="U13" i="19"/>
  <c r="AA19" i="19"/>
  <c r="V14" i="19"/>
  <c r="AE23" i="19"/>
  <c r="AF24" i="19"/>
  <c r="AG25" i="19"/>
  <c r="AH26" i="19"/>
  <c r="AI27" i="19"/>
  <c r="AJ28" i="19"/>
  <c r="AK29" i="19"/>
  <c r="AL30" i="19"/>
  <c r="AM31" i="19"/>
  <c r="S45" i="18"/>
  <c r="T39" i="18"/>
  <c r="S41" i="18"/>
  <c r="S44" i="18"/>
  <c r="S46" i="18"/>
  <c r="S43" i="18"/>
  <c r="S42" i="18"/>
  <c r="BX67" i="19" l="1"/>
  <c r="BL55" i="19"/>
  <c r="BO58" i="19"/>
  <c r="BE48" i="19"/>
  <c r="BN57" i="19"/>
  <c r="BU64" i="19"/>
  <c r="BC46" i="19"/>
  <c r="BI52" i="19"/>
  <c r="BQ60" i="19"/>
  <c r="BR61" i="19"/>
  <c r="BH51" i="19"/>
  <c r="BM56" i="19"/>
  <c r="BJ53" i="19"/>
  <c r="BW66" i="19"/>
  <c r="BS62" i="19"/>
  <c r="BT63" i="19"/>
  <c r="BK54" i="19"/>
  <c r="BV65" i="19"/>
  <c r="BG50" i="19"/>
  <c r="BP59" i="19"/>
  <c r="BD47" i="19"/>
  <c r="BF49" i="19"/>
  <c r="BY68" i="19"/>
  <c r="BB45" i="19"/>
  <c r="BA44" i="19"/>
  <c r="G17" i="27"/>
  <c r="H17" i="27" s="1"/>
  <c r="G18" i="27"/>
  <c r="H18" i="27" s="1"/>
  <c r="D16" i="11"/>
  <c r="B21" i="11"/>
  <c r="A22" i="27" s="1"/>
  <c r="D17" i="11"/>
  <c r="AP33" i="19"/>
  <c r="AY42" i="19"/>
  <c r="AW40" i="19"/>
  <c r="AU38" i="19"/>
  <c r="AT37" i="19"/>
  <c r="AS36" i="19"/>
  <c r="AV39" i="19"/>
  <c r="AZ43" i="19"/>
  <c r="AX41" i="19"/>
  <c r="AK34" i="19"/>
  <c r="AG34" i="19"/>
  <c r="AH34" i="19"/>
  <c r="AL34" i="19"/>
  <c r="AO34" i="19"/>
  <c r="AJ34" i="19"/>
  <c r="AE34" i="19"/>
  <c r="AN34" i="19"/>
  <c r="AM34" i="19"/>
  <c r="AF34" i="19"/>
  <c r="AD34" i="19"/>
  <c r="AI34" i="19"/>
  <c r="AQ34" i="19"/>
  <c r="AP34" i="19"/>
  <c r="S47" i="18"/>
  <c r="S50" i="18" s="1"/>
  <c r="S53" i="18" s="1"/>
  <c r="U39" i="18"/>
  <c r="T41" i="18"/>
  <c r="T45" i="18"/>
  <c r="T44" i="18"/>
  <c r="T46" i="18"/>
  <c r="T42" i="18"/>
  <c r="T43" i="18"/>
  <c r="P69" i="19"/>
  <c r="C18" i="11" s="1"/>
  <c r="B19" i="27" s="1"/>
  <c r="C19" i="27" s="1"/>
  <c r="D19" i="27" s="1"/>
  <c r="R9" i="19"/>
  <c r="Z17" i="19"/>
  <c r="AD21" i="19"/>
  <c r="AB19" i="19"/>
  <c r="Q8" i="19"/>
  <c r="Q7" i="19" s="1"/>
  <c r="AC20" i="19"/>
  <c r="U12" i="19"/>
  <c r="T11" i="19"/>
  <c r="W14" i="19"/>
  <c r="S10" i="19"/>
  <c r="V13" i="19"/>
  <c r="AA18" i="19"/>
  <c r="Y16" i="19"/>
  <c r="X15" i="19"/>
  <c r="AE22" i="19"/>
  <c r="AF23" i="19"/>
  <c r="AG24" i="19"/>
  <c r="AH25" i="19"/>
  <c r="AI26" i="19"/>
  <c r="AJ27" i="19"/>
  <c r="AK28" i="19"/>
  <c r="AL29" i="19"/>
  <c r="AM30" i="19"/>
  <c r="AN31" i="19"/>
  <c r="AO32" i="19"/>
  <c r="BD46" i="19" l="1"/>
  <c r="BJ52" i="19"/>
  <c r="BT62" i="19"/>
  <c r="BF48" i="19"/>
  <c r="BS61" i="19"/>
  <c r="BP58" i="19"/>
  <c r="BQ59" i="19"/>
  <c r="BN56" i="19"/>
  <c r="BI51" i="19"/>
  <c r="BM55" i="19"/>
  <c r="BW65" i="19"/>
  <c r="BO57" i="19"/>
  <c r="BV64" i="19"/>
  <c r="BE47" i="19"/>
  <c r="BG49" i="19"/>
  <c r="BL54" i="19"/>
  <c r="BH50" i="19"/>
  <c r="BR60" i="19"/>
  <c r="BY67" i="19"/>
  <c r="BX66" i="19"/>
  <c r="BU63" i="19"/>
  <c r="BZ68" i="19"/>
  <c r="BK53" i="19"/>
  <c r="BC45" i="19"/>
  <c r="BB44" i="19"/>
  <c r="G19" i="27"/>
  <c r="H19" i="27" s="1"/>
  <c r="B22" i="11"/>
  <c r="A23" i="27" s="1"/>
  <c r="D18" i="11"/>
  <c r="AR34" i="19"/>
  <c r="AZ42" i="19"/>
  <c r="AU37" i="19"/>
  <c r="AT36" i="19"/>
  <c r="AV38" i="19"/>
  <c r="AX40" i="19"/>
  <c r="AW39" i="19"/>
  <c r="BA43" i="19"/>
  <c r="AY41" i="19"/>
  <c r="Q69" i="19"/>
  <c r="C19" i="11" s="1"/>
  <c r="B20" i="27" s="1"/>
  <c r="C20" i="27" s="1"/>
  <c r="D20" i="27" s="1"/>
  <c r="AM35" i="19"/>
  <c r="AO35" i="19"/>
  <c r="AR35" i="19"/>
  <c r="AP35" i="19"/>
  <c r="AI35" i="19"/>
  <c r="AQ35" i="19"/>
  <c r="AF35" i="19"/>
  <c r="AN35" i="19"/>
  <c r="AL35" i="19"/>
  <c r="AE35" i="19"/>
  <c r="AS35" i="19"/>
  <c r="AJ35" i="19"/>
  <c r="AK35" i="19"/>
  <c r="AG35" i="19"/>
  <c r="AH35" i="19"/>
  <c r="V12" i="19"/>
  <c r="T10" i="19"/>
  <c r="AD20" i="19"/>
  <c r="R8" i="19"/>
  <c r="R7" i="19" s="1"/>
  <c r="C7" i="26" s="1"/>
  <c r="D7" i="26" s="1"/>
  <c r="E7" i="26" s="1"/>
  <c r="Z16" i="19"/>
  <c r="S9" i="19"/>
  <c r="U11" i="19"/>
  <c r="AC19" i="19"/>
  <c r="AE21" i="19"/>
  <c r="X14" i="19"/>
  <c r="W13" i="19"/>
  <c r="AA17" i="19"/>
  <c r="Y15" i="19"/>
  <c r="AF22" i="19"/>
  <c r="AB18" i="19"/>
  <c r="AG23" i="19"/>
  <c r="AH24" i="19"/>
  <c r="AI25" i="19"/>
  <c r="AJ26" i="19"/>
  <c r="AK27" i="19"/>
  <c r="AL28" i="19"/>
  <c r="AM29" i="19"/>
  <c r="AN30" i="19"/>
  <c r="AO31" i="19"/>
  <c r="AP32" i="19"/>
  <c r="AQ33" i="19"/>
  <c r="T47" i="18"/>
  <c r="T50" i="18" s="1"/>
  <c r="T53" i="18" s="1"/>
  <c r="U45" i="18"/>
  <c r="V39" i="18"/>
  <c r="U44" i="18"/>
  <c r="U41" i="18"/>
  <c r="U43" i="18"/>
  <c r="U46" i="18"/>
  <c r="U42" i="18"/>
  <c r="BW64" i="19" l="1"/>
  <c r="BM54" i="19"/>
  <c r="BZ67" i="19"/>
  <c r="BQ58" i="19"/>
  <c r="BV63" i="19"/>
  <c r="BF47" i="19"/>
  <c r="BK52" i="19"/>
  <c r="BU62" i="19"/>
  <c r="BY66" i="19"/>
  <c r="BG48" i="19"/>
  <c r="BR59" i="19"/>
  <c r="BO56" i="19"/>
  <c r="BJ51" i="19"/>
  <c r="BI50" i="19"/>
  <c r="BX65" i="19"/>
  <c r="BP57" i="19"/>
  <c r="BE46" i="19"/>
  <c r="CA68" i="19"/>
  <c r="BS60" i="19"/>
  <c r="BH49" i="19"/>
  <c r="BT61" i="19"/>
  <c r="BL53" i="19"/>
  <c r="BN55" i="19"/>
  <c r="BC44" i="19"/>
  <c r="BD45" i="19"/>
  <c r="G20" i="27"/>
  <c r="H20" i="27" s="1"/>
  <c r="G7" i="26"/>
  <c r="B23" i="11"/>
  <c r="A24" i="27" s="1"/>
  <c r="D19" i="11"/>
  <c r="BA42" i="19"/>
  <c r="AX39" i="19"/>
  <c r="AU36" i="19"/>
  <c r="AV37" i="19"/>
  <c r="AY40" i="19"/>
  <c r="AW38" i="19"/>
  <c r="AZ41" i="19"/>
  <c r="BB43" i="19"/>
  <c r="U47" i="18"/>
  <c r="U50" i="18" s="1"/>
  <c r="U53" i="18" s="1"/>
  <c r="T9" i="19"/>
  <c r="X13" i="19"/>
  <c r="S8" i="19"/>
  <c r="S7" i="19" s="1"/>
  <c r="AB17" i="19"/>
  <c r="W12" i="19"/>
  <c r="AE20" i="19"/>
  <c r="V11" i="19"/>
  <c r="AF21" i="19"/>
  <c r="Z15" i="19"/>
  <c r="AA16" i="19"/>
  <c r="AD19" i="19"/>
  <c r="AC18" i="19"/>
  <c r="U10" i="19"/>
  <c r="Y14" i="19"/>
  <c r="AG22" i="19"/>
  <c r="AH23" i="19"/>
  <c r="AI24" i="19"/>
  <c r="AJ25" i="19"/>
  <c r="AK26" i="19"/>
  <c r="AL27" i="19"/>
  <c r="AM28" i="19"/>
  <c r="AN29" i="19"/>
  <c r="AO30" i="19"/>
  <c r="AP31" i="19"/>
  <c r="AQ32" i="19"/>
  <c r="AR33" i="19"/>
  <c r="AS34" i="19"/>
  <c r="R69" i="19"/>
  <c r="C20" i="11" s="1"/>
  <c r="B21" i="27" s="1"/>
  <c r="C21" i="27" s="1"/>
  <c r="D21" i="27" s="1"/>
  <c r="G21" i="27" s="1"/>
  <c r="W39" i="18"/>
  <c r="V45" i="18"/>
  <c r="V44" i="18"/>
  <c r="V41" i="18"/>
  <c r="V46" i="18"/>
  <c r="V43" i="18"/>
  <c r="V42" i="18"/>
  <c r="AT35" i="19"/>
  <c r="CA67" i="19" l="1"/>
  <c r="BF46" i="19"/>
  <c r="BG47" i="19"/>
  <c r="BL52" i="19"/>
  <c r="BH48" i="19"/>
  <c r="BO55" i="19"/>
  <c r="BK51" i="19"/>
  <c r="BZ66" i="19"/>
  <c r="CB68" i="19"/>
  <c r="BT60" i="19"/>
  <c r="BX64" i="19"/>
  <c r="BU61" i="19"/>
  <c r="BW63" i="19"/>
  <c r="BY65" i="19"/>
  <c r="BM53" i="19"/>
  <c r="BQ57" i="19"/>
  <c r="BS59" i="19"/>
  <c r="BP56" i="19"/>
  <c r="BV62" i="19"/>
  <c r="BR58" i="19"/>
  <c r="BN54" i="19"/>
  <c r="BJ50" i="19"/>
  <c r="BI49" i="19"/>
  <c r="Y13" i="19"/>
  <c r="BD44" i="19"/>
  <c r="BE45" i="19"/>
  <c r="C8" i="26"/>
  <c r="D8" i="26" s="1"/>
  <c r="H21" i="27"/>
  <c r="B24" i="11"/>
  <c r="A25" i="27" s="1"/>
  <c r="D20" i="11"/>
  <c r="AQ31" i="19"/>
  <c r="AM27" i="19"/>
  <c r="AN28" i="19"/>
  <c r="AJ24" i="19"/>
  <c r="AE19" i="19"/>
  <c r="W11" i="19"/>
  <c r="Z14" i="19"/>
  <c r="AI23" i="19"/>
  <c r="AH22" i="19"/>
  <c r="AF20" i="19"/>
  <c r="X12" i="19"/>
  <c r="AR32" i="19"/>
  <c r="AU35" i="19"/>
  <c r="AW37" i="19"/>
  <c r="BB42" i="19"/>
  <c r="AX38" i="19"/>
  <c r="AY39" i="19"/>
  <c r="AV36" i="19"/>
  <c r="AZ40" i="19"/>
  <c r="BC43" i="19"/>
  <c r="BA41" i="19"/>
  <c r="AT34" i="19"/>
  <c r="AP30" i="19"/>
  <c r="AL26" i="19"/>
  <c r="AC17" i="19"/>
  <c r="AA15" i="19"/>
  <c r="AG21" i="19"/>
  <c r="AB16" i="19"/>
  <c r="AS33" i="19"/>
  <c r="AO29" i="19"/>
  <c r="AK25" i="19"/>
  <c r="V10" i="19"/>
  <c r="AD18" i="19"/>
  <c r="U9" i="19"/>
  <c r="T8" i="19"/>
  <c r="T7" i="19" s="1"/>
  <c r="V47" i="18"/>
  <c r="V50" i="18" s="1"/>
  <c r="V53" i="18" s="1"/>
  <c r="S69" i="19"/>
  <c r="C21" i="11" s="1"/>
  <c r="B22" i="27" s="1"/>
  <c r="C22" i="27" s="1"/>
  <c r="D22" i="27" s="1"/>
  <c r="G22" i="27" s="1"/>
  <c r="W45" i="18"/>
  <c r="X39" i="18"/>
  <c r="W44" i="18"/>
  <c r="W41" i="18"/>
  <c r="W46" i="18"/>
  <c r="W43" i="18"/>
  <c r="W42" i="18"/>
  <c r="BY64" i="19" l="1"/>
  <c r="BK50" i="19"/>
  <c r="BG46" i="19"/>
  <c r="BO54" i="19"/>
  <c r="BM52" i="19"/>
  <c r="CB67" i="19"/>
  <c r="BP55" i="19"/>
  <c r="BI48" i="19"/>
  <c r="BH47" i="19"/>
  <c r="BX63" i="19"/>
  <c r="BQ56" i="19"/>
  <c r="BJ49" i="19"/>
  <c r="BU60" i="19"/>
  <c r="BZ65" i="19"/>
  <c r="BW62" i="19"/>
  <c r="BS58" i="19"/>
  <c r="BN53" i="19"/>
  <c r="BL51" i="19"/>
  <c r="BR57" i="19"/>
  <c r="BT59" i="19"/>
  <c r="BV61" i="19"/>
  <c r="CA66" i="19"/>
  <c r="CC68" i="19"/>
  <c r="E8" i="26"/>
  <c r="G8" i="26" s="1"/>
  <c r="BE44" i="19"/>
  <c r="BF45" i="19"/>
  <c r="F8" i="26"/>
  <c r="H8" i="26" s="1"/>
  <c r="F7" i="26"/>
  <c r="H7" i="26" s="1"/>
  <c r="C9" i="26"/>
  <c r="D9" i="26" s="1"/>
  <c r="H22" i="27"/>
  <c r="B25" i="11"/>
  <c r="A26" i="27" s="1"/>
  <c r="D21" i="11"/>
  <c r="BC42" i="19"/>
  <c r="AX37" i="19"/>
  <c r="AZ39" i="19"/>
  <c r="AY38" i="19"/>
  <c r="AW36" i="19"/>
  <c r="BA40" i="19"/>
  <c r="BB41" i="19"/>
  <c r="BD43" i="19"/>
  <c r="T69" i="19"/>
  <c r="W47" i="18"/>
  <c r="W50" i="18" s="1"/>
  <c r="W53" i="18" s="1"/>
  <c r="Y39" i="18"/>
  <c r="X46" i="18"/>
  <c r="X44" i="18"/>
  <c r="X45" i="18"/>
  <c r="X41" i="18"/>
  <c r="X43" i="18"/>
  <c r="X42" i="18"/>
  <c r="W10" i="19"/>
  <c r="U8" i="19"/>
  <c r="U7" i="19" s="1"/>
  <c r="Y12" i="19"/>
  <c r="V9" i="19"/>
  <c r="X11" i="19"/>
  <c r="AC16" i="19"/>
  <c r="AG20" i="19"/>
  <c r="AE18" i="19"/>
  <c r="AA14" i="19"/>
  <c r="AH21" i="19"/>
  <c r="Z13" i="19"/>
  <c r="AF19" i="19"/>
  <c r="AB15" i="19"/>
  <c r="AD17" i="19"/>
  <c r="AI22" i="19"/>
  <c r="AJ23" i="19"/>
  <c r="AK24" i="19"/>
  <c r="AL25" i="19"/>
  <c r="AM26" i="19"/>
  <c r="AN27" i="19"/>
  <c r="AO28" i="19"/>
  <c r="AP29" i="19"/>
  <c r="AQ30" i="19"/>
  <c r="AR31" i="19"/>
  <c r="AS32" i="19"/>
  <c r="AT33" i="19"/>
  <c r="AU34" i="19"/>
  <c r="AV35" i="19"/>
  <c r="BS57" i="19" l="1"/>
  <c r="BW61" i="19"/>
  <c r="BZ64" i="19"/>
  <c r="BH46" i="19"/>
  <c r="BX62" i="19"/>
  <c r="CC67" i="19"/>
  <c r="BI47" i="19"/>
  <c r="BT58" i="19"/>
  <c r="BN52" i="19"/>
  <c r="BJ48" i="19"/>
  <c r="BQ55" i="19"/>
  <c r="BM51" i="19"/>
  <c r="CA65" i="19"/>
  <c r="BK49" i="19"/>
  <c r="BP54" i="19"/>
  <c r="BR56" i="19"/>
  <c r="BV60" i="19"/>
  <c r="BU59" i="19"/>
  <c r="BY63" i="19"/>
  <c r="BL50" i="19"/>
  <c r="CB66" i="19"/>
  <c r="CD68" i="19"/>
  <c r="BO53" i="19"/>
  <c r="AJ22" i="19"/>
  <c r="BG45" i="19"/>
  <c r="BF44" i="19"/>
  <c r="E9" i="26"/>
  <c r="G9" i="26" s="1"/>
  <c r="C10" i="26"/>
  <c r="D10" i="26" s="1"/>
  <c r="B26" i="11"/>
  <c r="A27" i="27" s="1"/>
  <c r="AM25" i="19"/>
  <c r="Z12" i="19"/>
  <c r="AU33" i="19"/>
  <c r="AG19" i="19"/>
  <c r="AL24" i="19"/>
  <c r="AH20" i="19"/>
  <c r="C22" i="11"/>
  <c r="B23" i="27" s="1"/>
  <c r="C23" i="27" s="1"/>
  <c r="D23" i="27" s="1"/>
  <c r="G23" i="27" s="1"/>
  <c r="AT32" i="19"/>
  <c r="AE17" i="19"/>
  <c r="AQ29" i="19"/>
  <c r="X10" i="19"/>
  <c r="W9" i="19"/>
  <c r="AP28" i="19"/>
  <c r="AB14" i="19"/>
  <c r="Y11" i="19"/>
  <c r="BD42" i="19"/>
  <c r="BA39" i="19"/>
  <c r="AZ38" i="19"/>
  <c r="BB40" i="19"/>
  <c r="AY37" i="19"/>
  <c r="AX36" i="19"/>
  <c r="BC41" i="19"/>
  <c r="BE43" i="19"/>
  <c r="AW35" i="19"/>
  <c r="AS31" i="19"/>
  <c r="AO27" i="19"/>
  <c r="AK23" i="19"/>
  <c r="AD16" i="19"/>
  <c r="AC15" i="19"/>
  <c r="AI21" i="19"/>
  <c r="AV34" i="19"/>
  <c r="AR30" i="19"/>
  <c r="AN26" i="19"/>
  <c r="AF18" i="19"/>
  <c r="AA13" i="19"/>
  <c r="V8" i="19"/>
  <c r="V7" i="19" s="1"/>
  <c r="U69" i="19"/>
  <c r="C23" i="11" s="1"/>
  <c r="B24" i="27" s="1"/>
  <c r="C24" i="27" s="1"/>
  <c r="D24" i="27" s="1"/>
  <c r="G24" i="27" s="1"/>
  <c r="Y45" i="18"/>
  <c r="Z39" i="18"/>
  <c r="Y43" i="18"/>
  <c r="Y46" i="18"/>
  <c r="Y44" i="18"/>
  <c r="Y41" i="18"/>
  <c r="Y42" i="18"/>
  <c r="X47" i="18"/>
  <c r="X50" i="18" s="1"/>
  <c r="X53" i="18" s="1"/>
  <c r="BT57" i="19" l="1"/>
  <c r="BQ54" i="19"/>
  <c r="CA64" i="19"/>
  <c r="BK48" i="19"/>
  <c r="BI46" i="19"/>
  <c r="BJ47" i="19"/>
  <c r="BU58" i="19"/>
  <c r="BV59" i="19"/>
  <c r="BO52" i="19"/>
  <c r="BM50" i="19"/>
  <c r="BN51" i="19"/>
  <c r="BZ63" i="19"/>
  <c r="BY62" i="19"/>
  <c r="CB65" i="19"/>
  <c r="BS56" i="19"/>
  <c r="CC66" i="19"/>
  <c r="BW60" i="19"/>
  <c r="BX61" i="19"/>
  <c r="BP53" i="19"/>
  <c r="BR55" i="19"/>
  <c r="CD67" i="19"/>
  <c r="BL49" i="19"/>
  <c r="BG44" i="19"/>
  <c r="BH45" i="19"/>
  <c r="E10" i="26"/>
  <c r="G10" i="26" s="1"/>
  <c r="F9" i="26"/>
  <c r="H9" i="26" s="1"/>
  <c r="H23" i="27"/>
  <c r="C11" i="26"/>
  <c r="D11" i="26" s="1"/>
  <c r="H24" i="27"/>
  <c r="B27" i="11"/>
  <c r="A28" i="27" s="1"/>
  <c r="D23" i="11"/>
  <c r="D22" i="11"/>
  <c r="BE42" i="19"/>
  <c r="AZ37" i="19"/>
  <c r="AY36" i="19"/>
  <c r="BA38" i="19"/>
  <c r="BB39" i="19"/>
  <c r="BC40" i="19"/>
  <c r="BD41" i="19"/>
  <c r="BF43" i="19"/>
  <c r="V69" i="19"/>
  <c r="C24" i="11" s="1"/>
  <c r="B25" i="27" s="1"/>
  <c r="C25" i="27" s="1"/>
  <c r="D25" i="27" s="1"/>
  <c r="G25" i="27" s="1"/>
  <c r="Y47" i="18"/>
  <c r="Y50" i="18" s="1"/>
  <c r="Y53" i="18" s="1"/>
  <c r="AA39" i="18"/>
  <c r="Z45" i="18"/>
  <c r="Z44" i="18"/>
  <c r="Z46" i="18"/>
  <c r="Z41" i="18"/>
  <c r="Z43" i="18"/>
  <c r="Z42" i="18"/>
  <c r="X9" i="19"/>
  <c r="AD15" i="19"/>
  <c r="AF17" i="19"/>
  <c r="AE16" i="19"/>
  <c r="AA12" i="19"/>
  <c r="W8" i="19"/>
  <c r="W7" i="19" s="1"/>
  <c r="AI20" i="19"/>
  <c r="AJ21" i="19"/>
  <c r="AB13" i="19"/>
  <c r="AK22" i="19"/>
  <c r="Y10" i="19"/>
  <c r="Z11" i="19"/>
  <c r="AG18" i="19"/>
  <c r="AH19" i="19"/>
  <c r="AC14" i="19"/>
  <c r="AL23" i="19"/>
  <c r="AM24" i="19"/>
  <c r="AN25" i="19"/>
  <c r="AO26" i="19"/>
  <c r="AP27" i="19"/>
  <c r="AQ28" i="19"/>
  <c r="AR29" i="19"/>
  <c r="AS30" i="19"/>
  <c r="AT31" i="19"/>
  <c r="AU32" i="19"/>
  <c r="AV33" i="19"/>
  <c r="AW34" i="19"/>
  <c r="AX35" i="19"/>
  <c r="BR54" i="19" l="1"/>
  <c r="BJ46" i="19"/>
  <c r="BW59" i="19"/>
  <c r="BP52" i="19"/>
  <c r="BT56" i="19"/>
  <c r="BL48" i="19"/>
  <c r="BO51" i="19"/>
  <c r="CC65" i="19"/>
  <c r="BK47" i="19"/>
  <c r="BS55" i="19"/>
  <c r="BQ53" i="19"/>
  <c r="CD66" i="19"/>
  <c r="BU57" i="19"/>
  <c r="BX60" i="19"/>
  <c r="BZ62" i="19"/>
  <c r="BV58" i="19"/>
  <c r="BY61" i="19"/>
  <c r="BN50" i="19"/>
  <c r="CA63" i="19"/>
  <c r="CB64" i="19"/>
  <c r="BM49" i="19"/>
  <c r="BH44" i="19"/>
  <c r="BI45" i="19"/>
  <c r="E11" i="26"/>
  <c r="G11" i="26" s="1"/>
  <c r="H25" i="27"/>
  <c r="C12" i="26"/>
  <c r="D12" i="26" s="1"/>
  <c r="B28" i="11"/>
  <c r="A29" i="27" s="1"/>
  <c r="D24" i="11"/>
  <c r="BG43" i="19"/>
  <c r="BF42" i="19"/>
  <c r="BA37" i="19"/>
  <c r="BB38" i="19"/>
  <c r="AZ36" i="19"/>
  <c r="BD40" i="19"/>
  <c r="BC39" i="19"/>
  <c r="BE41" i="19"/>
  <c r="W69" i="19"/>
  <c r="C25" i="11" s="1"/>
  <c r="B26" i="27" s="1"/>
  <c r="C26" i="27" s="1"/>
  <c r="D26" i="27" s="1"/>
  <c r="Z47" i="18"/>
  <c r="Z50" i="18" s="1"/>
  <c r="Z53" i="18" s="1"/>
  <c r="AB39" i="18"/>
  <c r="AA41" i="18"/>
  <c r="AA45" i="18"/>
  <c r="AA44" i="18"/>
  <c r="AA46" i="18"/>
  <c r="AA43" i="18"/>
  <c r="AA42" i="18"/>
  <c r="Y9" i="19"/>
  <c r="AB12" i="19"/>
  <c r="X8" i="19"/>
  <c r="X7" i="19" s="1"/>
  <c r="AJ20" i="19"/>
  <c r="AF16" i="19"/>
  <c r="AD14" i="19"/>
  <c r="AA11" i="19"/>
  <c r="AK21" i="19"/>
  <c r="AC13" i="19"/>
  <c r="AL22" i="19"/>
  <c r="AI19" i="19"/>
  <c r="Z10" i="19"/>
  <c r="AG17" i="19"/>
  <c r="AH18" i="19"/>
  <c r="AE15" i="19"/>
  <c r="AM23" i="19"/>
  <c r="AN24" i="19"/>
  <c r="AO25" i="19"/>
  <c r="AP26" i="19"/>
  <c r="AQ27" i="19"/>
  <c r="AR28" i="19"/>
  <c r="AS29" i="19"/>
  <c r="AT30" i="19"/>
  <c r="AU31" i="19"/>
  <c r="AV32" i="19"/>
  <c r="AW33" i="19"/>
  <c r="AX34" i="19"/>
  <c r="AY35" i="19"/>
  <c r="BT55" i="19" l="1"/>
  <c r="BV57" i="19"/>
  <c r="BS54" i="19"/>
  <c r="BK46" i="19"/>
  <c r="BW58" i="19"/>
  <c r="BQ52" i="19"/>
  <c r="CC64" i="19"/>
  <c r="BL47" i="19"/>
  <c r="BY60" i="19"/>
  <c r="CD65" i="19"/>
  <c r="BR53" i="19"/>
  <c r="CB63" i="19"/>
  <c r="BU56" i="19"/>
  <c r="CA62" i="19"/>
  <c r="BP51" i="19"/>
  <c r="BO50" i="19"/>
  <c r="BX59" i="19"/>
  <c r="BZ61" i="19"/>
  <c r="BN49" i="19"/>
  <c r="BM48" i="19"/>
  <c r="BI44" i="19"/>
  <c r="BJ45" i="19"/>
  <c r="E12" i="26"/>
  <c r="G12" i="26" s="1"/>
  <c r="G26" i="27"/>
  <c r="H26" i="27" s="1"/>
  <c r="C13" i="26"/>
  <c r="D13" i="26" s="1"/>
  <c r="B29" i="11"/>
  <c r="A30" i="27" s="1"/>
  <c r="D25" i="11"/>
  <c r="BG42" i="19"/>
  <c r="BA36" i="19"/>
  <c r="BD39" i="19"/>
  <c r="BE40" i="19"/>
  <c r="BC38" i="19"/>
  <c r="BB37" i="19"/>
  <c r="BF41" i="19"/>
  <c r="BH43" i="19"/>
  <c r="X69" i="19"/>
  <c r="Y8" i="19"/>
  <c r="Y7" i="19" s="1"/>
  <c r="C14" i="26" s="1"/>
  <c r="AC12" i="19"/>
  <c r="AG16" i="19"/>
  <c r="AB11" i="19"/>
  <c r="Z9" i="19"/>
  <c r="AA10" i="19"/>
  <c r="AL21" i="19"/>
  <c r="AJ19" i="19"/>
  <c r="AK20" i="19"/>
  <c r="AH17" i="19"/>
  <c r="AD13" i="19"/>
  <c r="AM22" i="19"/>
  <c r="AE14" i="19"/>
  <c r="AI18" i="19"/>
  <c r="AF15" i="19"/>
  <c r="AN23" i="19"/>
  <c r="AO24" i="19"/>
  <c r="AP25" i="19"/>
  <c r="AQ26" i="19"/>
  <c r="AR27" i="19"/>
  <c r="AS28" i="19"/>
  <c r="AT29" i="19"/>
  <c r="AU30" i="19"/>
  <c r="AV31" i="19"/>
  <c r="AW32" i="19"/>
  <c r="AX33" i="19"/>
  <c r="AY34" i="19"/>
  <c r="AZ35" i="19"/>
  <c r="AA47" i="18"/>
  <c r="AA50" i="18" s="1"/>
  <c r="AA53" i="18" s="1"/>
  <c r="AC39" i="18"/>
  <c r="AB42" i="18"/>
  <c r="AB41" i="18"/>
  <c r="AB46" i="18"/>
  <c r="AB45" i="18"/>
  <c r="AB44" i="18"/>
  <c r="AB43" i="18"/>
  <c r="BQ51" i="19" l="1"/>
  <c r="CD64" i="19"/>
  <c r="CA61" i="19"/>
  <c r="CB62" i="19"/>
  <c r="BL46" i="19"/>
  <c r="BM47" i="19"/>
  <c r="BV56" i="19"/>
  <c r="BZ60" i="19"/>
  <c r="BR52" i="19"/>
  <c r="BW57" i="19"/>
  <c r="BO49" i="19"/>
  <c r="BU55" i="19"/>
  <c r="BN48" i="19"/>
  <c r="CC63" i="19"/>
  <c r="BY59" i="19"/>
  <c r="BP50" i="19"/>
  <c r="BX58" i="19"/>
  <c r="BS53" i="19"/>
  <c r="BT54" i="19"/>
  <c r="BK45" i="19"/>
  <c r="BJ44" i="19"/>
  <c r="E13" i="26"/>
  <c r="G13" i="26" s="1"/>
  <c r="C7" i="27"/>
  <c r="D14" i="26"/>
  <c r="C15" i="26"/>
  <c r="B30" i="11"/>
  <c r="A31" i="27" s="1"/>
  <c r="D6" i="11"/>
  <c r="C7" i="11"/>
  <c r="B8" i="27" s="1"/>
  <c r="C8" i="27" s="1"/>
  <c r="D8" i="27" s="1"/>
  <c r="G8" i="27" s="1"/>
  <c r="H8" i="27" s="1"/>
  <c r="C26" i="11"/>
  <c r="B27" i="27" s="1"/>
  <c r="C27" i="27" s="1"/>
  <c r="D27" i="27" s="1"/>
  <c r="BH42" i="19"/>
  <c r="BI43" i="19"/>
  <c r="BF40" i="19"/>
  <c r="BE39" i="19"/>
  <c r="BC37" i="19"/>
  <c r="BB36" i="19"/>
  <c r="BD38" i="19"/>
  <c r="BG41" i="19"/>
  <c r="Y69" i="19"/>
  <c r="C27" i="11" s="1"/>
  <c r="B28" i="27" s="1"/>
  <c r="C28" i="27" s="1"/>
  <c r="D28" i="27" s="1"/>
  <c r="G28" i="27" s="1"/>
  <c r="AB47" i="18"/>
  <c r="AB50" i="18" s="1"/>
  <c r="AB53" i="18" s="1"/>
  <c r="AC45" i="18"/>
  <c r="AD39" i="18"/>
  <c r="AC44" i="18"/>
  <c r="AC43" i="18"/>
  <c r="AC41" i="18"/>
  <c r="AC46" i="18"/>
  <c r="AC42" i="18"/>
  <c r="AE13" i="19"/>
  <c r="AM21" i="19"/>
  <c r="AC11" i="19"/>
  <c r="AL20" i="19"/>
  <c r="Z8" i="19"/>
  <c r="Z7" i="19" s="1"/>
  <c r="AA9" i="19"/>
  <c r="AD12" i="19"/>
  <c r="AN22" i="19"/>
  <c r="AH16" i="19"/>
  <c r="AF14" i="19"/>
  <c r="AB10" i="19"/>
  <c r="AI17" i="19"/>
  <c r="AK19" i="19"/>
  <c r="AJ18" i="19"/>
  <c r="AG15" i="19"/>
  <c r="AO23" i="19"/>
  <c r="AP24" i="19"/>
  <c r="AQ25" i="19"/>
  <c r="AR26" i="19"/>
  <c r="AS27" i="19"/>
  <c r="AT28" i="19"/>
  <c r="AU29" i="19"/>
  <c r="AV30" i="19"/>
  <c r="AW31" i="19"/>
  <c r="AX32" i="19"/>
  <c r="AY33" i="19"/>
  <c r="AZ34" i="19"/>
  <c r="BA35" i="19"/>
  <c r="BQ50" i="19" l="1"/>
  <c r="BO48" i="19"/>
  <c r="BV55" i="19"/>
  <c r="BX57" i="19"/>
  <c r="CC62" i="19"/>
  <c r="BM46" i="19"/>
  <c r="BN47" i="19"/>
  <c r="BY58" i="19"/>
  <c r="CA60" i="19"/>
  <c r="BS52" i="19"/>
  <c r="BR51" i="19"/>
  <c r="BT53" i="19"/>
  <c r="BP49" i="19"/>
  <c r="BZ59" i="19"/>
  <c r="CB61" i="19"/>
  <c r="BU54" i="19"/>
  <c r="CD63" i="19"/>
  <c r="BW56" i="19"/>
  <c r="BK44" i="19"/>
  <c r="BL45" i="19"/>
  <c r="E14" i="26"/>
  <c r="E15" i="26" s="1"/>
  <c r="G27" i="27"/>
  <c r="H27" i="27" s="1"/>
  <c r="H28" i="27"/>
  <c r="D7" i="27"/>
  <c r="G7" i="27" s="1"/>
  <c r="D15" i="26"/>
  <c r="B31" i="11"/>
  <c r="A32" i="27" s="1"/>
  <c r="D26" i="11"/>
  <c r="D27" i="11"/>
  <c r="D7" i="11"/>
  <c r="BI42" i="19"/>
  <c r="BG40" i="19"/>
  <c r="BE38" i="19"/>
  <c r="BD37" i="19"/>
  <c r="BF39" i="19"/>
  <c r="BC36" i="19"/>
  <c r="BC7" i="19" s="1"/>
  <c r="BC69" i="19" s="1"/>
  <c r="BJ43" i="19"/>
  <c r="BH41" i="19"/>
  <c r="C8" i="11"/>
  <c r="B9" i="27" s="1"/>
  <c r="C9" i="27" s="1"/>
  <c r="D9" i="27" s="1"/>
  <c r="G9" i="27" s="1"/>
  <c r="H9" i="27" s="1"/>
  <c r="Z69" i="19"/>
  <c r="AE39" i="18"/>
  <c r="AD45" i="18"/>
  <c r="AD44" i="18"/>
  <c r="AD41" i="18"/>
  <c r="AD46" i="18"/>
  <c r="AD43" i="18"/>
  <c r="AD42" i="18"/>
  <c r="AJ17" i="19"/>
  <c r="AM20" i="19"/>
  <c r="AA8" i="19"/>
  <c r="AA7" i="19" s="1"/>
  <c r="AE12" i="19"/>
  <c r="AN21" i="19"/>
  <c r="AB9" i="19"/>
  <c r="AD11" i="19"/>
  <c r="AF13" i="19"/>
  <c r="AH15" i="19"/>
  <c r="AL19" i="19"/>
  <c r="AG14" i="19"/>
  <c r="AI16" i="19"/>
  <c r="AK18" i="19"/>
  <c r="AC10" i="19"/>
  <c r="AO22" i="19"/>
  <c r="AP23" i="19"/>
  <c r="AQ24" i="19"/>
  <c r="AR25" i="19"/>
  <c r="AS26" i="19"/>
  <c r="AT27" i="19"/>
  <c r="AU28" i="19"/>
  <c r="AV29" i="19"/>
  <c r="AW30" i="19"/>
  <c r="AX31" i="19"/>
  <c r="AY32" i="19"/>
  <c r="AZ33" i="19"/>
  <c r="BA34" i="19"/>
  <c r="BB35" i="19"/>
  <c r="AC47" i="18"/>
  <c r="AC50" i="18" s="1"/>
  <c r="AC53" i="18" s="1"/>
  <c r="BT52" i="19" l="1"/>
  <c r="BP48" i="19"/>
  <c r="BS51" i="19"/>
  <c r="BW55" i="19"/>
  <c r="BV54" i="19"/>
  <c r="CA59" i="19"/>
  <c r="BN46" i="19"/>
  <c r="BO47" i="19"/>
  <c r="BX56" i="19"/>
  <c r="BU53" i="19"/>
  <c r="BQ49" i="19"/>
  <c r="CB60" i="19"/>
  <c r="BY57" i="19"/>
  <c r="CD62" i="19"/>
  <c r="CC61" i="19"/>
  <c r="BZ58" i="19"/>
  <c r="BR50" i="19"/>
  <c r="G14" i="26"/>
  <c r="G15" i="26" s="1"/>
  <c r="BL44" i="19"/>
  <c r="BM45" i="19"/>
  <c r="F10" i="26"/>
  <c r="H10" i="26" s="1"/>
  <c r="F11" i="26"/>
  <c r="H11" i="26" s="1"/>
  <c r="F12" i="26"/>
  <c r="H12" i="26" s="1"/>
  <c r="F13" i="26"/>
  <c r="H13" i="26" s="1"/>
  <c r="F14" i="26"/>
  <c r="H14" i="26" s="1"/>
  <c r="B32" i="11"/>
  <c r="A33" i="27" s="1"/>
  <c r="D8" i="11"/>
  <c r="C9" i="11"/>
  <c r="B10" i="27" s="1"/>
  <c r="C10" i="27" s="1"/>
  <c r="D10" i="27" s="1"/>
  <c r="G10" i="27" s="1"/>
  <c r="H10" i="27" s="1"/>
  <c r="C28" i="11"/>
  <c r="B29" i="27" s="1"/>
  <c r="C29" i="27" s="1"/>
  <c r="D29" i="27" s="1"/>
  <c r="BE37" i="19"/>
  <c r="BJ42" i="19"/>
  <c r="BI41" i="19"/>
  <c r="BD36" i="19"/>
  <c r="BD7" i="19" s="1"/>
  <c r="BD69" i="19" s="1"/>
  <c r="BH40" i="19"/>
  <c r="BF38" i="19"/>
  <c r="BG39" i="19"/>
  <c r="BK43" i="19"/>
  <c r="AA69" i="19"/>
  <c r="C29" i="11" s="1"/>
  <c r="B30" i="27" s="1"/>
  <c r="C30" i="27" s="1"/>
  <c r="D30" i="27" s="1"/>
  <c r="AB8" i="19"/>
  <c r="AB7" i="19" s="1"/>
  <c r="AF12" i="19"/>
  <c r="AD10" i="19"/>
  <c r="AP22" i="19"/>
  <c r="AE11" i="19"/>
  <c r="AO21" i="19"/>
  <c r="AG13" i="19"/>
  <c r="AC9" i="19"/>
  <c r="AK17" i="19"/>
  <c r="AN20" i="19"/>
  <c r="AM19" i="19"/>
  <c r="AJ16" i="19"/>
  <c r="AH14" i="19"/>
  <c r="AL18" i="19"/>
  <c r="AI15" i="19"/>
  <c r="AQ23" i="19"/>
  <c r="AR24" i="19"/>
  <c r="AS25" i="19"/>
  <c r="AT26" i="19"/>
  <c r="AU27" i="19"/>
  <c r="AV28" i="19"/>
  <c r="AW29" i="19"/>
  <c r="AX30" i="19"/>
  <c r="AY31" i="19"/>
  <c r="AZ32" i="19"/>
  <c r="BA33" i="19"/>
  <c r="BB34" i="19"/>
  <c r="AD47" i="18"/>
  <c r="AD50" i="18" s="1"/>
  <c r="AD53" i="18" s="1"/>
  <c r="AF39" i="18"/>
  <c r="AE45" i="18"/>
  <c r="AE43" i="18"/>
  <c r="AE41" i="18"/>
  <c r="AE46" i="18"/>
  <c r="AE44" i="18"/>
  <c r="AE42" i="18"/>
  <c r="BS50" i="19" l="1"/>
  <c r="BU52" i="19"/>
  <c r="BZ57" i="19"/>
  <c r="BX55" i="19"/>
  <c r="BQ48" i="19"/>
  <c r="BR49" i="19"/>
  <c r="BW54" i="19"/>
  <c r="CA58" i="19"/>
  <c r="BO46" i="19"/>
  <c r="BP47" i="19"/>
  <c r="BY56" i="19"/>
  <c r="BV53" i="19"/>
  <c r="CC60" i="19"/>
  <c r="CB59" i="19"/>
  <c r="BT51" i="19"/>
  <c r="CD61" i="19"/>
  <c r="BM44" i="19"/>
  <c r="BN45" i="19"/>
  <c r="G30" i="27"/>
  <c r="H30" i="27" s="1"/>
  <c r="G29" i="27"/>
  <c r="H29" i="27" s="1"/>
  <c r="I14" i="26"/>
  <c r="F15" i="26"/>
  <c r="H7" i="27"/>
  <c r="I11" i="26"/>
  <c r="I13" i="26"/>
  <c r="I12" i="26"/>
  <c r="I10" i="26"/>
  <c r="B33" i="11"/>
  <c r="A34" i="27" s="1"/>
  <c r="D28" i="11"/>
  <c r="D29" i="11"/>
  <c r="D9" i="11"/>
  <c r="BJ41" i="19"/>
  <c r="BE36" i="19"/>
  <c r="BE7" i="19" s="1"/>
  <c r="BE69" i="19" s="1"/>
  <c r="BK42" i="19"/>
  <c r="BI40" i="19"/>
  <c r="BF37" i="19"/>
  <c r="BH39" i="19"/>
  <c r="BG38" i="19"/>
  <c r="BL43" i="19"/>
  <c r="C10" i="11"/>
  <c r="B11" i="27" s="1"/>
  <c r="C11" i="27" s="1"/>
  <c r="AB69" i="19"/>
  <c r="C30" i="11" s="1"/>
  <c r="B31" i="27" s="1"/>
  <c r="C31" i="27" s="1"/>
  <c r="D31" i="27" s="1"/>
  <c r="AG39" i="18"/>
  <c r="AF45" i="18"/>
  <c r="AF46" i="18"/>
  <c r="AF44" i="18"/>
  <c r="AF41" i="18"/>
  <c r="AF43" i="18"/>
  <c r="AF42" i="18"/>
  <c r="AE47" i="18"/>
  <c r="AE50" i="18" s="1"/>
  <c r="AE53" i="18" s="1"/>
  <c r="AP21" i="19"/>
  <c r="AE10" i="19"/>
  <c r="AO20" i="19"/>
  <c r="AG12" i="19"/>
  <c r="AC8" i="19"/>
  <c r="AC7" i="19" s="1"/>
  <c r="AF11" i="19"/>
  <c r="AK16" i="19"/>
  <c r="AN19" i="19"/>
  <c r="AI14" i="19"/>
  <c r="AD9" i="19"/>
  <c r="AH13" i="19"/>
  <c r="AQ22" i="19"/>
  <c r="AM18" i="19"/>
  <c r="AL17" i="19"/>
  <c r="AJ15" i="19"/>
  <c r="AR23" i="19"/>
  <c r="AS24" i="19"/>
  <c r="AT25" i="19"/>
  <c r="AU26" i="19"/>
  <c r="AV27" i="19"/>
  <c r="AW28" i="19"/>
  <c r="AX29" i="19"/>
  <c r="AY30" i="19"/>
  <c r="AZ31" i="19"/>
  <c r="BA32" i="19"/>
  <c r="BB33" i="19"/>
  <c r="BP46" i="19" l="1"/>
  <c r="CC59" i="19"/>
  <c r="BV52" i="19"/>
  <c r="BR48" i="19"/>
  <c r="BU51" i="19"/>
  <c r="CA57" i="19"/>
  <c r="BY55" i="19"/>
  <c r="CB58" i="19"/>
  <c r="BZ56" i="19"/>
  <c r="CD60" i="19"/>
  <c r="BQ47" i="19"/>
  <c r="BT50" i="19"/>
  <c r="BS49" i="19"/>
  <c r="BW53" i="19"/>
  <c r="BX54" i="19"/>
  <c r="BN44" i="19"/>
  <c r="BO45" i="19"/>
  <c r="G31" i="27"/>
  <c r="H31" i="27" s="1"/>
  <c r="D11" i="27"/>
  <c r="Q10" i="26"/>
  <c r="D9" i="22"/>
  <c r="F9" i="22" s="1"/>
  <c r="Q14" i="26"/>
  <c r="D13" i="22"/>
  <c r="F13" i="22" s="1"/>
  <c r="Q12" i="26"/>
  <c r="D11" i="22"/>
  <c r="F11" i="22" s="1"/>
  <c r="Q13" i="26"/>
  <c r="D12" i="22"/>
  <c r="F12" i="22" s="1"/>
  <c r="D10" i="22"/>
  <c r="F10" i="22" s="1"/>
  <c r="Q11" i="26"/>
  <c r="B34" i="11"/>
  <c r="A35" i="27" s="1"/>
  <c r="D10" i="11"/>
  <c r="D30" i="11"/>
  <c r="BK41" i="19"/>
  <c r="BL42" i="19"/>
  <c r="BJ40" i="19"/>
  <c r="BG37" i="19"/>
  <c r="BF36" i="19"/>
  <c r="BF7" i="19" s="1"/>
  <c r="BF69" i="19" s="1"/>
  <c r="BI39" i="19"/>
  <c r="BH38" i="19"/>
  <c r="BM43" i="19"/>
  <c r="C11" i="11"/>
  <c r="B12" i="27" s="1"/>
  <c r="C12" i="27" s="1"/>
  <c r="D12" i="27" s="1"/>
  <c r="G12" i="27" s="1"/>
  <c r="H12" i="27" s="1"/>
  <c r="AC69" i="19"/>
  <c r="C31" i="11" s="1"/>
  <c r="B32" i="27" s="1"/>
  <c r="C32" i="27" s="1"/>
  <c r="D32" i="27" s="1"/>
  <c r="AF47" i="18"/>
  <c r="AF50" i="18" s="1"/>
  <c r="AF53" i="18" s="1"/>
  <c r="AH39" i="18"/>
  <c r="AG41" i="18"/>
  <c r="AG45" i="18"/>
  <c r="AG44" i="18"/>
  <c r="AG46" i="18"/>
  <c r="AG42" i="18"/>
  <c r="AG43" i="18"/>
  <c r="AG11" i="19"/>
  <c r="AD8" i="19"/>
  <c r="AF10" i="19"/>
  <c r="AE9" i="19"/>
  <c r="AH12" i="19"/>
  <c r="AM17" i="19"/>
  <c r="AI13" i="19"/>
  <c r="AP20" i="19"/>
  <c r="AO19" i="19"/>
  <c r="AK15" i="19"/>
  <c r="AR22" i="19"/>
  <c r="AJ14" i="19"/>
  <c r="AQ21" i="19"/>
  <c r="AL16" i="19"/>
  <c r="AN18" i="19"/>
  <c r="AS23" i="19"/>
  <c r="AT24" i="19"/>
  <c r="AU25" i="19"/>
  <c r="AV26" i="19"/>
  <c r="AW27" i="19"/>
  <c r="AX28" i="19"/>
  <c r="AY29" i="19"/>
  <c r="AZ30" i="19"/>
  <c r="BA31" i="19"/>
  <c r="BB32" i="19"/>
  <c r="CA56" i="19" l="1"/>
  <c r="BQ46" i="19"/>
  <c r="BR47" i="19"/>
  <c r="BU50" i="19"/>
  <c r="BV51" i="19"/>
  <c r="BW52" i="19"/>
  <c r="BS48" i="19"/>
  <c r="BY54" i="19"/>
  <c r="CB57" i="19"/>
  <c r="BT49" i="19"/>
  <c r="CD59" i="19"/>
  <c r="BX53" i="19"/>
  <c r="BZ55" i="19"/>
  <c r="CC58" i="19"/>
  <c r="BP45" i="19"/>
  <c r="BO44" i="19"/>
  <c r="G32" i="27"/>
  <c r="H32" i="27" s="1"/>
  <c r="G11" i="27"/>
  <c r="B35" i="11"/>
  <c r="A36" i="27" s="1"/>
  <c r="D31" i="11"/>
  <c r="D11" i="11"/>
  <c r="BM42" i="19"/>
  <c r="BH37" i="19"/>
  <c r="BK40" i="19"/>
  <c r="BL41" i="19"/>
  <c r="BG36" i="19"/>
  <c r="BG7" i="19" s="1"/>
  <c r="BG69" i="19" s="1"/>
  <c r="BI38" i="19"/>
  <c r="BJ39" i="19"/>
  <c r="BN43" i="19"/>
  <c r="C12" i="11"/>
  <c r="B13" i="27" s="1"/>
  <c r="C13" i="27" s="1"/>
  <c r="D13" i="27" s="1"/>
  <c r="G13" i="27" s="1"/>
  <c r="H13" i="27" s="1"/>
  <c r="AD7" i="19"/>
  <c r="AO18" i="19"/>
  <c r="AR21" i="19"/>
  <c r="AF9" i="19"/>
  <c r="AE8" i="19"/>
  <c r="AE7" i="19" s="1"/>
  <c r="AI12" i="19"/>
  <c r="AP19" i="19"/>
  <c r="AN17" i="19"/>
  <c r="AQ20" i="19"/>
  <c r="AJ13" i="19"/>
  <c r="AL15" i="19"/>
  <c r="AG10" i="19"/>
  <c r="AH11" i="19"/>
  <c r="AM16" i="19"/>
  <c r="AK14" i="19"/>
  <c r="AS22" i="19"/>
  <c r="AT23" i="19"/>
  <c r="AU24" i="19"/>
  <c r="AV25" i="19"/>
  <c r="AW26" i="19"/>
  <c r="AX27" i="19"/>
  <c r="AY28" i="19"/>
  <c r="AZ29" i="19"/>
  <c r="BA30" i="19"/>
  <c r="BB31" i="19"/>
  <c r="AG47" i="18"/>
  <c r="AG50" i="18" s="1"/>
  <c r="AG53" i="18" s="1"/>
  <c r="AI39" i="18"/>
  <c r="AH45" i="18"/>
  <c r="AH44" i="18"/>
  <c r="AH42" i="18"/>
  <c r="AH46" i="18"/>
  <c r="AH41" i="18"/>
  <c r="AH43" i="18"/>
  <c r="BR46" i="19" l="1"/>
  <c r="BX52" i="19"/>
  <c r="BW51" i="19"/>
  <c r="BT48" i="19"/>
  <c r="CA55" i="19"/>
  <c r="BZ54" i="19"/>
  <c r="CC57" i="19"/>
  <c r="BY53" i="19"/>
  <c r="CB56" i="19"/>
  <c r="CD58" i="19"/>
  <c r="BU49" i="19"/>
  <c r="BS47" i="19"/>
  <c r="BV50" i="19"/>
  <c r="BP44" i="19"/>
  <c r="BQ45" i="19"/>
  <c r="H11" i="27"/>
  <c r="I8" i="26"/>
  <c r="I7" i="26"/>
  <c r="B36" i="11"/>
  <c r="A37" i="27" s="1"/>
  <c r="D12" i="11"/>
  <c r="BN42" i="19"/>
  <c r="BH36" i="19"/>
  <c r="BH7" i="19" s="1"/>
  <c r="BH69" i="19" s="1"/>
  <c r="BL40" i="19"/>
  <c r="BK39" i="19"/>
  <c r="BI37" i="19"/>
  <c r="BJ38" i="19"/>
  <c r="BO43" i="19"/>
  <c r="BM41" i="19"/>
  <c r="AD69" i="19"/>
  <c r="C32" i="11" s="1"/>
  <c r="B33" i="27" s="1"/>
  <c r="C33" i="27" s="1"/>
  <c r="D33" i="27" s="1"/>
  <c r="AE69" i="19"/>
  <c r="C33" i="11" s="1"/>
  <c r="B34" i="27" s="1"/>
  <c r="C34" i="27" s="1"/>
  <c r="D34" i="27" s="1"/>
  <c r="AH47" i="18"/>
  <c r="AH50" i="18" s="1"/>
  <c r="AH53" i="18" s="1"/>
  <c r="AJ39" i="18"/>
  <c r="AI45" i="18"/>
  <c r="AI41" i="18"/>
  <c r="AI44" i="18"/>
  <c r="AI46" i="18"/>
  <c r="AI43" i="18"/>
  <c r="AI42" i="18"/>
  <c r="AP18" i="19"/>
  <c r="AH10" i="19"/>
  <c r="AG9" i="19"/>
  <c r="AR20" i="19"/>
  <c r="AJ12" i="19"/>
  <c r="AF8" i="19"/>
  <c r="AF7" i="19" s="1"/>
  <c r="AF69" i="19" s="1"/>
  <c r="C34" i="11" s="1"/>
  <c r="B35" i="27" s="1"/>
  <c r="C35" i="27" s="1"/>
  <c r="D35" i="27" s="1"/>
  <c r="AI11" i="19"/>
  <c r="AO17" i="19"/>
  <c r="AK13" i="19"/>
  <c r="AN16" i="19"/>
  <c r="AT22" i="19"/>
  <c r="AQ19" i="19"/>
  <c r="AS21" i="19"/>
  <c r="AM15" i="19"/>
  <c r="AL14" i="19"/>
  <c r="AU23" i="19"/>
  <c r="AV24" i="19"/>
  <c r="AW25" i="19"/>
  <c r="AX26" i="19"/>
  <c r="AY27" i="19"/>
  <c r="AZ28" i="19"/>
  <c r="BA29" i="19"/>
  <c r="BB30" i="19"/>
  <c r="BS46" i="19" l="1"/>
  <c r="BT47" i="19"/>
  <c r="BW50" i="19"/>
  <c r="BY52" i="19"/>
  <c r="CD57" i="19"/>
  <c r="CB55" i="19"/>
  <c r="BZ53" i="19"/>
  <c r="CC56" i="19"/>
  <c r="BX51" i="19"/>
  <c r="CA54" i="19"/>
  <c r="BV49" i="19"/>
  <c r="BU48" i="19"/>
  <c r="BR45" i="19"/>
  <c r="BQ44" i="19"/>
  <c r="G34" i="27"/>
  <c r="H34" i="27" s="1"/>
  <c r="G33" i="27"/>
  <c r="H33" i="27" s="1"/>
  <c r="G35" i="27"/>
  <c r="H35" i="27" s="1"/>
  <c r="B37" i="11"/>
  <c r="A38" i="27" s="1"/>
  <c r="D33" i="11"/>
  <c r="D34" i="11"/>
  <c r="D32" i="11"/>
  <c r="BO42" i="19"/>
  <c r="BM40" i="19"/>
  <c r="BK38" i="19"/>
  <c r="BJ37" i="19"/>
  <c r="BI36" i="19"/>
  <c r="BI7" i="19" s="1"/>
  <c r="BI69" i="19" s="1"/>
  <c r="BL39" i="19"/>
  <c r="BN41" i="19"/>
  <c r="BP43" i="19"/>
  <c r="C13" i="11"/>
  <c r="B14" i="27" s="1"/>
  <c r="C14" i="27" s="1"/>
  <c r="D14" i="27" s="1"/>
  <c r="AI47" i="18"/>
  <c r="AI50" i="18" s="1"/>
  <c r="AI53" i="18" s="1"/>
  <c r="AK39" i="18"/>
  <c r="AJ46" i="18"/>
  <c r="AJ44" i="18"/>
  <c r="AJ45" i="18"/>
  <c r="AJ42" i="18"/>
  <c r="AJ41" i="18"/>
  <c r="AJ43" i="18"/>
  <c r="AN15" i="19"/>
  <c r="AI10" i="19"/>
  <c r="AK12" i="19"/>
  <c r="AS20" i="19"/>
  <c r="AJ11" i="19"/>
  <c r="AG8" i="19"/>
  <c r="AG7" i="19" s="1"/>
  <c r="AH9" i="19"/>
  <c r="AP17" i="19"/>
  <c r="AR19" i="19"/>
  <c r="AT21" i="19"/>
  <c r="AL13" i="19"/>
  <c r="AO16" i="19"/>
  <c r="AM14" i="19"/>
  <c r="AQ18" i="19"/>
  <c r="AU22" i="19"/>
  <c r="AV23" i="19"/>
  <c r="AW24" i="19"/>
  <c r="AX25" i="19"/>
  <c r="AY26" i="19"/>
  <c r="AZ27" i="19"/>
  <c r="BA28" i="19"/>
  <c r="BB29" i="19"/>
  <c r="BT46" i="19" l="1"/>
  <c r="BU47" i="19"/>
  <c r="BY51" i="19"/>
  <c r="BZ52" i="19"/>
  <c r="BV48" i="19"/>
  <c r="CC55" i="19"/>
  <c r="CD56" i="19"/>
  <c r="CB54" i="19"/>
  <c r="BX50" i="19"/>
  <c r="BW49" i="19"/>
  <c r="CA53" i="19"/>
  <c r="BR44" i="19"/>
  <c r="BS45" i="19"/>
  <c r="G14" i="27"/>
  <c r="D7" i="22"/>
  <c r="F7" i="22" s="1"/>
  <c r="Q8" i="26"/>
  <c r="D6" i="22"/>
  <c r="Q7" i="26"/>
  <c r="B38" i="11"/>
  <c r="A39" i="27" s="1"/>
  <c r="BP42" i="19"/>
  <c r="BK37" i="19"/>
  <c r="BJ36" i="19"/>
  <c r="BJ7" i="19" s="1"/>
  <c r="BJ69" i="19" s="1"/>
  <c r="BL38" i="19"/>
  <c r="BN40" i="19"/>
  <c r="BM39" i="19"/>
  <c r="BO41" i="19"/>
  <c r="BQ43" i="19"/>
  <c r="AG69" i="19"/>
  <c r="D13" i="11"/>
  <c r="AJ47" i="18"/>
  <c r="AJ50" i="18" s="1"/>
  <c r="AJ53" i="18" s="1"/>
  <c r="AK45" i="18"/>
  <c r="AL39" i="18"/>
  <c r="AK41" i="18"/>
  <c r="AK44" i="18"/>
  <c r="AK46" i="18"/>
  <c r="AK43" i="18"/>
  <c r="AK42" i="18"/>
  <c r="AT20" i="19"/>
  <c r="AJ10" i="19"/>
  <c r="AL12" i="19"/>
  <c r="AK11" i="19"/>
  <c r="AH8" i="19"/>
  <c r="AH7" i="19" s="1"/>
  <c r="AI9" i="19"/>
  <c r="AN14" i="19"/>
  <c r="AQ17" i="19"/>
  <c r="AP16" i="19"/>
  <c r="AR18" i="19"/>
  <c r="AM13" i="19"/>
  <c r="AO15" i="19"/>
  <c r="AU21" i="19"/>
  <c r="AV22" i="19"/>
  <c r="AS19" i="19"/>
  <c r="AW23" i="19"/>
  <c r="AX24" i="19"/>
  <c r="AY25" i="19"/>
  <c r="AZ26" i="19"/>
  <c r="BA27" i="19"/>
  <c r="BB28" i="19"/>
  <c r="CB53" i="19" l="1"/>
  <c r="BY50" i="19"/>
  <c r="BU46" i="19"/>
  <c r="BV47" i="19"/>
  <c r="BZ51" i="19"/>
  <c r="CA52" i="19"/>
  <c r="BW48" i="19"/>
  <c r="CC54" i="19"/>
  <c r="CD55" i="19"/>
  <c r="BX49" i="19"/>
  <c r="BS44" i="19"/>
  <c r="BT45" i="19"/>
  <c r="H14" i="27"/>
  <c r="F6" i="22"/>
  <c r="B39" i="11"/>
  <c r="A40" i="27" s="1"/>
  <c r="AM12" i="19"/>
  <c r="BQ42" i="19"/>
  <c r="BN39" i="19"/>
  <c r="BL37" i="19"/>
  <c r="BK36" i="19"/>
  <c r="BK7" i="19" s="1"/>
  <c r="BK69" i="19" s="1"/>
  <c r="BO40" i="19"/>
  <c r="BM38" i="19"/>
  <c r="BP41" i="19"/>
  <c r="BR43" i="19"/>
  <c r="AZ25" i="19"/>
  <c r="AH69" i="19"/>
  <c r="AQ16" i="19"/>
  <c r="AY24" i="19"/>
  <c r="AV21" i="19"/>
  <c r="AW22" i="19"/>
  <c r="AK10" i="19"/>
  <c r="AN13" i="19"/>
  <c r="AI8" i="19"/>
  <c r="AI7" i="19" s="1"/>
  <c r="BB27" i="19"/>
  <c r="AX23" i="19"/>
  <c r="AT19" i="19"/>
  <c r="AJ9" i="19"/>
  <c r="AL11" i="19"/>
  <c r="BA26" i="19"/>
  <c r="AR17" i="19"/>
  <c r="AO14" i="19"/>
  <c r="AS18" i="19"/>
  <c r="AP15" i="19"/>
  <c r="AU20" i="19"/>
  <c r="AK47" i="18"/>
  <c r="AK50" i="18" s="1"/>
  <c r="AK53" i="18" s="1"/>
  <c r="AM39" i="18"/>
  <c r="AL45" i="18"/>
  <c r="AL46" i="18"/>
  <c r="AL44" i="18"/>
  <c r="AL42" i="18"/>
  <c r="AL41" i="18"/>
  <c r="AL43" i="18"/>
  <c r="BV46" i="19" l="1"/>
  <c r="BW47" i="19"/>
  <c r="CA51" i="19"/>
  <c r="CB52" i="19"/>
  <c r="BX48" i="19"/>
  <c r="BZ50" i="19"/>
  <c r="CC53" i="19"/>
  <c r="CD54" i="19"/>
  <c r="BY49" i="19"/>
  <c r="BT44" i="19"/>
  <c r="BU45" i="19"/>
  <c r="I9" i="26"/>
  <c r="B40" i="11"/>
  <c r="B41" i="11" s="1"/>
  <c r="B42" i="11" s="1"/>
  <c r="B43" i="11" s="1"/>
  <c r="BM37" i="19"/>
  <c r="BN38" i="19"/>
  <c r="BO39" i="19"/>
  <c r="BR42" i="19"/>
  <c r="BL36" i="19"/>
  <c r="BL7" i="19" s="1"/>
  <c r="BL69" i="19" s="1"/>
  <c r="BP40" i="19"/>
  <c r="BS43" i="19"/>
  <c r="BQ41" i="19"/>
  <c r="AI69" i="19"/>
  <c r="AL47" i="18"/>
  <c r="AL50" i="18" s="1"/>
  <c r="AL53" i="18" s="1"/>
  <c r="AM45" i="18"/>
  <c r="AN39" i="18"/>
  <c r="AM46" i="18"/>
  <c r="AM41" i="18"/>
  <c r="AM42" i="18"/>
  <c r="AM44" i="18"/>
  <c r="AM43" i="18"/>
  <c r="AN12" i="19"/>
  <c r="AK9" i="19"/>
  <c r="AM11" i="19"/>
  <c r="AV20" i="19"/>
  <c r="AP14" i="19"/>
  <c r="AJ8" i="19"/>
  <c r="AJ7" i="19" s="1"/>
  <c r="AW21" i="19"/>
  <c r="AR16" i="19"/>
  <c r="AO13" i="19"/>
  <c r="AQ15" i="19"/>
  <c r="AT18" i="19"/>
  <c r="AX22" i="19"/>
  <c r="AU19" i="19"/>
  <c r="AL10" i="19"/>
  <c r="AS17" i="19"/>
  <c r="AY23" i="19"/>
  <c r="AZ24" i="19"/>
  <c r="BA25" i="19"/>
  <c r="BB26" i="19"/>
  <c r="BZ49" i="19" l="1"/>
  <c r="CA50" i="19"/>
  <c r="BW46" i="19"/>
  <c r="CC52" i="19"/>
  <c r="BX47" i="19"/>
  <c r="CB51" i="19"/>
  <c r="CD53" i="19"/>
  <c r="BY48" i="19"/>
  <c r="BU44" i="19"/>
  <c r="BV45" i="19"/>
  <c r="H15" i="26"/>
  <c r="BN37" i="19"/>
  <c r="BP39" i="19"/>
  <c r="BO38" i="19"/>
  <c r="BS42" i="19"/>
  <c r="BM36" i="19"/>
  <c r="BM7" i="19" s="1"/>
  <c r="BM69" i="19" s="1"/>
  <c r="BQ40" i="19"/>
  <c r="BT43" i="19"/>
  <c r="BR41" i="19"/>
  <c r="AJ69" i="19"/>
  <c r="AM47" i="18"/>
  <c r="AM50" i="18" s="1"/>
  <c r="AM53" i="18" s="1"/>
  <c r="AO12" i="19"/>
  <c r="AN11" i="19"/>
  <c r="AX21" i="19"/>
  <c r="AK8" i="19"/>
  <c r="AK7" i="19" s="1"/>
  <c r="AP13" i="19"/>
  <c r="AL9" i="19"/>
  <c r="AT17" i="19"/>
  <c r="AY22" i="19"/>
  <c r="AR15" i="19"/>
  <c r="AV19" i="19"/>
  <c r="AQ14" i="19"/>
  <c r="AM10" i="19"/>
  <c r="AW20" i="19"/>
  <c r="AS16" i="19"/>
  <c r="AU18" i="19"/>
  <c r="AZ23" i="19"/>
  <c r="BA24" i="19"/>
  <c r="BB25" i="19"/>
  <c r="AO39" i="18"/>
  <c r="AN46" i="18"/>
  <c r="AN45" i="18"/>
  <c r="AN41" i="18"/>
  <c r="AN43" i="18"/>
  <c r="AN42" i="18"/>
  <c r="AN44" i="18"/>
  <c r="CC51" i="19" l="1"/>
  <c r="BX46" i="19"/>
  <c r="BY47" i="19"/>
  <c r="CD52" i="19"/>
  <c r="CA49" i="19"/>
  <c r="CB50" i="19"/>
  <c r="BZ48" i="19"/>
  <c r="BW45" i="19"/>
  <c r="BV44" i="19"/>
  <c r="BT42" i="19"/>
  <c r="BQ39" i="19"/>
  <c r="BP38" i="19"/>
  <c r="BR40" i="19"/>
  <c r="BO37" i="19"/>
  <c r="BN36" i="19"/>
  <c r="BN7" i="19" s="1"/>
  <c r="BN69" i="19" s="1"/>
  <c r="BS41" i="19"/>
  <c r="BU43" i="19"/>
  <c r="AK69" i="19"/>
  <c r="AX20" i="19"/>
  <c r="AN10" i="19"/>
  <c r="AP12" i="19"/>
  <c r="AO11" i="19"/>
  <c r="AL8" i="19"/>
  <c r="AL7" i="19" s="1"/>
  <c r="AM9" i="19"/>
  <c r="AR14" i="19"/>
  <c r="AY21" i="19"/>
  <c r="AQ13" i="19"/>
  <c r="AS15" i="19"/>
  <c r="AU17" i="19"/>
  <c r="AT16" i="19"/>
  <c r="AV18" i="19"/>
  <c r="AZ22" i="19"/>
  <c r="AW19" i="19"/>
  <c r="BA23" i="19"/>
  <c r="BB24" i="19"/>
  <c r="AO44" i="18"/>
  <c r="AP39" i="18"/>
  <c r="AO45" i="18"/>
  <c r="AO46" i="18"/>
  <c r="AO43" i="18"/>
  <c r="AO42" i="18"/>
  <c r="AO41" i="18"/>
  <c r="AN47" i="18"/>
  <c r="AN50" i="18" s="1"/>
  <c r="AN53" i="18" s="1"/>
  <c r="CA48" i="19" l="1"/>
  <c r="CC50" i="19"/>
  <c r="BZ47" i="19"/>
  <c r="BY46" i="19"/>
  <c r="CB49" i="19"/>
  <c r="CD51" i="19"/>
  <c r="BW44" i="19"/>
  <c r="BX45" i="19"/>
  <c r="BU42" i="19"/>
  <c r="BP37" i="19"/>
  <c r="BO36" i="19"/>
  <c r="BO7" i="19" s="1"/>
  <c r="BO69" i="19" s="1"/>
  <c r="BQ38" i="19"/>
  <c r="BR39" i="19"/>
  <c r="BS40" i="19"/>
  <c r="BT41" i="19"/>
  <c r="BV43" i="19"/>
  <c r="AL69" i="19"/>
  <c r="AO47" i="18"/>
  <c r="AO50" i="18" s="1"/>
  <c r="AO53" i="18" s="1"/>
  <c r="AQ39" i="18"/>
  <c r="AP45" i="18"/>
  <c r="AP43" i="18"/>
  <c r="AP41" i="18"/>
  <c r="AP44" i="18"/>
  <c r="AP46" i="18"/>
  <c r="AP42" i="18"/>
  <c r="AO10" i="19"/>
  <c r="AP11" i="19"/>
  <c r="AM8" i="19"/>
  <c r="AM7" i="19" s="1"/>
  <c r="AW18" i="19"/>
  <c r="AQ12" i="19"/>
  <c r="AY20" i="19"/>
  <c r="AN9" i="19"/>
  <c r="AU16" i="19"/>
  <c r="AR13" i="19"/>
  <c r="AT15" i="19"/>
  <c r="AV17" i="19"/>
  <c r="BA22" i="19"/>
  <c r="AZ21" i="19"/>
  <c r="AX19" i="19"/>
  <c r="AS14" i="19"/>
  <c r="BB23" i="19"/>
  <c r="CB48" i="19" l="1"/>
  <c r="BZ46" i="19"/>
  <c r="CA47" i="19"/>
  <c r="CD50" i="19"/>
  <c r="CC49" i="19"/>
  <c r="BX44" i="19"/>
  <c r="BY45" i="19"/>
  <c r="BV42" i="19"/>
  <c r="BR38" i="19"/>
  <c r="BQ37" i="19"/>
  <c r="BP36" i="19"/>
  <c r="BP7" i="19" s="1"/>
  <c r="BP69" i="19" s="1"/>
  <c r="BT40" i="19"/>
  <c r="BS39" i="19"/>
  <c r="BW43" i="19"/>
  <c r="BU41" i="19"/>
  <c r="AM69" i="19"/>
  <c r="C41" i="11" s="1"/>
  <c r="D41" i="11" s="1"/>
  <c r="AR39" i="18"/>
  <c r="AQ42" i="18"/>
  <c r="AQ44" i="18"/>
  <c r="AQ41" i="18"/>
  <c r="AQ45" i="18"/>
  <c r="AQ46" i="18"/>
  <c r="AQ43" i="18"/>
  <c r="AP47" i="18"/>
  <c r="AP50" i="18" s="1"/>
  <c r="AP53" i="18" s="1"/>
  <c r="BA21" i="19"/>
  <c r="AP10" i="19"/>
  <c r="AN8" i="19"/>
  <c r="AN7" i="19" s="1"/>
  <c r="AN69" i="19" s="1"/>
  <c r="C42" i="11" s="1"/>
  <c r="D42" i="11" s="1"/>
  <c r="AZ20" i="19"/>
  <c r="AV16" i="19"/>
  <c r="AO9" i="19"/>
  <c r="AR12" i="19"/>
  <c r="AT14" i="19"/>
  <c r="AQ11" i="19"/>
  <c r="AW17" i="19"/>
  <c r="AX18" i="19"/>
  <c r="BB22" i="19"/>
  <c r="AU15" i="19"/>
  <c r="AY19" i="19"/>
  <c r="AS13" i="19"/>
  <c r="CC48" i="19" l="1"/>
  <c r="CA46" i="19"/>
  <c r="CB47" i="19"/>
  <c r="CD49" i="19"/>
  <c r="BY44" i="19"/>
  <c r="BZ45" i="19"/>
  <c r="BW42" i="19"/>
  <c r="BT39" i="19"/>
  <c r="BQ36" i="19"/>
  <c r="BQ7" i="19" s="1"/>
  <c r="BQ69" i="19" s="1"/>
  <c r="BU40" i="19"/>
  <c r="BS38" i="19"/>
  <c r="BR37" i="19"/>
  <c r="BX43" i="19"/>
  <c r="BV41" i="19"/>
  <c r="BA20" i="19"/>
  <c r="AQ10" i="19"/>
  <c r="AS12" i="19"/>
  <c r="AR11" i="19"/>
  <c r="BB21" i="19"/>
  <c r="AO8" i="19"/>
  <c r="AO7" i="19" s="1"/>
  <c r="AO69" i="19" s="1"/>
  <c r="C43" i="11" s="1"/>
  <c r="D43" i="11" s="1"/>
  <c r="AW16" i="19"/>
  <c r="AT13" i="19"/>
  <c r="AX17" i="19"/>
  <c r="AV15" i="19"/>
  <c r="AP9" i="19"/>
  <c r="AU14" i="19"/>
  <c r="AY18" i="19"/>
  <c r="AZ19" i="19"/>
  <c r="AQ47" i="18"/>
  <c r="AQ50" i="18" s="1"/>
  <c r="AQ53" i="18" s="1"/>
  <c r="AR45" i="18"/>
  <c r="AS39" i="18"/>
  <c r="AR44" i="18"/>
  <c r="AR46" i="18"/>
  <c r="AR43" i="18"/>
  <c r="AR41" i="18"/>
  <c r="AR42" i="18"/>
  <c r="CB46" i="19" l="1"/>
  <c r="CD48" i="19"/>
  <c r="CC47" i="19"/>
  <c r="BZ44" i="19"/>
  <c r="CA45" i="19"/>
  <c r="BX42" i="19"/>
  <c r="BV40" i="19"/>
  <c r="BU39" i="19"/>
  <c r="BS37" i="19"/>
  <c r="BR36" i="19"/>
  <c r="BR7" i="19" s="1"/>
  <c r="BR69" i="19" s="1"/>
  <c r="BT38" i="19"/>
  <c r="BW41" i="19"/>
  <c r="BY43" i="19"/>
  <c r="AU13" i="19"/>
  <c r="AQ9" i="19"/>
  <c r="AT12" i="19"/>
  <c r="BB20" i="19"/>
  <c r="AP8" i="19"/>
  <c r="AP7" i="19" s="1"/>
  <c r="AP69" i="19" s="1"/>
  <c r="AR10" i="19"/>
  <c r="AS11" i="19"/>
  <c r="AY17" i="19"/>
  <c r="AX16" i="19"/>
  <c r="AZ18" i="19"/>
  <c r="AV14" i="19"/>
  <c r="AW15" i="19"/>
  <c r="BA19" i="19"/>
  <c r="AR47" i="18"/>
  <c r="AR50" i="18" s="1"/>
  <c r="AR53" i="18" s="1"/>
  <c r="AT39" i="18"/>
  <c r="AS41" i="18"/>
  <c r="AS45" i="18"/>
  <c r="AS44" i="18"/>
  <c r="AS46" i="18"/>
  <c r="AS43" i="18"/>
  <c r="AS42" i="18"/>
  <c r="CC46" i="19" l="1"/>
  <c r="CD47" i="19"/>
  <c r="CA44" i="19"/>
  <c r="CB45" i="19"/>
  <c r="D8" i="22"/>
  <c r="Q9" i="26"/>
  <c r="I15" i="26"/>
  <c r="BY42" i="19"/>
  <c r="BT37" i="19"/>
  <c r="BW40" i="19"/>
  <c r="BU38" i="19"/>
  <c r="BV39" i="19"/>
  <c r="BS36" i="19"/>
  <c r="BS7" i="19" s="1"/>
  <c r="BS69" i="19" s="1"/>
  <c r="BZ43" i="19"/>
  <c r="BX41" i="19"/>
  <c r="AS47" i="18"/>
  <c r="AS50" i="18" s="1"/>
  <c r="AS53" i="18" s="1"/>
  <c r="CD46" i="19" s="1"/>
  <c r="AU39" i="18"/>
  <c r="AT45" i="18"/>
  <c r="AT41" i="18"/>
  <c r="AT44" i="18"/>
  <c r="AT46" i="18"/>
  <c r="AT42" i="18"/>
  <c r="AT43" i="18"/>
  <c r="AQ8" i="19"/>
  <c r="AQ7" i="19" s="1"/>
  <c r="AQ69" i="19" s="1"/>
  <c r="AS10" i="19"/>
  <c r="AR9" i="19"/>
  <c r="AU12" i="19"/>
  <c r="AT11" i="19"/>
  <c r="AY16" i="19"/>
  <c r="AV13" i="19"/>
  <c r="BB19" i="19"/>
  <c r="BA18" i="19"/>
  <c r="AZ17" i="19"/>
  <c r="AW14" i="19"/>
  <c r="AX15" i="19"/>
  <c r="CB44" i="19" l="1"/>
  <c r="CC45" i="19"/>
  <c r="Q15" i="26"/>
  <c r="F8" i="22"/>
  <c r="F14" i="22" s="1"/>
  <c r="D14" i="22"/>
  <c r="D16" i="22" s="1"/>
  <c r="BY41" i="19"/>
  <c r="BU37" i="19"/>
  <c r="BT36" i="19"/>
  <c r="BT7" i="19" s="1"/>
  <c r="BT69" i="19" s="1"/>
  <c r="BX40" i="19"/>
  <c r="BV38" i="19"/>
  <c r="BZ42" i="19"/>
  <c r="BW39" i="19"/>
  <c r="CA43" i="19"/>
  <c r="AT47" i="18"/>
  <c r="AT50" i="18" s="1"/>
  <c r="AT53" i="18" s="1"/>
  <c r="AR8" i="19"/>
  <c r="AR7" i="19" s="1"/>
  <c r="AR69" i="19" s="1"/>
  <c r="C35" i="11" s="1"/>
  <c r="B36" i="27" s="1"/>
  <c r="C36" i="27" s="1"/>
  <c r="D36" i="27" s="1"/>
  <c r="G36" i="27" s="1"/>
  <c r="AV12" i="19"/>
  <c r="AU11" i="19"/>
  <c r="AZ16" i="19"/>
  <c r="AS9" i="19"/>
  <c r="AW13" i="19"/>
  <c r="AY15" i="19"/>
  <c r="AX14" i="19"/>
  <c r="BB18" i="19"/>
  <c r="AT10" i="19"/>
  <c r="BA17" i="19"/>
  <c r="AV39" i="18"/>
  <c r="AU45" i="18"/>
  <c r="AU42" i="18"/>
  <c r="AU44" i="18"/>
  <c r="AU43" i="18"/>
  <c r="AU46" i="18"/>
  <c r="AU41" i="18"/>
  <c r="CC44" i="19" l="1"/>
  <c r="CD45" i="19"/>
  <c r="H36" i="27"/>
  <c r="D35" i="11"/>
  <c r="BZ41" i="19"/>
  <c r="BU36" i="19"/>
  <c r="BU7" i="19" s="1"/>
  <c r="BU69" i="19" s="1"/>
  <c r="BY40" i="19"/>
  <c r="BV37" i="19"/>
  <c r="CA42" i="19"/>
  <c r="BW38" i="19"/>
  <c r="BX39" i="19"/>
  <c r="CB43" i="19"/>
  <c r="AU47" i="18"/>
  <c r="AU50" i="18" s="1"/>
  <c r="AU53" i="18" s="1"/>
  <c r="CD44" i="19" s="1"/>
  <c r="AW39" i="18"/>
  <c r="AV46" i="18"/>
  <c r="AV45" i="18"/>
  <c r="AV41" i="18"/>
  <c r="AV44" i="18"/>
  <c r="AV42" i="18"/>
  <c r="AV43" i="18"/>
  <c r="AV11" i="19"/>
  <c r="BA16" i="19"/>
  <c r="AW12" i="19"/>
  <c r="AT9" i="19"/>
  <c r="BB17" i="19"/>
  <c r="AX13" i="19"/>
  <c r="AS8" i="19"/>
  <c r="AS7" i="19" s="1"/>
  <c r="AS69" i="19" s="1"/>
  <c r="C36" i="11" s="1"/>
  <c r="B37" i="27" s="1"/>
  <c r="C37" i="27" s="1"/>
  <c r="D37" i="27" s="1"/>
  <c r="G37" i="27" s="1"/>
  <c r="H37" i="27" s="1"/>
  <c r="AU10" i="19"/>
  <c r="AY14" i="19"/>
  <c r="AZ15" i="19"/>
  <c r="D36" i="11" l="1"/>
  <c r="BB16" i="19"/>
  <c r="CB42" i="19"/>
  <c r="CA41" i="19"/>
  <c r="BW37" i="19"/>
  <c r="BZ40" i="19"/>
  <c r="BV36" i="19"/>
  <c r="BV7" i="19" s="1"/>
  <c r="BV69" i="19" s="1"/>
  <c r="BY39" i="19"/>
  <c r="BX38" i="19"/>
  <c r="CC43" i="19"/>
  <c r="BA15" i="19"/>
  <c r="AV10" i="19"/>
  <c r="AW11" i="19"/>
  <c r="AT8" i="19"/>
  <c r="AT7" i="19" s="1"/>
  <c r="AT69" i="19" s="1"/>
  <c r="C37" i="11" s="1"/>
  <c r="B38" i="27" s="1"/>
  <c r="C38" i="27" s="1"/>
  <c r="D38" i="27" s="1"/>
  <c r="G38" i="27" s="1"/>
  <c r="H38" i="27" s="1"/>
  <c r="AY13" i="19"/>
  <c r="AX12" i="19"/>
  <c r="AZ14" i="19"/>
  <c r="AU9" i="19"/>
  <c r="AW45" i="18"/>
  <c r="AX39" i="18"/>
  <c r="AW44" i="18"/>
  <c r="AW41" i="18"/>
  <c r="AW46" i="18"/>
  <c r="AW43" i="18"/>
  <c r="AW42" i="18"/>
  <c r="AV47" i="18"/>
  <c r="AV50" i="18" s="1"/>
  <c r="AV53" i="18" s="1"/>
  <c r="D37" i="11" l="1"/>
  <c r="CC42" i="19"/>
  <c r="CB41" i="19"/>
  <c r="BX37" i="19"/>
  <c r="CA40" i="19"/>
  <c r="BW36" i="19"/>
  <c r="BW7" i="19" s="1"/>
  <c r="BW69" i="19" s="1"/>
  <c r="BY38" i="19"/>
  <c r="BZ39" i="19"/>
  <c r="CD43" i="19"/>
  <c r="AW10" i="19"/>
  <c r="AV9" i="19"/>
  <c r="AX11" i="19"/>
  <c r="AY12" i="19"/>
  <c r="BB15" i="19"/>
  <c r="AZ13" i="19"/>
  <c r="BA14" i="19"/>
  <c r="AU8" i="19"/>
  <c r="AU7" i="19" s="1"/>
  <c r="AU69" i="19" s="1"/>
  <c r="C38" i="11" s="1"/>
  <c r="B39" i="27" s="1"/>
  <c r="C39" i="27" s="1"/>
  <c r="D39" i="27" s="1"/>
  <c r="G39" i="27" s="1"/>
  <c r="H39" i="27" s="1"/>
  <c r="AY39" i="18"/>
  <c r="AX45" i="18"/>
  <c r="AX44" i="18"/>
  <c r="AX46" i="18"/>
  <c r="AX41" i="18"/>
  <c r="AX43" i="18"/>
  <c r="AX42" i="18"/>
  <c r="AW47" i="18"/>
  <c r="AW50" i="18" s="1"/>
  <c r="AW53" i="18" s="1"/>
  <c r="D38" i="11" l="1"/>
  <c r="CD42" i="19"/>
  <c r="BX36" i="19"/>
  <c r="BX7" i="19" s="1"/>
  <c r="BX69" i="19" s="1"/>
  <c r="CB40" i="19"/>
  <c r="CA39" i="19"/>
  <c r="BY37" i="19"/>
  <c r="BZ38" i="19"/>
  <c r="CC41" i="19"/>
  <c r="F16" i="22"/>
  <c r="AY11" i="19"/>
  <c r="AX10" i="19"/>
  <c r="AZ12" i="19"/>
  <c r="AV8" i="19"/>
  <c r="AV7" i="19" s="1"/>
  <c r="AV69" i="19" s="1"/>
  <c r="C39" i="11" s="1"/>
  <c r="B40" i="27" s="1"/>
  <c r="BB14" i="19"/>
  <c r="AW9" i="19"/>
  <c r="BA13" i="19"/>
  <c r="AX47" i="18"/>
  <c r="AX50" i="18" s="1"/>
  <c r="AX53" i="18" s="1"/>
  <c r="AY45" i="18"/>
  <c r="AZ39" i="18"/>
  <c r="AY42" i="18"/>
  <c r="AY44" i="18"/>
  <c r="AY46" i="18"/>
  <c r="AY43" i="18"/>
  <c r="AY41" i="18"/>
  <c r="C40" i="27" l="1"/>
  <c r="B41" i="27"/>
  <c r="B42" i="27"/>
  <c r="D39" i="11"/>
  <c r="CB39" i="19"/>
  <c r="CC40" i="19"/>
  <c r="CA38" i="19"/>
  <c r="BZ37" i="19"/>
  <c r="BY36" i="19"/>
  <c r="BY7" i="19" s="1"/>
  <c r="BY69" i="19" s="1"/>
  <c r="CD41" i="19"/>
  <c r="BB13" i="19"/>
  <c r="BA12" i="19"/>
  <c r="AX9" i="19"/>
  <c r="AZ11" i="19"/>
  <c r="AW8" i="19"/>
  <c r="AW7" i="19" s="1"/>
  <c r="AW69" i="19" s="1"/>
  <c r="C40" i="11" s="1"/>
  <c r="D40" i="11" s="1"/>
  <c r="AY10" i="19"/>
  <c r="AY47" i="18"/>
  <c r="AY50" i="18" s="1"/>
  <c r="AY53" i="18" s="1"/>
  <c r="BA39" i="18"/>
  <c r="AZ44" i="18"/>
  <c r="AZ45" i="18"/>
  <c r="AZ46" i="18"/>
  <c r="AZ41" i="18"/>
  <c r="AZ43" i="18"/>
  <c r="AZ42" i="18"/>
  <c r="D40" i="27" l="1"/>
  <c r="C41" i="27"/>
  <c r="C42" i="27"/>
  <c r="CB38" i="19"/>
  <c r="BZ36" i="19"/>
  <c r="BZ7" i="19" s="1"/>
  <c r="BZ69" i="19" s="1"/>
  <c r="CA37" i="19"/>
  <c r="CD40" i="19"/>
  <c r="CC39" i="19"/>
  <c r="AZ47" i="18"/>
  <c r="AZ50" i="18" s="1"/>
  <c r="AZ53" i="18" s="1"/>
  <c r="BA44" i="18"/>
  <c r="BB39" i="18"/>
  <c r="BA41" i="18"/>
  <c r="BA46" i="18"/>
  <c r="BA45" i="18"/>
  <c r="BA43" i="18"/>
  <c r="BA42" i="18"/>
  <c r="AX8" i="19"/>
  <c r="AX7" i="19" s="1"/>
  <c r="AX69" i="19" s="1"/>
  <c r="BB12" i="19"/>
  <c r="BA11" i="19"/>
  <c r="AY9" i="19"/>
  <c r="AZ10" i="19"/>
  <c r="G40" i="27" l="1"/>
  <c r="D41" i="27"/>
  <c r="D42" i="27"/>
  <c r="CD39" i="19"/>
  <c r="CA36" i="19"/>
  <c r="CA7" i="19" s="1"/>
  <c r="CA69" i="19" s="1"/>
  <c r="CB37" i="19"/>
  <c r="CC38" i="19"/>
  <c r="BA47" i="18"/>
  <c r="BA50" i="18" s="1"/>
  <c r="BA53" i="18" s="1"/>
  <c r="BC39" i="18"/>
  <c r="BB44" i="18"/>
  <c r="BB41" i="18"/>
  <c r="BB46" i="18"/>
  <c r="BB45" i="18"/>
  <c r="BB42" i="18"/>
  <c r="BB43" i="18"/>
  <c r="BB11" i="19"/>
  <c r="AZ9" i="19"/>
  <c r="AY8" i="19"/>
  <c r="AY7" i="19" s="1"/>
  <c r="AY69" i="19" s="1"/>
  <c r="BA10" i="19"/>
  <c r="H40" i="27" l="1"/>
  <c r="H42" i="27" s="1"/>
  <c r="G41" i="27"/>
  <c r="G42" i="27"/>
  <c r="CC37" i="19"/>
  <c r="CD38" i="19"/>
  <c r="CB36" i="19"/>
  <c r="CB7" i="19" s="1"/>
  <c r="CB69" i="19" s="1"/>
  <c r="BB47" i="18"/>
  <c r="BB50" i="18" s="1"/>
  <c r="BB53" i="18" s="1"/>
  <c r="BC44" i="18"/>
  <c r="BC43" i="18"/>
  <c r="BC45" i="18"/>
  <c r="BC46" i="18"/>
  <c r="BC42" i="18"/>
  <c r="BC41" i="18"/>
  <c r="AZ8" i="19"/>
  <c r="AZ7" i="19" s="1"/>
  <c r="AZ69" i="19" s="1"/>
  <c r="BB10" i="19"/>
  <c r="BA9" i="19"/>
  <c r="CD37" i="19" l="1"/>
  <c r="CC36" i="19"/>
  <c r="CC7" i="19" s="1"/>
  <c r="CC69" i="19" s="1"/>
  <c r="BC47" i="18"/>
  <c r="BC50" i="18" s="1"/>
  <c r="BC53" i="18" s="1"/>
  <c r="BB9" i="19"/>
  <c r="BA8" i="19"/>
  <c r="BA7" i="19" s="1"/>
  <c r="BA69" i="19" s="1"/>
  <c r="BB8" i="19" l="1"/>
  <c r="BB7" i="19" s="1"/>
  <c r="BB69" i="19" s="1"/>
  <c r="CD36" i="19"/>
  <c r="CD7" i="19" s="1"/>
  <c r="CD69" i="19" s="1"/>
</calcChain>
</file>

<file path=xl/sharedStrings.xml><?xml version="1.0" encoding="utf-8"?>
<sst xmlns="http://schemas.openxmlformats.org/spreadsheetml/2006/main" count="263" uniqueCount="197">
  <si>
    <t>Year</t>
  </si>
  <si>
    <t>Value</t>
  </si>
  <si>
    <t>Unit</t>
  </si>
  <si>
    <t>MWh/yr</t>
  </si>
  <si>
    <t>Total</t>
  </si>
  <si>
    <t>f</t>
  </si>
  <si>
    <t>OX</t>
  </si>
  <si>
    <t>F</t>
  </si>
  <si>
    <t>Model correction factor</t>
  </si>
  <si>
    <t>Fraction of methane in the LFG</t>
  </si>
  <si>
    <t>Food</t>
  </si>
  <si>
    <t>Wood</t>
  </si>
  <si>
    <t>Textile</t>
  </si>
  <si>
    <t>Paper
Cardboard</t>
  </si>
  <si>
    <t>Per ton</t>
  </si>
  <si>
    <t>Paper and Cardboard</t>
  </si>
  <si>
    <t>Year after disposal</t>
  </si>
  <si>
    <t>Hours per year</t>
  </si>
  <si>
    <t>Garden waste</t>
  </si>
  <si>
    <t>Inorganic and other</t>
  </si>
  <si>
    <t>Fraction of degradable organic content that can decompose</t>
  </si>
  <si>
    <t>φ</t>
  </si>
  <si>
    <t>Oxidation factor: there is an oxidizing cover</t>
  </si>
  <si>
    <t>kW</t>
  </si>
  <si>
    <t>Fraction of methane captured at the SWDS and flared,
combusted or used in another manner</t>
  </si>
  <si>
    <t>Plastic, metal
glass, other
inert</t>
  </si>
  <si>
    <t>Parameter</t>
  </si>
  <si>
    <t>Global Warming Potential of methane</t>
  </si>
  <si>
    <r>
      <t xml:space="preserve">Waste composition (1) </t>
    </r>
    <r>
      <rPr>
        <sz val="12"/>
        <rFont val="Arial"/>
        <family val="2"/>
      </rPr>
      <t/>
    </r>
  </si>
  <si>
    <t>j</t>
  </si>
  <si>
    <t>MAT</t>
  </si>
  <si>
    <t>MAP</t>
  </si>
  <si>
    <t>MAP/PET</t>
  </si>
  <si>
    <t>Decay rate for the waste type j according to MAT and MAP</t>
  </si>
  <si>
    <t>Mean Average Temperature (°C) (2)</t>
  </si>
  <si>
    <t>Mean Average Precipitation (mm) (3)</t>
  </si>
  <si>
    <t>Aridity index (4)</t>
  </si>
  <si>
    <t>(2)</t>
  </si>
  <si>
    <t>(3)</t>
  </si>
  <si>
    <t>(4)</t>
  </si>
  <si>
    <t>(5)</t>
  </si>
  <si>
    <t>Sources and justifications:</t>
  </si>
  <si>
    <t>Methane correction factor: Anaerobic managed site</t>
  </si>
  <si>
    <t>Fraction of degradable organic carbon in the waste type j (2)</t>
  </si>
  <si>
    <t>-</t>
  </si>
  <si>
    <r>
      <t>tCO</t>
    </r>
    <r>
      <rPr>
        <vertAlign val="subscript"/>
        <sz val="9"/>
        <rFont val="Calibri"/>
        <family val="2"/>
      </rPr>
      <t>2</t>
    </r>
    <r>
      <rPr>
        <sz val="9"/>
        <rFont val="Calibri"/>
        <family val="2"/>
      </rPr>
      <t>e/MWh</t>
    </r>
  </si>
  <si>
    <r>
      <t xml:space="preserve">Total 
</t>
    </r>
    <r>
      <rPr>
        <sz val="9"/>
        <rFont val="Calibri"/>
        <family val="2"/>
      </rPr>
      <t>(ton of CO</t>
    </r>
    <r>
      <rPr>
        <vertAlign val="subscript"/>
        <sz val="9"/>
        <rFont val="Calibri"/>
        <family val="2"/>
      </rPr>
      <t>2</t>
    </r>
    <r>
      <rPr>
        <sz val="9"/>
        <rFont val="Calibri"/>
        <family val="2"/>
      </rPr>
      <t>e)</t>
    </r>
  </si>
  <si>
    <r>
      <t xml:space="preserve">Baseline emissions per ton of MSW disposed on site in year </t>
    </r>
    <r>
      <rPr>
        <b/>
        <i/>
        <sz val="9"/>
        <rFont val="Calibri"/>
        <family val="2"/>
      </rPr>
      <t>y</t>
    </r>
    <r>
      <rPr>
        <b/>
        <sz val="9"/>
        <rFont val="Calibri"/>
        <family val="2"/>
      </rPr>
      <t xml:space="preserve"> (tCO</t>
    </r>
    <r>
      <rPr>
        <b/>
        <vertAlign val="subscript"/>
        <sz val="9"/>
        <rFont val="Calibri"/>
        <family val="2"/>
      </rPr>
      <t>2</t>
    </r>
    <r>
      <rPr>
        <b/>
        <sz val="9"/>
        <rFont val="Calibri"/>
        <family val="2"/>
      </rPr>
      <t>e/ ton of waste)</t>
    </r>
  </si>
  <si>
    <r>
      <t>Estimated baseline emissions (tCO</t>
    </r>
    <r>
      <rPr>
        <b/>
        <vertAlign val="subscript"/>
        <sz val="9"/>
        <rFont val="Calibri"/>
        <family val="2"/>
      </rPr>
      <t>2</t>
    </r>
    <r>
      <rPr>
        <b/>
        <sz val="9"/>
        <rFont val="Calibri"/>
        <family val="2"/>
      </rPr>
      <t>e)</t>
    </r>
  </si>
  <si>
    <r>
      <rPr>
        <b/>
        <i/>
        <sz val="9"/>
        <rFont val="Calibri"/>
        <family val="2"/>
      </rPr>
      <t>LFG production (m</t>
    </r>
    <r>
      <rPr>
        <b/>
        <i/>
        <vertAlign val="superscript"/>
        <sz val="9"/>
        <rFont val="Calibri"/>
        <family val="2"/>
      </rPr>
      <t>3</t>
    </r>
    <r>
      <rPr>
        <b/>
        <i/>
        <sz val="9"/>
        <rFont val="Calibri"/>
        <family val="2"/>
      </rPr>
      <t xml:space="preserve"> LFG/h)</t>
    </r>
  </si>
  <si>
    <r>
      <t>t/m</t>
    </r>
    <r>
      <rPr>
        <vertAlign val="superscript"/>
        <sz val="9"/>
        <rFont val="Calibri"/>
        <family val="2"/>
      </rPr>
      <t>3</t>
    </r>
  </si>
  <si>
    <r>
      <t>1t CH</t>
    </r>
    <r>
      <rPr>
        <vertAlign val="subscript"/>
        <sz val="9"/>
        <rFont val="Calibri"/>
        <family val="2"/>
      </rPr>
      <t>4</t>
    </r>
  </si>
  <si>
    <r>
      <t>m</t>
    </r>
    <r>
      <rPr>
        <vertAlign val="superscript"/>
        <sz val="9"/>
        <rFont val="Calibri"/>
        <family val="2"/>
      </rPr>
      <t>3</t>
    </r>
  </si>
  <si>
    <r>
      <t>1t CO</t>
    </r>
    <r>
      <rPr>
        <vertAlign val="subscript"/>
        <sz val="9"/>
        <rFont val="Calibri"/>
        <family val="2"/>
      </rPr>
      <t>2</t>
    </r>
    <r>
      <rPr>
        <sz val="9"/>
        <rFont val="Calibri"/>
        <family val="2"/>
      </rPr>
      <t>e in baseline =</t>
    </r>
  </si>
  <si>
    <r>
      <t>m</t>
    </r>
    <r>
      <rPr>
        <vertAlign val="superscript"/>
        <sz val="9"/>
        <rFont val="Calibri"/>
        <family val="2"/>
      </rPr>
      <t>3</t>
    </r>
    <r>
      <rPr>
        <sz val="9"/>
        <rFont val="Calibri"/>
        <family val="2"/>
      </rPr>
      <t xml:space="preserve"> CH</t>
    </r>
    <r>
      <rPr>
        <vertAlign val="subscript"/>
        <sz val="9"/>
        <rFont val="Calibri"/>
        <family val="2"/>
      </rPr>
      <t>4</t>
    </r>
  </si>
  <si>
    <r>
      <t>m</t>
    </r>
    <r>
      <rPr>
        <vertAlign val="superscript"/>
        <sz val="9"/>
        <rFont val="Calibri"/>
        <family val="2"/>
      </rPr>
      <t>3</t>
    </r>
    <r>
      <rPr>
        <sz val="9"/>
        <rFont val="Calibri"/>
        <family val="2"/>
      </rPr>
      <t xml:space="preserve"> LFG</t>
    </r>
  </si>
  <si>
    <r>
      <t>m</t>
    </r>
    <r>
      <rPr>
        <vertAlign val="superscript"/>
        <sz val="9"/>
        <rFont val="Calibri"/>
        <family val="2"/>
      </rPr>
      <t>3</t>
    </r>
    <r>
      <rPr>
        <sz val="9"/>
        <rFont val="Calibri"/>
        <family val="2"/>
      </rPr>
      <t xml:space="preserve"> LFG/h</t>
    </r>
  </si>
  <si>
    <t>Conversion factors</t>
  </si>
  <si>
    <r>
      <t>D</t>
    </r>
    <r>
      <rPr>
        <i/>
        <vertAlign val="subscript"/>
        <sz val="9"/>
        <rFont val="Calibri"/>
        <family val="2"/>
      </rPr>
      <t>CH4,n,h</t>
    </r>
  </si>
  <si>
    <r>
      <t>w</t>
    </r>
    <r>
      <rPr>
        <i/>
        <vertAlign val="subscript"/>
        <sz val="9"/>
        <rFont val="Calibri"/>
        <family val="2"/>
      </rPr>
      <t>j</t>
    </r>
    <r>
      <rPr>
        <sz val="12"/>
        <rFont val="Cambria"/>
        <family val="1"/>
      </rPr>
      <t/>
    </r>
  </si>
  <si>
    <r>
      <t>DOC</t>
    </r>
    <r>
      <rPr>
        <i/>
        <vertAlign val="subscript"/>
        <sz val="9"/>
        <rFont val="Calibri"/>
        <family val="2"/>
      </rPr>
      <t>j</t>
    </r>
  </si>
  <si>
    <r>
      <t>k</t>
    </r>
    <r>
      <rPr>
        <i/>
        <vertAlign val="subscript"/>
        <sz val="9"/>
        <rFont val="Calibri"/>
        <family val="2"/>
      </rPr>
      <t>j</t>
    </r>
  </si>
  <si>
    <r>
      <t xml:space="preserve"> ΣΣ W</t>
    </r>
    <r>
      <rPr>
        <i/>
        <vertAlign val="subscript"/>
        <sz val="9"/>
        <rFont val="Calibri"/>
        <family val="2"/>
      </rPr>
      <t>j,x</t>
    </r>
    <r>
      <rPr>
        <i/>
        <sz val="9"/>
        <rFont val="Calibri"/>
        <family val="2"/>
      </rPr>
      <t xml:space="preserve"> * DOC</t>
    </r>
    <r>
      <rPr>
        <i/>
        <vertAlign val="subscript"/>
        <sz val="9"/>
        <rFont val="Calibri"/>
        <family val="2"/>
      </rPr>
      <t>j</t>
    </r>
    <r>
      <rPr>
        <i/>
        <sz val="9"/>
        <rFont val="Calibri"/>
        <family val="2"/>
      </rPr>
      <t xml:space="preserve"> * e</t>
    </r>
    <r>
      <rPr>
        <i/>
        <vertAlign val="superscript"/>
        <sz val="9"/>
        <rFont val="Calibri"/>
        <family val="2"/>
      </rPr>
      <t xml:space="preserve"> -kj(y-x)</t>
    </r>
    <r>
      <rPr>
        <i/>
        <sz val="9"/>
        <rFont val="Calibri"/>
        <family val="2"/>
      </rPr>
      <t xml:space="preserve"> * (1-e</t>
    </r>
    <r>
      <rPr>
        <i/>
        <vertAlign val="superscript"/>
        <sz val="9"/>
        <rFont val="Calibri"/>
        <family val="2"/>
      </rPr>
      <t>-kj</t>
    </r>
    <r>
      <rPr>
        <i/>
        <sz val="9"/>
        <rFont val="Calibri"/>
        <family val="2"/>
      </rPr>
      <t>)</t>
    </r>
  </si>
  <si>
    <r>
      <t xml:space="preserve">Waste Composition and degradable organic content - </t>
    </r>
    <r>
      <rPr>
        <b/>
        <i/>
        <sz val="9"/>
        <rFont val="Calibri"/>
        <family val="2"/>
      </rPr>
      <t>DOCj</t>
    </r>
  </si>
  <si>
    <r>
      <t xml:space="preserve">Waste decay rate - </t>
    </r>
    <r>
      <rPr>
        <b/>
        <i/>
        <sz val="9"/>
        <rFont val="Calibri"/>
        <family val="2"/>
      </rPr>
      <t>k</t>
    </r>
    <r>
      <rPr>
        <b/>
        <i/>
        <vertAlign val="subscript"/>
        <sz val="9"/>
        <rFont val="Calibri"/>
        <family val="2"/>
      </rPr>
      <t>j</t>
    </r>
  </si>
  <si>
    <r>
      <t>Baseline emissions (tCO</t>
    </r>
    <r>
      <rPr>
        <b/>
        <vertAlign val="subscript"/>
        <sz val="9"/>
        <rFont val="Calibri"/>
        <family val="2"/>
      </rPr>
      <t>2</t>
    </r>
    <r>
      <rPr>
        <b/>
        <sz val="9"/>
        <rFont val="Calibri"/>
        <family val="2"/>
      </rPr>
      <t>e) 
BE</t>
    </r>
    <r>
      <rPr>
        <b/>
        <vertAlign val="subscript"/>
        <sz val="9"/>
        <rFont val="Calibri"/>
        <family val="2"/>
      </rPr>
      <t xml:space="preserve">CH4,SWDS,y = </t>
    </r>
  </si>
  <si>
    <t>Metric ton</t>
  </si>
  <si>
    <t>Cumulative metric ton</t>
  </si>
  <si>
    <r>
      <rPr>
        <b/>
        <sz val="9"/>
        <rFont val="Calibri"/>
        <family val="2"/>
      </rPr>
      <t>Base formulae</t>
    </r>
    <r>
      <rPr>
        <sz val="9"/>
        <rFont val="Calibri"/>
        <family val="2"/>
      </rPr>
      <t xml:space="preserve">:  </t>
    </r>
    <r>
      <rPr>
        <i/>
        <sz val="9"/>
        <rFont val="Calibri"/>
        <family val="2"/>
      </rPr>
      <t>BE</t>
    </r>
    <r>
      <rPr>
        <i/>
        <vertAlign val="subscript"/>
        <sz val="9"/>
        <rFont val="Calibri"/>
        <family val="2"/>
      </rPr>
      <t>CH4,SWDS,y</t>
    </r>
    <r>
      <rPr>
        <i/>
        <sz val="9"/>
        <rFont val="Calibri"/>
        <family val="2"/>
      </rPr>
      <t xml:space="preserve"> = φ * (1-f) * GWP</t>
    </r>
    <r>
      <rPr>
        <i/>
        <vertAlign val="subscript"/>
        <sz val="9"/>
        <rFont val="Calibri"/>
        <family val="2"/>
      </rPr>
      <t xml:space="preserve">CH4 </t>
    </r>
    <r>
      <rPr>
        <i/>
        <sz val="9"/>
        <rFont val="Calibri"/>
        <family val="2"/>
      </rPr>
      <t>* (1-OX) * 16/12 * F * DOC</t>
    </r>
    <r>
      <rPr>
        <i/>
        <vertAlign val="subscript"/>
        <sz val="9"/>
        <rFont val="Calibri"/>
        <family val="2"/>
      </rPr>
      <t>f,default</t>
    </r>
    <r>
      <rPr>
        <i/>
        <sz val="9"/>
        <rFont val="Calibri"/>
        <family val="2"/>
      </rPr>
      <t xml:space="preserve"> * MCF</t>
    </r>
    <r>
      <rPr>
        <i/>
        <vertAlign val="subscript"/>
        <sz val="9"/>
        <rFont val="Calibri"/>
        <family val="2"/>
      </rPr>
      <t>default</t>
    </r>
    <r>
      <rPr>
        <i/>
        <sz val="9"/>
        <rFont val="Calibri"/>
        <family val="2"/>
      </rPr>
      <t xml:space="preserve"> * ΣΣ W</t>
    </r>
    <r>
      <rPr>
        <i/>
        <vertAlign val="subscript"/>
        <sz val="9"/>
        <rFont val="Calibri"/>
        <family val="2"/>
      </rPr>
      <t>j,x</t>
    </r>
    <r>
      <rPr>
        <i/>
        <sz val="9"/>
        <rFont val="Calibri"/>
        <family val="2"/>
      </rPr>
      <t xml:space="preserve"> * DOC</t>
    </r>
    <r>
      <rPr>
        <i/>
        <vertAlign val="subscript"/>
        <sz val="9"/>
        <rFont val="Calibri"/>
        <family val="2"/>
      </rPr>
      <t>j</t>
    </r>
    <r>
      <rPr>
        <i/>
        <sz val="9"/>
        <rFont val="Calibri"/>
        <family val="2"/>
      </rPr>
      <t xml:space="preserve"> * e</t>
    </r>
    <r>
      <rPr>
        <i/>
        <vertAlign val="superscript"/>
        <sz val="9"/>
        <rFont val="Calibri"/>
        <family val="2"/>
      </rPr>
      <t xml:space="preserve"> -kj(y-x)</t>
    </r>
    <r>
      <rPr>
        <i/>
        <sz val="9"/>
        <rFont val="Calibri"/>
        <family val="2"/>
      </rPr>
      <t xml:space="preserve"> * (1-e</t>
    </r>
    <r>
      <rPr>
        <i/>
        <vertAlign val="superscript"/>
        <sz val="9"/>
        <rFont val="Calibri"/>
        <family val="2"/>
      </rPr>
      <t>-kj</t>
    </r>
    <r>
      <rPr>
        <i/>
        <sz val="9"/>
        <rFont val="Calibri"/>
        <family val="2"/>
      </rPr>
      <t>)</t>
    </r>
  </si>
  <si>
    <r>
      <t xml:space="preserve">Parameters  </t>
    </r>
    <r>
      <rPr>
        <b/>
        <i/>
        <sz val="9"/>
        <rFont val="Calibri"/>
        <family val="2"/>
      </rPr>
      <t>φ, f, GWP</t>
    </r>
    <r>
      <rPr>
        <b/>
        <i/>
        <vertAlign val="subscript"/>
        <sz val="9"/>
        <rFont val="Calibri"/>
        <family val="2"/>
      </rPr>
      <t>CH4</t>
    </r>
    <r>
      <rPr>
        <b/>
        <i/>
        <sz val="9"/>
        <rFont val="Calibri"/>
        <family val="2"/>
      </rPr>
      <t>, OX, F, DOC</t>
    </r>
    <r>
      <rPr>
        <b/>
        <i/>
        <vertAlign val="subscript"/>
        <sz val="9"/>
        <rFont val="Calibri"/>
        <family val="2"/>
      </rPr>
      <t>f,default</t>
    </r>
    <r>
      <rPr>
        <b/>
        <i/>
        <sz val="9"/>
        <rFont val="Calibri"/>
        <family val="2"/>
      </rPr>
      <t>, MCF</t>
    </r>
    <r>
      <rPr>
        <b/>
        <i/>
        <vertAlign val="subscript"/>
        <sz val="9"/>
        <rFont val="Calibri"/>
        <family val="2"/>
      </rPr>
      <t>default</t>
    </r>
  </si>
  <si>
    <r>
      <t>φ * (1-f</t>
    </r>
    <r>
      <rPr>
        <i/>
        <vertAlign val="subscript"/>
        <sz val="9"/>
        <rFont val="Calibri"/>
        <family val="2"/>
      </rPr>
      <t>y</t>
    </r>
    <r>
      <rPr>
        <i/>
        <sz val="9"/>
        <rFont val="Calibri"/>
        <family val="2"/>
      </rPr>
      <t>) * GWP</t>
    </r>
    <r>
      <rPr>
        <i/>
        <vertAlign val="subscript"/>
        <sz val="9"/>
        <rFont val="Calibri"/>
        <family val="2"/>
      </rPr>
      <t xml:space="preserve">CH4 </t>
    </r>
    <r>
      <rPr>
        <i/>
        <sz val="9"/>
        <rFont val="Calibri"/>
        <family val="2"/>
      </rPr>
      <t>* (1-OX) * 16/12 * F * DOC</t>
    </r>
    <r>
      <rPr>
        <i/>
        <vertAlign val="subscript"/>
        <sz val="9"/>
        <rFont val="Calibri"/>
        <family val="2"/>
      </rPr>
      <t>f,default</t>
    </r>
    <r>
      <rPr>
        <i/>
        <sz val="9"/>
        <rFont val="Calibri"/>
        <family val="2"/>
      </rPr>
      <t xml:space="preserve"> * MCF</t>
    </r>
    <r>
      <rPr>
        <i/>
        <vertAlign val="subscript"/>
        <sz val="9"/>
        <rFont val="Calibri"/>
        <family val="2"/>
      </rPr>
      <t>default</t>
    </r>
    <r>
      <rPr>
        <i/>
        <sz val="9"/>
        <rFont val="Calibri"/>
        <family val="2"/>
      </rPr>
      <t xml:space="preserve"> = </t>
    </r>
  </si>
  <si>
    <t>Calculation Sheet</t>
  </si>
  <si>
    <t>(1)</t>
  </si>
  <si>
    <t>Variable / parameter</t>
  </si>
  <si>
    <t>Unless indicated, all values are taken from the methodological tool "Emission from Solid Waste Disposal Sites"</t>
  </si>
  <si>
    <t>Annual amount of MSW disposed (ton/year) (i)</t>
  </si>
  <si>
    <t>MAT ≤ 20ºC and MAP/PET &lt; 1,000 mm</t>
  </si>
  <si>
    <t>MAT ≤ 20ºC and MAP/PET &gt; 1,000 mm</t>
  </si>
  <si>
    <t>MAT &gt; 20ºC and MAP ≤ 1,000 mm</t>
  </si>
  <si>
    <t>MAT &gt; 20ºC and MAP &gt; 1,000 mm</t>
  </si>
  <si>
    <r>
      <t>EC</t>
    </r>
    <r>
      <rPr>
        <vertAlign val="subscript"/>
        <sz val="10"/>
        <rFont val="Calibri"/>
        <family val="2"/>
      </rPr>
      <t>PJ,grid,y</t>
    </r>
    <r>
      <rPr>
        <sz val="10"/>
        <rFont val="Calibri"/>
        <family val="2"/>
      </rPr>
      <t xml:space="preserve"> </t>
    </r>
  </si>
  <si>
    <r>
      <t>Total Project emissions promoted the project activity - PEy
(tCO</t>
    </r>
    <r>
      <rPr>
        <vertAlign val="subscript"/>
        <sz val="9"/>
        <rFont val="Calibri"/>
        <family val="2"/>
      </rPr>
      <t>2</t>
    </r>
    <r>
      <rPr>
        <sz val="9"/>
        <rFont val="Calibri"/>
        <family val="2"/>
      </rPr>
      <t>e)</t>
    </r>
  </si>
  <si>
    <t>Average forecasts of LFG generation and LFG capture by project activity (in flow basis)</t>
  </si>
  <si>
    <t>Electricity consumed from the grid 
(MWh)</t>
  </si>
  <si>
    <r>
      <t>EC</t>
    </r>
    <r>
      <rPr>
        <vertAlign val="subscript"/>
        <sz val="10"/>
        <rFont val="Calibri"/>
        <family val="2"/>
        <scheme val="minor"/>
      </rPr>
      <t>PJ,grid,y</t>
    </r>
    <r>
      <rPr>
        <sz val="10"/>
        <rFont val="Arial"/>
        <family val="2"/>
      </rPr>
      <t/>
    </r>
  </si>
  <si>
    <r>
      <t>ER</t>
    </r>
    <r>
      <rPr>
        <vertAlign val="subscript"/>
        <sz val="10"/>
        <rFont val="Calibri"/>
        <family val="2"/>
        <scheme val="minor"/>
      </rPr>
      <t xml:space="preserve">y </t>
    </r>
    <r>
      <rPr>
        <sz val="10"/>
        <rFont val="Calibri"/>
        <family val="2"/>
        <scheme val="minor"/>
      </rPr>
      <t>= BE</t>
    </r>
    <r>
      <rPr>
        <vertAlign val="subscript"/>
        <sz val="10"/>
        <rFont val="Calibri"/>
        <family val="2"/>
        <scheme val="minor"/>
      </rPr>
      <t xml:space="preserve">y </t>
    </r>
    <r>
      <rPr>
        <sz val="10"/>
        <rFont val="Calibri"/>
        <family val="2"/>
        <scheme val="minor"/>
      </rPr>
      <t>- PE</t>
    </r>
    <r>
      <rPr>
        <vertAlign val="subscript"/>
        <sz val="10"/>
        <rFont val="Calibri"/>
        <family val="2"/>
        <scheme val="minor"/>
      </rPr>
      <t>y</t>
    </r>
  </si>
  <si>
    <r>
      <t>BE</t>
    </r>
    <r>
      <rPr>
        <b/>
        <vertAlign val="subscript"/>
        <sz val="9"/>
        <rFont val="Calibri"/>
        <family val="2"/>
        <scheme val="minor"/>
      </rPr>
      <t>y</t>
    </r>
  </si>
  <si>
    <r>
      <t>Estimation of BE</t>
    </r>
    <r>
      <rPr>
        <vertAlign val="subscript"/>
        <sz val="9"/>
        <rFont val="Calibri"/>
        <family val="2"/>
        <scheme val="minor"/>
      </rPr>
      <t>CH4,SWDS,y</t>
    </r>
    <r>
      <rPr>
        <sz val="9"/>
        <rFont val="Calibri"/>
        <family val="2"/>
        <scheme val="minor"/>
      </rPr>
      <t xml:space="preserve"> 
(tCO</t>
    </r>
    <r>
      <rPr>
        <vertAlign val="subscript"/>
        <sz val="9"/>
        <rFont val="Calibri"/>
        <family val="2"/>
        <scheme val="minor"/>
      </rPr>
      <t>2</t>
    </r>
    <r>
      <rPr>
        <sz val="9"/>
        <rFont val="Calibri"/>
        <family val="2"/>
        <scheme val="minor"/>
      </rPr>
      <t>e)</t>
    </r>
  </si>
  <si>
    <r>
      <t>Estimation of F</t>
    </r>
    <r>
      <rPr>
        <vertAlign val="subscript"/>
        <sz val="9"/>
        <rFont val="Calibri"/>
        <family val="2"/>
        <scheme val="minor"/>
      </rPr>
      <t>CH4,PJ,Y</t>
    </r>
    <r>
      <rPr>
        <sz val="9"/>
        <rFont val="Calibri"/>
        <family val="2"/>
        <scheme val="minor"/>
      </rPr>
      <t xml:space="preserve"> 
(tCH</t>
    </r>
    <r>
      <rPr>
        <vertAlign val="subscript"/>
        <sz val="9"/>
        <rFont val="Calibri"/>
        <family val="2"/>
        <scheme val="minor"/>
      </rPr>
      <t>4</t>
    </r>
    <r>
      <rPr>
        <sz val="9"/>
        <rFont val="Calibri"/>
        <family val="2"/>
        <scheme val="minor"/>
      </rPr>
      <t xml:space="preserve">) </t>
    </r>
  </si>
  <si>
    <r>
      <t>Estimation of F</t>
    </r>
    <r>
      <rPr>
        <vertAlign val="subscript"/>
        <sz val="9"/>
        <rFont val="Calibri"/>
        <family val="2"/>
        <scheme val="minor"/>
      </rPr>
      <t>CH4,BL,y</t>
    </r>
    <r>
      <rPr>
        <sz val="9"/>
        <rFont val="Calibri"/>
        <family val="2"/>
        <scheme val="minor"/>
      </rPr>
      <t xml:space="preserve">
(tCH</t>
    </r>
    <r>
      <rPr>
        <vertAlign val="subscript"/>
        <sz val="9"/>
        <rFont val="Calibri"/>
        <family val="2"/>
        <scheme val="minor"/>
      </rPr>
      <t>4</t>
    </r>
    <r>
      <rPr>
        <sz val="9"/>
        <rFont val="Calibri"/>
        <family val="2"/>
        <scheme val="minor"/>
      </rPr>
      <t>)</t>
    </r>
  </si>
  <si>
    <r>
      <t>Estimation of BE</t>
    </r>
    <r>
      <rPr>
        <vertAlign val="subscript"/>
        <sz val="9"/>
        <rFont val="Calibri"/>
        <family val="2"/>
        <scheme val="minor"/>
      </rPr>
      <t>CH4,y</t>
    </r>
    <r>
      <rPr>
        <sz val="9"/>
        <rFont val="Calibri"/>
        <family val="2"/>
        <scheme val="minor"/>
      </rPr>
      <t xml:space="preserve"> 
(tCO</t>
    </r>
    <r>
      <rPr>
        <vertAlign val="subscript"/>
        <sz val="9"/>
        <rFont val="Calibri"/>
        <family val="2"/>
        <scheme val="minor"/>
      </rPr>
      <t>2</t>
    </r>
    <r>
      <rPr>
        <sz val="9"/>
        <rFont val="Calibri"/>
        <family val="2"/>
        <scheme val="minor"/>
      </rPr>
      <t>e)</t>
    </r>
  </si>
  <si>
    <r>
      <t>Estimation of baseline emissions
(tCO</t>
    </r>
    <r>
      <rPr>
        <vertAlign val="subscript"/>
        <sz val="9"/>
        <rFont val="Calibri"/>
        <family val="2"/>
        <scheme val="minor"/>
      </rPr>
      <t>2</t>
    </r>
    <r>
      <rPr>
        <sz val="9"/>
        <rFont val="Calibri"/>
        <family val="2"/>
        <scheme val="minor"/>
      </rPr>
      <t>e)</t>
    </r>
  </si>
  <si>
    <r>
      <t>PE</t>
    </r>
    <r>
      <rPr>
        <b/>
        <vertAlign val="subscript"/>
        <sz val="9"/>
        <rFont val="Calibri"/>
        <family val="2"/>
        <scheme val="minor"/>
      </rPr>
      <t>y</t>
    </r>
  </si>
  <si>
    <r>
      <t>Project emissions due to electricity consumption
(tCO</t>
    </r>
    <r>
      <rPr>
        <vertAlign val="subscript"/>
        <sz val="9"/>
        <rFont val="Calibri"/>
        <family val="2"/>
        <scheme val="minor"/>
      </rPr>
      <t>2</t>
    </r>
    <r>
      <rPr>
        <sz val="9"/>
        <rFont val="Calibri"/>
        <family val="2"/>
        <scheme val="minor"/>
      </rPr>
      <t>e)</t>
    </r>
  </si>
  <si>
    <r>
      <t>ER</t>
    </r>
    <r>
      <rPr>
        <b/>
        <vertAlign val="subscript"/>
        <sz val="9"/>
        <rFont val="Calibri"/>
        <family val="2"/>
        <scheme val="minor"/>
      </rPr>
      <t>y</t>
    </r>
  </si>
  <si>
    <r>
      <t>Emission reductions 
(tCO</t>
    </r>
    <r>
      <rPr>
        <vertAlign val="subscript"/>
        <sz val="9"/>
        <rFont val="Calibri"/>
        <family val="2"/>
        <scheme val="minor"/>
      </rPr>
      <t>2</t>
    </r>
    <r>
      <rPr>
        <sz val="9"/>
        <rFont val="Calibri"/>
        <family val="2"/>
        <scheme val="minor"/>
      </rPr>
      <t>e)</t>
    </r>
  </si>
  <si>
    <r>
      <t>(tCO</t>
    </r>
    <r>
      <rPr>
        <vertAlign val="subscript"/>
        <sz val="10"/>
        <rFont val="Calibri"/>
        <family val="2"/>
        <scheme val="minor"/>
      </rPr>
      <t>2</t>
    </r>
    <r>
      <rPr>
        <sz val="10"/>
        <rFont val="Calibri"/>
        <family val="2"/>
        <scheme val="minor"/>
      </rPr>
      <t>e)</t>
    </r>
  </si>
  <si>
    <r>
      <t>(tCH</t>
    </r>
    <r>
      <rPr>
        <vertAlign val="subscript"/>
        <sz val="10"/>
        <rFont val="Calibri"/>
        <family val="2"/>
        <scheme val="minor"/>
      </rPr>
      <t>4</t>
    </r>
    <r>
      <rPr>
        <sz val="10"/>
        <rFont val="Calibri"/>
        <family val="2"/>
        <scheme val="minor"/>
      </rPr>
      <t>)</t>
    </r>
  </si>
  <si>
    <t>(MWh)</t>
  </si>
  <si>
    <r>
      <t>(tCO</t>
    </r>
    <r>
      <rPr>
        <vertAlign val="subscript"/>
        <sz val="10"/>
        <rFont val="Calibri"/>
        <family val="2"/>
        <scheme val="minor"/>
      </rPr>
      <t>2</t>
    </r>
    <r>
      <rPr>
        <sz val="10"/>
        <rFont val="Calibri"/>
        <family val="2"/>
        <scheme val="minor"/>
      </rPr>
      <t>)</t>
    </r>
  </si>
  <si>
    <r>
      <t>BE</t>
    </r>
    <r>
      <rPr>
        <vertAlign val="subscript"/>
        <sz val="8.5"/>
        <rFont val="Calibri"/>
        <family val="2"/>
        <scheme val="minor"/>
      </rPr>
      <t>CH4,SWDS,y</t>
    </r>
    <r>
      <rPr>
        <sz val="8.5"/>
        <rFont val="Calibri"/>
        <family val="2"/>
        <scheme val="minor"/>
      </rPr>
      <t xml:space="preserve"> = φ (1-f) * GWP</t>
    </r>
    <r>
      <rPr>
        <vertAlign val="subscript"/>
        <sz val="8.5"/>
        <rFont val="Calibri"/>
        <family val="2"/>
        <scheme val="minor"/>
      </rPr>
      <t xml:space="preserve">CH4 </t>
    </r>
    <r>
      <rPr>
        <sz val="8.5"/>
        <rFont val="Calibri"/>
        <family val="2"/>
        <scheme val="minor"/>
      </rPr>
      <t>* (1-OX) * 16/12 * F * DOC</t>
    </r>
    <r>
      <rPr>
        <vertAlign val="subscript"/>
        <sz val="8.5"/>
        <rFont val="Calibri"/>
        <family val="2"/>
        <scheme val="minor"/>
      </rPr>
      <t>f</t>
    </r>
    <r>
      <rPr>
        <sz val="8.5"/>
        <rFont val="Calibri"/>
        <family val="2"/>
        <scheme val="minor"/>
      </rPr>
      <t xml:space="preserve"> * MCF * ΣΣ w</t>
    </r>
    <r>
      <rPr>
        <vertAlign val="subscript"/>
        <sz val="8.5"/>
        <rFont val="Calibri"/>
        <family val="2"/>
        <scheme val="minor"/>
      </rPr>
      <t>j,x</t>
    </r>
    <r>
      <rPr>
        <sz val="8.5"/>
        <rFont val="Calibri"/>
        <family val="2"/>
        <scheme val="minor"/>
      </rPr>
      <t xml:space="preserve"> * DOC</t>
    </r>
    <r>
      <rPr>
        <vertAlign val="subscript"/>
        <sz val="8.5"/>
        <rFont val="Calibri"/>
        <family val="2"/>
        <scheme val="minor"/>
      </rPr>
      <t>j</t>
    </r>
    <r>
      <rPr>
        <sz val="8.5"/>
        <rFont val="Calibri"/>
        <family val="2"/>
        <scheme val="minor"/>
      </rPr>
      <t xml:space="preserve"> * e</t>
    </r>
    <r>
      <rPr>
        <vertAlign val="superscript"/>
        <sz val="8.5"/>
        <rFont val="Calibri"/>
        <family val="2"/>
        <scheme val="minor"/>
      </rPr>
      <t xml:space="preserve"> -kj(y-x)</t>
    </r>
    <r>
      <rPr>
        <sz val="8.5"/>
        <rFont val="Calibri"/>
        <family val="2"/>
        <scheme val="minor"/>
      </rPr>
      <t xml:space="preserve"> * (1-e</t>
    </r>
    <r>
      <rPr>
        <vertAlign val="superscript"/>
        <sz val="8.5"/>
        <rFont val="Calibri"/>
        <family val="2"/>
        <scheme val="minor"/>
      </rPr>
      <t>-kj</t>
    </r>
    <r>
      <rPr>
        <sz val="8.5"/>
        <rFont val="Calibri"/>
        <family val="2"/>
        <scheme val="minor"/>
      </rPr>
      <t>)</t>
    </r>
  </si>
  <si>
    <r>
      <t>F</t>
    </r>
    <r>
      <rPr>
        <vertAlign val="subscript"/>
        <sz val="8.5"/>
        <rFont val="Calibri"/>
        <family val="2"/>
        <scheme val="minor"/>
      </rPr>
      <t>CH4,PJ,y</t>
    </r>
    <r>
      <rPr>
        <sz val="8.5"/>
        <rFont val="Calibri"/>
        <family val="2"/>
        <scheme val="minor"/>
      </rPr>
      <t xml:space="preserve"> = n</t>
    </r>
    <r>
      <rPr>
        <vertAlign val="subscript"/>
        <sz val="8.5"/>
        <rFont val="Calibri"/>
        <family val="2"/>
        <scheme val="minor"/>
      </rPr>
      <t>PJ</t>
    </r>
    <r>
      <rPr>
        <sz val="8.5"/>
        <rFont val="Calibri"/>
        <family val="2"/>
        <scheme val="minor"/>
      </rPr>
      <t>*  BE</t>
    </r>
    <r>
      <rPr>
        <vertAlign val="subscript"/>
        <sz val="8.5"/>
        <rFont val="Calibri"/>
        <family val="2"/>
        <scheme val="minor"/>
      </rPr>
      <t>CH4,SWDS,y</t>
    </r>
    <r>
      <rPr>
        <sz val="8.5"/>
        <rFont val="Calibri"/>
        <family val="2"/>
        <scheme val="minor"/>
      </rPr>
      <t>/GWP</t>
    </r>
    <r>
      <rPr>
        <vertAlign val="subscript"/>
        <sz val="8.5"/>
        <rFont val="Calibri"/>
        <family val="2"/>
        <scheme val="minor"/>
      </rPr>
      <t>CH4</t>
    </r>
  </si>
  <si>
    <t>Average forecasted quantity of LFG to be captured by the project activity</t>
  </si>
  <si>
    <r>
      <t>(tCO</t>
    </r>
    <r>
      <rPr>
        <vertAlign val="subscript"/>
        <sz val="9"/>
        <rFont val="Calibri"/>
        <family val="2"/>
        <scheme val="minor"/>
      </rPr>
      <t>2</t>
    </r>
    <r>
      <rPr>
        <sz val="9"/>
        <rFont val="Calibri"/>
        <family val="2"/>
        <scheme val="minor"/>
      </rPr>
      <t>e)</t>
    </r>
  </si>
  <si>
    <t>Estimation of emission reductions</t>
  </si>
  <si>
    <t xml:space="preserve">Estimation of leakage </t>
  </si>
  <si>
    <t>Estimation of baseline emissions</t>
  </si>
  <si>
    <r>
      <t>Estimation of project emissions</t>
    </r>
    <r>
      <rPr>
        <sz val="9"/>
        <rFont val="Calibri"/>
        <family val="2"/>
      </rPr>
      <t/>
    </r>
  </si>
  <si>
    <r>
      <t>GWP</t>
    </r>
    <r>
      <rPr>
        <i/>
        <vertAlign val="subscript"/>
        <sz val="9"/>
        <rFont val="Calibri"/>
        <family val="2"/>
      </rPr>
      <t>CH4</t>
    </r>
  </si>
  <si>
    <r>
      <t>tCO</t>
    </r>
    <r>
      <rPr>
        <vertAlign val="subscript"/>
        <sz val="9"/>
        <rFont val="Calibri"/>
        <family val="2"/>
      </rPr>
      <t>2</t>
    </r>
    <r>
      <rPr>
        <sz val="9"/>
        <rFont val="Calibri"/>
        <family val="2"/>
      </rPr>
      <t>e / tCH</t>
    </r>
    <r>
      <rPr>
        <vertAlign val="subscript"/>
        <sz val="9"/>
        <rFont val="Calibri"/>
        <family val="2"/>
      </rPr>
      <t>4</t>
    </r>
  </si>
  <si>
    <r>
      <t>DOC</t>
    </r>
    <r>
      <rPr>
        <i/>
        <vertAlign val="subscript"/>
        <sz val="9"/>
        <rFont val="Calibri"/>
        <family val="2"/>
      </rPr>
      <t>f,default</t>
    </r>
  </si>
  <si>
    <r>
      <t>MCF</t>
    </r>
    <r>
      <rPr>
        <i/>
        <vertAlign val="subscript"/>
        <sz val="9"/>
        <rFont val="Calibri"/>
        <family val="2"/>
      </rPr>
      <t>default</t>
    </r>
  </si>
  <si>
    <r>
      <t>W</t>
    </r>
    <r>
      <rPr>
        <i/>
        <vertAlign val="subscript"/>
        <sz val="9"/>
        <rFont val="Calibri"/>
        <family val="2"/>
      </rPr>
      <t>j</t>
    </r>
  </si>
  <si>
    <r>
      <t>(m</t>
    </r>
    <r>
      <rPr>
        <vertAlign val="superscript"/>
        <sz val="9"/>
        <rFont val="Calibri"/>
        <family val="2"/>
        <scheme val="minor"/>
      </rPr>
      <t>3</t>
    </r>
    <r>
      <rPr>
        <sz val="9"/>
        <rFont val="Calibri"/>
        <family val="2"/>
        <scheme val="minor"/>
      </rPr>
      <t>/h)</t>
    </r>
  </si>
  <si>
    <r>
      <t xml:space="preserve">Assumed efficiency of the project's LFG capture system - </t>
    </r>
    <r>
      <rPr>
        <i/>
        <sz val="9"/>
        <rFont val="Calibri"/>
        <family val="2"/>
      </rPr>
      <t>n</t>
    </r>
    <r>
      <rPr>
        <i/>
        <vertAlign val="subscript"/>
        <sz val="9"/>
        <rFont val="Calibri"/>
        <family val="2"/>
      </rPr>
      <t>PJ</t>
    </r>
    <r>
      <rPr>
        <vertAlign val="subscript"/>
        <sz val="9"/>
        <rFont val="Calibri"/>
        <family val="2"/>
      </rPr>
      <t xml:space="preserve"> </t>
    </r>
    <r>
      <rPr>
        <sz val="9"/>
        <rFont val="Calibri"/>
        <family val="2"/>
      </rPr>
      <t>(under the project scenario)</t>
    </r>
  </si>
  <si>
    <t>Assumed total annual operation hours of the project's LFG collection and destruction/utilization facilities - hour/yr</t>
  </si>
  <si>
    <t>Total combined nameplate power output for all installed centrifugal blowers and main ancillary equipment</t>
  </si>
  <si>
    <t>GRID-SOURCED ELECTRICTY CONSUMPTION (Project emissions)</t>
  </si>
  <si>
    <t>Emissions reductions calculation - Data Inputs</t>
  </si>
  <si>
    <t>Average forecasted quantity LFG generated</t>
  </si>
  <si>
    <t>Volumes of disposed waste (1)</t>
  </si>
  <si>
    <t xml:space="preserve">     No composition analysis of MSW disposed at the landfill is available. </t>
  </si>
  <si>
    <t>Year when MSW disposal activities started at the landfill</t>
  </si>
  <si>
    <r>
      <t>PE</t>
    </r>
    <r>
      <rPr>
        <vertAlign val="subscript"/>
        <sz val="9"/>
        <rFont val="Calibri"/>
        <family val="2"/>
        <scheme val="minor"/>
      </rPr>
      <t>y</t>
    </r>
    <r>
      <rPr>
        <sz val="9"/>
        <rFont val="Calibri"/>
        <family val="2"/>
        <scheme val="minor"/>
      </rPr>
      <t xml:space="preserve"> = PE</t>
    </r>
    <r>
      <rPr>
        <vertAlign val="subscript"/>
        <sz val="9"/>
        <rFont val="Calibri"/>
        <family val="2"/>
      </rPr>
      <t>EC,y</t>
    </r>
  </si>
  <si>
    <t>Average</t>
  </si>
  <si>
    <t>(3) Value estimated by the project participant.</t>
  </si>
  <si>
    <t>(1) As demonstrated in documented data for historical disposal of MSW at the landfill.</t>
  </si>
  <si>
    <t>Estimated annual consumption of grid-sourced electricity</t>
  </si>
  <si>
    <t>Other Technologies</t>
  </si>
  <si>
    <t xml:space="preserve">Starting date of the 1st 7-year renewable crediting period for the project activity </t>
  </si>
  <si>
    <t>LFG generated</t>
  </si>
  <si>
    <t>LFG captured (for the assumed LFG recovery rate)</t>
  </si>
  <si>
    <t>Technical max. elecricity generation potential using collected LFG as gaseous fuel</t>
  </si>
  <si>
    <t>Total combined installed nameplate electricity generation capacity</t>
  </si>
  <si>
    <t>Number of installed engine-generator sets</t>
  </si>
  <si>
    <t>Gross quantity of electricity produced</t>
  </si>
  <si>
    <t>LFG Consumption in Power Generation</t>
  </si>
  <si>
    <r>
      <t>m</t>
    </r>
    <r>
      <rPr>
        <vertAlign val="superscript"/>
        <sz val="10"/>
        <rFont val="Calibri"/>
        <family val="2"/>
      </rPr>
      <t>3</t>
    </r>
    <r>
      <rPr>
        <sz val="10"/>
        <rFont val="Calibri"/>
        <family val="2"/>
      </rPr>
      <t>/h</t>
    </r>
  </si>
  <si>
    <t>kWe</t>
  </si>
  <si>
    <t>kWh</t>
  </si>
  <si>
    <r>
      <t>m</t>
    </r>
    <r>
      <rPr>
        <vertAlign val="superscript"/>
        <sz val="10"/>
        <rFont val="Calibri"/>
        <family val="2"/>
      </rPr>
      <t>3</t>
    </r>
  </si>
  <si>
    <t>Main assumptions: input values used and sources</t>
  </si>
  <si>
    <t>Availability (load factor)</t>
  </si>
  <si>
    <t>Availability (according to market practice)</t>
  </si>
  <si>
    <t>Assumptions for the LFG power generation plant</t>
  </si>
  <si>
    <t>Fraction of methane in LFG - default value  (i.e. Source: ACM0001 CDM baseline and monitoring methodology)</t>
  </si>
  <si>
    <t>Calorific value of methane (Source: IPCC 2006 guidelines, chapter 1, table 1.2)</t>
  </si>
  <si>
    <t>Methane density at STP (Source: ACM0001 methodology)</t>
  </si>
  <si>
    <t>Conversion efficiency for a 60 Hz Jenbacher J420 engine-generator sets fuelled by LFG/BioGas with &lt; 500 mg/m³ NOx</t>
  </si>
  <si>
    <t>Data available on file: innio-engine-type-sheet-t4-en-2021.pdf</t>
  </si>
  <si>
    <t>Power of each genset (kW). Source: PP</t>
  </si>
  <si>
    <t>Consumption of m³ of LFG per MWh generated. Source: PP</t>
  </si>
  <si>
    <t>LFG generation/capture, electricity and biomethane generated</t>
  </si>
  <si>
    <t>_</t>
  </si>
  <si>
    <t>Transmission and distribution losses in the electricity grid for imported and/or exported electricity</t>
  </si>
  <si>
    <r>
      <t>TDL</t>
    </r>
    <r>
      <rPr>
        <vertAlign val="subscript"/>
        <sz val="10"/>
        <rFont val="Calibri"/>
        <family val="2"/>
        <scheme val="minor"/>
      </rPr>
      <t>grid,import,y</t>
    </r>
    <r>
      <rPr>
        <sz val="10"/>
        <rFont val="Calibri"/>
        <family val="2"/>
        <scheme val="minor"/>
      </rPr>
      <t xml:space="preserve"> </t>
    </r>
  </si>
  <si>
    <r>
      <t>TDL</t>
    </r>
    <r>
      <rPr>
        <vertAlign val="subscript"/>
        <sz val="10"/>
        <rFont val="Calibri"/>
        <family val="2"/>
        <scheme val="minor"/>
      </rPr>
      <t>grid,export,y</t>
    </r>
    <r>
      <rPr>
        <sz val="10"/>
        <rFont val="Calibri"/>
        <family val="2"/>
        <scheme val="minor"/>
      </rPr>
      <t xml:space="preserve"> </t>
    </r>
  </si>
  <si>
    <r>
      <t>(</t>
    </r>
    <r>
      <rPr>
        <i/>
        <sz val="8"/>
        <rFont val="Calibri"/>
        <family val="2"/>
      </rPr>
      <t>w</t>
    </r>
    <r>
      <rPr>
        <i/>
        <vertAlign val="subscript"/>
        <sz val="8"/>
        <rFont val="Calibri"/>
        <family val="2"/>
      </rPr>
      <t>OM</t>
    </r>
    <r>
      <rPr>
        <sz val="8"/>
        <rFont val="Calibri"/>
        <family val="2"/>
      </rPr>
      <t xml:space="preserve"> = 50% and </t>
    </r>
    <r>
      <rPr>
        <i/>
        <sz val="8"/>
        <rFont val="Calibri"/>
        <family val="2"/>
      </rPr>
      <t>w</t>
    </r>
    <r>
      <rPr>
        <i/>
        <vertAlign val="subscript"/>
        <sz val="8"/>
        <rFont val="Calibri"/>
        <family val="2"/>
      </rPr>
      <t>BM</t>
    </r>
    <r>
      <rPr>
        <sz val="8"/>
        <rFont val="Calibri"/>
        <family val="2"/>
      </rPr>
      <t xml:space="preserve"> = 50%)</t>
    </r>
  </si>
  <si>
    <r>
      <t>Emissions reductions calculation, ex-ante estimations of baseline CH</t>
    </r>
    <r>
      <rPr>
        <b/>
        <vertAlign val="subscript"/>
        <sz val="11"/>
        <color indexed="9"/>
        <rFont val="Calibri"/>
        <family val="2"/>
        <scheme val="minor"/>
      </rPr>
      <t>4</t>
    </r>
    <r>
      <rPr>
        <b/>
        <sz val="11"/>
        <color indexed="9"/>
        <rFont val="Calibri"/>
        <family val="2"/>
        <scheme val="minor"/>
      </rPr>
      <t xml:space="preserve"> emissions (BE</t>
    </r>
    <r>
      <rPr>
        <b/>
        <vertAlign val="subscript"/>
        <sz val="11"/>
        <color indexed="9"/>
        <rFont val="Calibri"/>
        <family val="2"/>
        <scheme val="minor"/>
      </rPr>
      <t>CH4,SWDS,y</t>
    </r>
    <r>
      <rPr>
        <b/>
        <sz val="11"/>
        <color indexed="9"/>
        <rFont val="Calibri"/>
        <family val="2"/>
        <scheme val="minor"/>
      </rPr>
      <t>) (application of First Order Decay (FOD) model)</t>
    </r>
  </si>
  <si>
    <r>
      <t>Estimation of EC</t>
    </r>
    <r>
      <rPr>
        <vertAlign val="subscript"/>
        <sz val="9"/>
        <rFont val="Calibri"/>
        <family val="2"/>
        <scheme val="minor"/>
      </rPr>
      <t>BL,y</t>
    </r>
    <r>
      <rPr>
        <sz val="9"/>
        <rFont val="Calibri"/>
        <family val="2"/>
        <scheme val="minor"/>
      </rPr>
      <t xml:space="preserve">
(MWh)</t>
    </r>
  </si>
  <si>
    <r>
      <t>Estimation of BE</t>
    </r>
    <r>
      <rPr>
        <vertAlign val="subscript"/>
        <sz val="9"/>
        <rFont val="Calibri"/>
        <family val="2"/>
        <scheme val="minor"/>
      </rPr>
      <t>EC,y</t>
    </r>
    <r>
      <rPr>
        <sz val="9"/>
        <rFont val="Calibri"/>
        <family val="2"/>
        <scheme val="minor"/>
      </rPr>
      <t xml:space="preserve"> 
(tCO</t>
    </r>
    <r>
      <rPr>
        <vertAlign val="subscript"/>
        <sz val="9"/>
        <rFont val="Calibri"/>
        <family val="2"/>
        <scheme val="minor"/>
      </rPr>
      <t>2</t>
    </r>
    <r>
      <rPr>
        <sz val="9"/>
        <rFont val="Calibri"/>
        <family val="2"/>
        <scheme val="minor"/>
      </rPr>
      <t>e)</t>
    </r>
  </si>
  <si>
    <r>
      <t>EC</t>
    </r>
    <r>
      <rPr>
        <vertAlign val="subscript"/>
        <sz val="8.5"/>
        <rFont val="Calibri"/>
        <family val="2"/>
        <scheme val="minor"/>
      </rPr>
      <t xml:space="preserve">BL,y </t>
    </r>
  </si>
  <si>
    <r>
      <t>BE</t>
    </r>
    <r>
      <rPr>
        <vertAlign val="subscript"/>
        <sz val="8.5"/>
        <rFont val="Calibri"/>
        <family val="2"/>
        <scheme val="minor"/>
      </rPr>
      <t>CH4,y</t>
    </r>
    <r>
      <rPr>
        <sz val="8.5"/>
        <rFont val="Calibri"/>
        <family val="2"/>
        <scheme val="minor"/>
      </rPr>
      <t xml:space="preserve"> = [(1-OX</t>
    </r>
    <r>
      <rPr>
        <vertAlign val="subscript"/>
        <sz val="8.5"/>
        <rFont val="Calibri"/>
        <family val="2"/>
        <scheme val="minor"/>
      </rPr>
      <t>top_layer</t>
    </r>
    <r>
      <rPr>
        <sz val="8.5"/>
        <rFont val="Calibri"/>
        <family val="2"/>
        <scheme val="minor"/>
      </rPr>
      <t>) * F</t>
    </r>
    <r>
      <rPr>
        <vertAlign val="subscript"/>
        <sz val="8.5"/>
        <rFont val="Calibri"/>
        <family val="2"/>
        <scheme val="minor"/>
      </rPr>
      <t xml:space="preserve">CH4,PJ,y </t>
    </r>
    <r>
      <rPr>
        <sz val="8.5"/>
        <rFont val="Calibri"/>
        <family val="2"/>
        <scheme val="minor"/>
      </rPr>
      <t>- F</t>
    </r>
    <r>
      <rPr>
        <vertAlign val="subscript"/>
        <sz val="8.5"/>
        <rFont val="Calibri"/>
        <family val="2"/>
        <scheme val="minor"/>
      </rPr>
      <t>CH4,BL,y</t>
    </r>
    <r>
      <rPr>
        <sz val="8.5"/>
        <rFont val="Calibri"/>
        <family val="2"/>
        <scheme val="minor"/>
      </rPr>
      <t>]* GWP</t>
    </r>
    <r>
      <rPr>
        <vertAlign val="subscript"/>
        <sz val="8.5"/>
        <rFont val="Calibri"/>
        <family val="2"/>
        <scheme val="minor"/>
      </rPr>
      <t>CH4</t>
    </r>
    <r>
      <rPr>
        <sz val="10"/>
        <rFont val="Arial"/>
        <family val="2"/>
      </rPr>
      <t/>
    </r>
  </si>
  <si>
    <r>
      <t>BE</t>
    </r>
    <r>
      <rPr>
        <vertAlign val="subscript"/>
        <sz val="8.5"/>
        <rFont val="Calibri"/>
        <family val="2"/>
        <scheme val="minor"/>
      </rPr>
      <t>EC,y</t>
    </r>
    <r>
      <rPr>
        <sz val="8.5"/>
        <rFont val="Calibri"/>
        <family val="2"/>
        <scheme val="minor"/>
      </rPr>
      <t xml:space="preserve"> = EC</t>
    </r>
    <r>
      <rPr>
        <vertAlign val="subscript"/>
        <sz val="8.5"/>
        <rFont val="Calibri"/>
        <family val="2"/>
        <scheme val="minor"/>
      </rPr>
      <t xml:space="preserve">BL,y </t>
    </r>
    <r>
      <rPr>
        <sz val="8.5"/>
        <rFont val="Calibri"/>
        <family val="2"/>
        <scheme val="minor"/>
      </rPr>
      <t>* EF</t>
    </r>
    <r>
      <rPr>
        <vertAlign val="subscript"/>
        <sz val="8.5"/>
        <rFont val="Calibri"/>
        <family val="2"/>
        <scheme val="minor"/>
      </rPr>
      <t xml:space="preserve">EL,grid,export,y </t>
    </r>
    <r>
      <rPr>
        <sz val="8.5"/>
        <rFont val="Calibri"/>
        <family val="2"/>
        <scheme val="minor"/>
      </rPr>
      <t>* (1+TDL</t>
    </r>
    <r>
      <rPr>
        <vertAlign val="subscript"/>
        <sz val="8.5"/>
        <rFont val="Calibri"/>
        <family val="2"/>
        <scheme val="minor"/>
      </rPr>
      <t>grid,export,y</t>
    </r>
    <r>
      <rPr>
        <sz val="8.5"/>
        <rFont val="Calibri"/>
        <family val="2"/>
        <scheme val="minor"/>
      </rPr>
      <t>)</t>
    </r>
  </si>
  <si>
    <t>Days</t>
  </si>
  <si>
    <t>Emissions reductions calculation, ex-ante estimations</t>
  </si>
  <si>
    <r>
      <t>BE</t>
    </r>
    <r>
      <rPr>
        <vertAlign val="subscript"/>
        <sz val="8.5"/>
        <rFont val="Calibri"/>
        <family val="2"/>
        <scheme val="minor"/>
      </rPr>
      <t>y</t>
    </r>
    <r>
      <rPr>
        <sz val="8.5"/>
        <rFont val="Calibri"/>
        <family val="2"/>
        <scheme val="minor"/>
      </rPr>
      <t xml:space="preserve"> = BE</t>
    </r>
    <r>
      <rPr>
        <vertAlign val="subscript"/>
        <sz val="8.5"/>
        <rFont val="Calibri"/>
        <family val="2"/>
        <scheme val="minor"/>
      </rPr>
      <t>CH4,y</t>
    </r>
    <r>
      <rPr>
        <sz val="8.5"/>
        <rFont val="Calibri"/>
        <family val="2"/>
        <scheme val="minor"/>
      </rPr>
      <t xml:space="preserve"> + BE</t>
    </r>
    <r>
      <rPr>
        <vertAlign val="subscript"/>
        <sz val="8.5"/>
        <rFont val="Calibri"/>
        <family val="2"/>
        <scheme val="minor"/>
      </rPr>
      <t>EC,y</t>
    </r>
    <r>
      <rPr>
        <sz val="8.5"/>
        <rFont val="Calibri"/>
        <family val="2"/>
        <scheme val="minor"/>
      </rPr>
      <t xml:space="preserve"> </t>
    </r>
  </si>
  <si>
    <t>(6)</t>
  </si>
  <si>
    <t xml:space="preserve">(5) Total/accumulated nameplate power output for the currently installed centrifugal blower and ancilarry equipment. </t>
  </si>
  <si>
    <r>
      <t>PE</t>
    </r>
    <r>
      <rPr>
        <vertAlign val="subscript"/>
        <sz val="10"/>
        <rFont val="Calibri"/>
        <family val="2"/>
        <scheme val="minor"/>
      </rPr>
      <t xml:space="preserve">EC,y </t>
    </r>
    <r>
      <rPr>
        <sz val="10"/>
        <rFont val="Calibri"/>
        <family val="2"/>
        <scheme val="minor"/>
      </rPr>
      <t>= 
(EC</t>
    </r>
    <r>
      <rPr>
        <vertAlign val="subscript"/>
        <sz val="10"/>
        <rFont val="Calibri"/>
        <family val="2"/>
        <scheme val="minor"/>
      </rPr>
      <t xml:space="preserve">PJ,grid,y </t>
    </r>
    <r>
      <rPr>
        <sz val="10"/>
        <rFont val="Calibri"/>
        <family val="2"/>
        <scheme val="minor"/>
      </rPr>
      <t>* EF</t>
    </r>
    <r>
      <rPr>
        <vertAlign val="subscript"/>
        <sz val="10"/>
        <rFont val="Calibri"/>
        <family val="2"/>
        <scheme val="minor"/>
      </rPr>
      <t xml:space="preserve">EL,grid,y </t>
    </r>
    <r>
      <rPr>
        <sz val="10"/>
        <rFont val="Calibri"/>
        <family val="2"/>
        <scheme val="minor"/>
      </rPr>
      <t>* (1+TDL</t>
    </r>
    <r>
      <rPr>
        <vertAlign val="subscript"/>
        <sz val="10"/>
        <rFont val="Calibri"/>
        <family val="2"/>
        <scheme val="minor"/>
      </rPr>
      <t>grid,import,y</t>
    </r>
    <r>
      <rPr>
        <sz val="10"/>
        <rFont val="Calibri"/>
        <family val="2"/>
        <scheme val="minor"/>
      </rPr>
      <t>))</t>
    </r>
  </si>
  <si>
    <t>Starting date of the project's electricity generation component (utilization of share of collected LFG as gaseous fuel for electricity generation)</t>
  </si>
  <si>
    <t>1 open high temperature flare</t>
  </si>
  <si>
    <t>Occurred (up to 2022) and projected annual growth in MSW disposal rate</t>
  </si>
  <si>
    <t>(7)</t>
  </si>
  <si>
    <t xml:space="preserve">(4) The project design does encompass utilization of LFG for electricity generation. </t>
  </si>
  <si>
    <t>(8)</t>
  </si>
  <si>
    <t xml:space="preserve">(6) Value is estimated by considering the total power output installed for project's electrical equipment and also by taking into account continious operation (24 hour per day and 365 days per year) of such equipment. Value is merely used for ex-ante estimation of project emissions. </t>
  </si>
  <si>
    <t xml:space="preserve">Number of high temperature open flares </t>
  </si>
  <si>
    <t>VCS project activity "Catanduva Landfill Gas Project" Ex-ante estimations of emission reductions to be achieved by the project activity during its 1st 7-year renewable crediting period</t>
  </si>
  <si>
    <r>
      <t>F</t>
    </r>
    <r>
      <rPr>
        <i/>
        <vertAlign val="subscript"/>
        <sz val="9"/>
        <rFont val="Calibri"/>
        <family val="2"/>
      </rPr>
      <t>CH4,BL,y</t>
    </r>
    <r>
      <rPr>
        <i/>
        <sz val="9"/>
        <rFont val="Calibri"/>
        <family val="2"/>
      </rPr>
      <t xml:space="preserve"> = 0.2 * F</t>
    </r>
    <r>
      <rPr>
        <i/>
        <vertAlign val="subscript"/>
        <sz val="9"/>
        <rFont val="Calibri"/>
        <family val="2"/>
      </rPr>
      <t>CH4,PJ,y</t>
    </r>
  </si>
  <si>
    <t xml:space="preserve"> </t>
  </si>
  <si>
    <t>Number of years in the crediting period</t>
  </si>
  <si>
    <r>
      <t>Annual average of the estimated reductions over the crediting period (tCO</t>
    </r>
    <r>
      <rPr>
        <vertAlign val="subscript"/>
        <sz val="9"/>
        <rFont val="Calibri"/>
        <family val="2"/>
      </rPr>
      <t>2</t>
    </r>
    <r>
      <rPr>
        <sz val="9"/>
        <rFont val="Calibri"/>
        <family val="2"/>
      </rPr>
      <t>e)</t>
    </r>
  </si>
  <si>
    <t>2 engine-generator sets of 1,4 MW</t>
  </si>
  <si>
    <t>(4) Source: https://www.confluvio.com/attributes/global-aridity-index</t>
  </si>
  <si>
    <t>(1) and (2) Source: Values are selected as per applicable guidance of 2019 Refinement of IPCC 2006 Guidelines for National Greenhouse Gas, Volume 5, Chapter 2, tables 2.3, MSW composition regional default values for South-America.</t>
  </si>
  <si>
    <t>(2) Source:  https://pt.climate-data.org/search/?q=catanduva</t>
  </si>
  <si>
    <t>(3) Source: https://pt.climate-data.org/search/?q=catanduva</t>
  </si>
  <si>
    <r>
      <t>CO</t>
    </r>
    <r>
      <rPr>
        <vertAlign val="subscript"/>
        <sz val="9"/>
        <rFont val="Calibri"/>
        <family val="2"/>
        <scheme val="minor"/>
      </rPr>
      <t>2</t>
    </r>
    <r>
      <rPr>
        <sz val="9"/>
        <rFont val="Calibri"/>
        <family val="2"/>
        <scheme val="minor"/>
      </rPr>
      <t xml:space="preserve"> emission factor for electricity generated by the project activity</t>
    </r>
  </si>
  <si>
    <r>
      <t>EF</t>
    </r>
    <r>
      <rPr>
        <vertAlign val="subscript"/>
        <sz val="10"/>
        <rFont val="Calibri"/>
        <family val="2"/>
      </rPr>
      <t>EL,k,y</t>
    </r>
    <r>
      <rPr>
        <sz val="10"/>
        <rFont val="Calibri"/>
        <family val="2"/>
        <scheme val="minor"/>
      </rPr>
      <t xml:space="preserve"> = EF</t>
    </r>
    <r>
      <rPr>
        <vertAlign val="subscript"/>
        <sz val="10"/>
        <rFont val="Calibri"/>
        <family val="2"/>
        <scheme val="minor"/>
      </rPr>
      <t>EL,grid,export,y</t>
    </r>
  </si>
  <si>
    <r>
      <t>CO</t>
    </r>
    <r>
      <rPr>
        <vertAlign val="subscript"/>
        <sz val="9"/>
        <rFont val="Calibri"/>
        <family val="2"/>
        <scheme val="minor"/>
      </rPr>
      <t>2</t>
    </r>
    <r>
      <rPr>
        <sz val="9"/>
        <rFont val="Calibri"/>
        <family val="2"/>
        <scheme val="minor"/>
      </rPr>
      <t xml:space="preserve"> emission factor for consumption of grid-sourced electricity</t>
    </r>
  </si>
  <si>
    <r>
      <t>EF</t>
    </r>
    <r>
      <rPr>
        <vertAlign val="subscript"/>
        <sz val="10"/>
        <rFont val="Calibri"/>
        <family val="2"/>
      </rPr>
      <t>EL,j,y</t>
    </r>
    <r>
      <rPr>
        <sz val="10"/>
        <rFont val="Calibri"/>
        <family val="2"/>
        <scheme val="minor"/>
      </rPr>
      <t xml:space="preserve"> = EF</t>
    </r>
    <r>
      <rPr>
        <vertAlign val="subscript"/>
        <sz val="10"/>
        <rFont val="Calibri"/>
        <family val="2"/>
        <scheme val="minor"/>
      </rPr>
      <t>EL,grid,import,y</t>
    </r>
  </si>
  <si>
    <t>(7) Default value from the tool "Baseline, project and/or leakage emissions from electricity consumption and monitoring of electricity generation".</t>
  </si>
  <si>
    <t>(8) Default value from the tool "Baseline, project and/or leakage emissions from electricity consumption and monitoring of electricity generation".</t>
  </si>
  <si>
    <t>Version 2.1</t>
  </si>
  <si>
    <t>23/10/2025</t>
  </si>
  <si>
    <t>(2) Default value as per ACM0001 (version 19.0)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</si>
</sst>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0.00_);_(* \(#,##0.00\);_(* &quot;-&quot;??_);_(@_)"/>
    <numFmt numFmtId="165" formatCode="General_)"/>
    <numFmt numFmtId="166" formatCode="0_)"/>
    <numFmt numFmtId="167" formatCode="_(* #,##0_);_(* \(#,##0\);_(* &quot;-&quot;??_);_(@_)"/>
    <numFmt numFmtId="168" formatCode="0.0%"/>
    <numFmt numFmtId="169" formatCode="#,##0\ &quot;€&quot;"/>
    <numFmt numFmtId="170" formatCode="_(* #,##0.000_);_(* \(#,##0.000\);_(* &quot;-&quot;??_);_(@_)"/>
    <numFmt numFmtId="171" formatCode="0.0"/>
    <numFmt numFmtId="172" formatCode="d/m/yy;@"/>
    <numFmt numFmtId="173" formatCode="#,##0.00\ [$ARS]"/>
    <numFmt numFmtId="174" formatCode="General\ &quot;kW&quot;"/>
    <numFmt numFmtId="175" formatCode="0.0000"/>
    <numFmt numFmtId="176" formatCode="#,##0.0"/>
    <numFmt numFmtId="177" formatCode="_-* #,##0.00\ _€_-;\-* #,##0.00\ _€_-;_-* &quot;-&quot;??\ _€_-;_-@_-"/>
    <numFmt numFmtId="178" formatCode="[$-409]mmmm\-yy;@"/>
    <numFmt numFmtId="179" formatCode="#,##0\ &quot;kJ/kg&quot;"/>
    <numFmt numFmtId="180" formatCode="0.0000\ &quot;kg/m3&quot;"/>
  </numFmts>
  <fonts count="62" x14ac:knownFonts="1">
    <font>
      <sz val="12"/>
      <name val="Times New Roman"/>
      <family val="1"/>
    </font>
    <font>
      <sz val="11"/>
      <color theme="1"/>
      <name val="Calibri"/>
      <family val="2"/>
      <scheme val="minor"/>
    </font>
    <font>
      <sz val="10"/>
      <name val="Arial"/>
      <family val="2"/>
    </font>
    <font>
      <sz val="12"/>
      <name val="Helv"/>
    </font>
    <font>
      <sz val="10"/>
      <name val="Arial"/>
      <family val="2"/>
    </font>
    <font>
      <sz val="8"/>
      <name val="Times New Roman"/>
      <family val="1"/>
    </font>
    <font>
      <sz val="11"/>
      <color indexed="8"/>
      <name val="Calibri"/>
      <family val="2"/>
    </font>
    <font>
      <sz val="12"/>
      <name val="Arial"/>
      <family val="2"/>
    </font>
    <font>
      <sz val="12"/>
      <name val="Cambria"/>
      <family val="1"/>
    </font>
    <font>
      <sz val="9"/>
      <name val="Calibri"/>
      <family val="2"/>
    </font>
    <font>
      <i/>
      <sz val="9"/>
      <name val="Calibri"/>
      <family val="2"/>
    </font>
    <font>
      <b/>
      <sz val="9"/>
      <name val="Calibri"/>
      <family val="2"/>
    </font>
    <font>
      <vertAlign val="subscript"/>
      <sz val="9"/>
      <name val="Calibri"/>
      <family val="2"/>
    </font>
    <font>
      <sz val="8"/>
      <name val="Calibri"/>
      <family val="2"/>
    </font>
    <font>
      <i/>
      <vertAlign val="subscript"/>
      <sz val="9"/>
      <name val="Calibri"/>
      <family val="2"/>
    </font>
    <font>
      <vertAlign val="superscript"/>
      <sz val="9"/>
      <name val="Calibri"/>
      <family val="2"/>
    </font>
    <font>
      <b/>
      <vertAlign val="subscript"/>
      <sz val="9"/>
      <name val="Calibri"/>
      <family val="2"/>
    </font>
    <font>
      <b/>
      <i/>
      <sz val="9"/>
      <name val="Calibri"/>
      <family val="2"/>
    </font>
    <font>
      <b/>
      <i/>
      <vertAlign val="subscript"/>
      <sz val="9"/>
      <name val="Calibri"/>
      <family val="2"/>
    </font>
    <font>
      <b/>
      <i/>
      <vertAlign val="superscript"/>
      <sz val="9"/>
      <name val="Calibri"/>
      <family val="2"/>
    </font>
    <font>
      <i/>
      <vertAlign val="superscript"/>
      <sz val="9"/>
      <name val="Calibri"/>
      <family val="2"/>
    </font>
    <font>
      <i/>
      <sz val="8"/>
      <name val="Calibri"/>
      <family val="2"/>
    </font>
    <font>
      <i/>
      <vertAlign val="subscript"/>
      <sz val="8"/>
      <name val="Calibri"/>
      <family val="2"/>
    </font>
    <font>
      <sz val="9"/>
      <name val="Calibri"/>
      <family val="2"/>
      <scheme val="minor"/>
    </font>
    <font>
      <b/>
      <sz val="11"/>
      <name val="Calibri"/>
      <family val="2"/>
      <scheme val="minor"/>
    </font>
    <font>
      <sz val="10"/>
      <name val="Calibri"/>
      <family val="2"/>
      <scheme val="minor"/>
    </font>
    <font>
      <b/>
      <i/>
      <sz val="10"/>
      <name val="Calibri"/>
      <family val="2"/>
      <scheme val="minor"/>
    </font>
    <font>
      <i/>
      <sz val="9"/>
      <name val="Calibri"/>
      <family val="2"/>
      <scheme val="minor"/>
    </font>
    <font>
      <sz val="9"/>
      <color indexed="9"/>
      <name val="Calibri"/>
      <family val="2"/>
      <scheme val="minor"/>
    </font>
    <font>
      <b/>
      <sz val="9"/>
      <name val="Calibri"/>
      <family val="2"/>
      <scheme val="minor"/>
    </font>
    <font>
      <b/>
      <sz val="10"/>
      <name val="Calibri"/>
      <family val="2"/>
      <scheme val="minor"/>
    </font>
    <font>
      <sz val="8"/>
      <name val="Calibri"/>
      <family val="2"/>
      <scheme val="minor"/>
    </font>
    <font>
      <b/>
      <sz val="8"/>
      <name val="Calibri"/>
      <family val="2"/>
      <scheme val="minor"/>
    </font>
    <font>
      <b/>
      <u/>
      <sz val="9"/>
      <name val="Calibri"/>
      <family val="2"/>
      <scheme val="minor"/>
    </font>
    <font>
      <u/>
      <sz val="9"/>
      <name val="Calibri"/>
      <family val="2"/>
      <scheme val="minor"/>
    </font>
    <font>
      <b/>
      <i/>
      <sz val="9"/>
      <name val="Calibri"/>
      <family val="2"/>
      <scheme val="minor"/>
    </font>
    <font>
      <vertAlign val="superscript"/>
      <sz val="9"/>
      <name val="Calibri"/>
      <family val="2"/>
      <scheme val="minor"/>
    </font>
    <font>
      <b/>
      <i/>
      <vertAlign val="superscript"/>
      <sz val="9"/>
      <name val="Calibri"/>
      <family val="2"/>
      <scheme val="minor"/>
    </font>
    <font>
      <b/>
      <sz val="11"/>
      <color indexed="9"/>
      <name val="Calibri"/>
      <family val="2"/>
      <scheme val="minor"/>
    </font>
    <font>
      <vertAlign val="subscript"/>
      <sz val="9"/>
      <name val="Calibri"/>
      <family val="2"/>
      <scheme val="minor"/>
    </font>
    <font>
      <vertAlign val="subscript"/>
      <sz val="10"/>
      <name val="Calibri"/>
      <family val="2"/>
    </font>
    <font>
      <sz val="10"/>
      <name val="Calibri"/>
      <family val="2"/>
    </font>
    <font>
      <vertAlign val="subscript"/>
      <sz val="10"/>
      <name val="Calibri"/>
      <family val="2"/>
      <scheme val="minor"/>
    </font>
    <font>
      <b/>
      <vertAlign val="subscript"/>
      <sz val="9"/>
      <name val="Calibri"/>
      <family val="2"/>
      <scheme val="minor"/>
    </font>
    <font>
      <sz val="9"/>
      <color theme="0"/>
      <name val="Calibri"/>
      <family val="2"/>
      <scheme val="minor"/>
    </font>
    <font>
      <sz val="8.5"/>
      <name val="Calibri"/>
      <family val="2"/>
      <scheme val="minor"/>
    </font>
    <font>
      <vertAlign val="subscript"/>
      <sz val="8.5"/>
      <name val="Calibri"/>
      <family val="2"/>
      <scheme val="minor"/>
    </font>
    <font>
      <vertAlign val="superscript"/>
      <sz val="8.5"/>
      <name val="Calibri"/>
      <family val="2"/>
      <scheme val="minor"/>
    </font>
    <font>
      <b/>
      <vertAlign val="subscript"/>
      <sz val="11"/>
      <color indexed="9"/>
      <name val="Calibri"/>
      <family val="2"/>
      <scheme val="minor"/>
    </font>
    <font>
      <sz val="10"/>
      <name val="Times New Roman"/>
      <family val="1"/>
    </font>
    <font>
      <sz val="12"/>
      <name val="Times New Roman"/>
      <family val="1"/>
    </font>
    <font>
      <b/>
      <sz val="10"/>
      <name val="Calibri"/>
      <family val="2"/>
    </font>
    <font>
      <sz val="10"/>
      <color indexed="10"/>
      <name val="Calibri"/>
      <family val="2"/>
    </font>
    <font>
      <vertAlign val="superscript"/>
      <sz val="10"/>
      <name val="Calibri"/>
      <family val="2"/>
    </font>
    <font>
      <b/>
      <u/>
      <sz val="10"/>
      <name val="Calibri"/>
      <family val="2"/>
    </font>
    <font>
      <u/>
      <sz val="10"/>
      <name val="Calibri"/>
      <family val="2"/>
    </font>
    <font>
      <b/>
      <sz val="10"/>
      <color indexed="10"/>
      <name val="Calibri"/>
      <family val="2"/>
    </font>
    <font>
      <u/>
      <sz val="9"/>
      <name val="Calibri"/>
      <family val="2"/>
    </font>
    <font>
      <u/>
      <sz val="10"/>
      <color indexed="12"/>
      <name val="Arial"/>
      <family val="2"/>
    </font>
    <font>
      <u/>
      <sz val="10"/>
      <name val="Calibri"/>
      <family val="2"/>
      <scheme val="minor"/>
    </font>
    <font>
      <sz val="9"/>
      <name val="Arial"/>
      <family val="2"/>
    </font>
    <font>
      <sz val="11"/>
      <name val="Calibri"/>
      <family val="2"/>
      <scheme val="minor"/>
    </font>
  </fonts>
  <fills count="1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44"/>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indexed="65"/>
        <bgColor indexed="9"/>
      </patternFill>
    </fill>
    <fill>
      <patternFill patternType="solid">
        <fgColor theme="0"/>
        <bgColor indexed="9"/>
      </patternFill>
    </fill>
    <fill>
      <patternFill patternType="solid">
        <fgColor theme="4" tint="0.59999389629810485"/>
        <bgColor indexed="9"/>
      </patternFill>
    </fill>
    <fill>
      <patternFill patternType="solid">
        <fgColor theme="4" tint="0.59999389629810485"/>
        <bgColor indexed="64"/>
      </patternFill>
    </fill>
    <fill>
      <patternFill patternType="solid">
        <fgColor theme="0" tint="-4.9989318521683403E-2"/>
        <bgColor indexed="9"/>
      </patternFill>
    </fill>
  </fills>
  <borders count="24">
    <border>
      <left/>
      <right/>
      <top/>
      <bottom/>
      <diagonal/>
    </border>
    <border>
      <left style="double">
        <color indexed="17"/>
      </left>
      <right/>
      <top/>
      <bottom/>
      <diagonal/>
    </border>
    <border>
      <left/>
      <right style="double">
        <color indexed="17"/>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double">
        <color indexed="17"/>
      </left>
      <right/>
      <top/>
      <bottom style="double">
        <color indexed="17"/>
      </bottom>
      <diagonal/>
    </border>
    <border>
      <left/>
      <right/>
      <top/>
      <bottom style="double">
        <color indexed="17"/>
      </bottom>
      <diagonal/>
    </border>
    <border>
      <left/>
      <right style="double">
        <color indexed="17"/>
      </right>
      <top/>
      <bottom style="double">
        <color indexed="17"/>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double">
        <color indexed="17"/>
      </left>
      <right/>
      <top style="double">
        <color indexed="17"/>
      </top>
      <bottom/>
      <diagonal/>
    </border>
    <border>
      <left/>
      <right/>
      <top style="double">
        <color indexed="17"/>
      </top>
      <bottom/>
      <diagonal/>
    </border>
    <border>
      <left/>
      <right style="double">
        <color indexed="17"/>
      </right>
      <top style="double">
        <color indexed="17"/>
      </top>
      <bottom/>
      <diagonal/>
    </border>
  </borders>
  <cellStyleXfs count="24">
    <xf numFmtId="165"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2" fillId="0" borderId="0"/>
    <xf numFmtId="0" fontId="6" fillId="0" borderId="0"/>
    <xf numFmtId="0" fontId="2" fillId="0" borderId="0"/>
    <xf numFmtId="9" fontId="2" fillId="0" borderId="0" applyFont="0" applyFill="0" applyBorder="0" applyAlignment="0" applyProtection="0"/>
    <xf numFmtId="164" fontId="2" fillId="0" borderId="0" applyFont="0" applyFill="0" applyBorder="0" applyAlignment="0" applyProtection="0"/>
    <xf numFmtId="0" fontId="2" fillId="0" borderId="0"/>
    <xf numFmtId="177" fontId="2" fillId="0" borderId="0" applyFont="0" applyFill="0" applyBorder="0" applyAlignment="0" applyProtection="0"/>
    <xf numFmtId="0" fontId="58" fillId="0" borderId="0" applyNumberFormat="0" applyFill="0" applyBorder="0" applyAlignment="0" applyProtection="0">
      <alignment vertical="top"/>
      <protection locked="0"/>
    </xf>
    <xf numFmtId="165" fontId="50" fillId="0" borderId="0"/>
    <xf numFmtId="0" fontId="1" fillId="0" borderId="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cellStyleXfs>
  <cellXfs count="349">
    <xf numFmtId="165" fontId="0" fillId="0" borderId="0" xfId="0"/>
    <xf numFmtId="165" fontId="23" fillId="0" borderId="0" xfId="0" applyFont="1"/>
    <xf numFmtId="165" fontId="26" fillId="0" borderId="0" xfId="0" applyFont="1"/>
    <xf numFmtId="169" fontId="27" fillId="0" borderId="0" xfId="11" applyNumberFormat="1" applyFont="1" applyAlignment="1">
      <alignment horizontal="center"/>
    </xf>
    <xf numFmtId="173" fontId="27" fillId="0" borderId="0" xfId="11" applyNumberFormat="1" applyFont="1" applyAlignment="1" applyProtection="1">
      <alignment horizontal="center"/>
      <protection locked="0"/>
    </xf>
    <xf numFmtId="165" fontId="23" fillId="0" borderId="1" xfId="0" applyFont="1" applyBorder="1"/>
    <xf numFmtId="3" fontId="23" fillId="0" borderId="0" xfId="0" applyNumberFormat="1" applyFont="1" applyAlignment="1" applyProtection="1">
      <alignment horizontal="center"/>
      <protection locked="0"/>
    </xf>
    <xf numFmtId="165" fontId="23" fillId="0" borderId="2" xfId="0" applyFont="1" applyBorder="1"/>
    <xf numFmtId="165" fontId="23" fillId="0" borderId="3" xfId="0" applyFont="1" applyBorder="1" applyAlignment="1" applyProtection="1">
      <alignment horizontal="center"/>
      <protection locked="0"/>
    </xf>
    <xf numFmtId="165" fontId="23" fillId="0" borderId="0" xfId="0" quotePrefix="1" applyFont="1"/>
    <xf numFmtId="165" fontId="23" fillId="0" borderId="8" xfId="0" applyFont="1" applyBorder="1" applyProtection="1">
      <protection locked="0"/>
    </xf>
    <xf numFmtId="165" fontId="27" fillId="0" borderId="0" xfId="0" applyFont="1" applyAlignment="1">
      <alignment horizontal="left"/>
    </xf>
    <xf numFmtId="165" fontId="23" fillId="0" borderId="0" xfId="0" applyFont="1" applyProtection="1">
      <protection locked="0"/>
    </xf>
    <xf numFmtId="165" fontId="23" fillId="0" borderId="0" xfId="0" quotePrefix="1" applyFont="1" applyAlignment="1">
      <alignment horizontal="left"/>
    </xf>
    <xf numFmtId="172" fontId="23" fillId="0" borderId="0" xfId="0" applyNumberFormat="1" applyFont="1"/>
    <xf numFmtId="172" fontId="28" fillId="0" borderId="0" xfId="0" applyNumberFormat="1" applyFont="1"/>
    <xf numFmtId="174" fontId="23" fillId="0" borderId="8" xfId="11" applyNumberFormat="1" applyFont="1" applyBorder="1" applyAlignment="1">
      <alignment horizontal="center"/>
    </xf>
    <xf numFmtId="165" fontId="23" fillId="0" borderId="8" xfId="0" applyFont="1" applyBorder="1" applyAlignment="1" applyProtection="1">
      <alignment horizontal="center"/>
      <protection locked="0"/>
    </xf>
    <xf numFmtId="165" fontId="29" fillId="0" borderId="3" xfId="0" applyFont="1" applyBorder="1" applyAlignment="1">
      <alignment horizontal="center"/>
    </xf>
    <xf numFmtId="165" fontId="29" fillId="0" borderId="3" xfId="0" applyFont="1" applyBorder="1" applyAlignment="1" applyProtection="1">
      <alignment horizontal="center"/>
      <protection locked="0"/>
    </xf>
    <xf numFmtId="165" fontId="29" fillId="0" borderId="0" xfId="0" applyFont="1" applyAlignment="1">
      <alignment horizontal="center"/>
    </xf>
    <xf numFmtId="165" fontId="23" fillId="0" borderId="0" xfId="0" applyFont="1" applyAlignment="1">
      <alignment horizontal="center"/>
    </xf>
    <xf numFmtId="165" fontId="29" fillId="0" borderId="0" xfId="0" applyFont="1"/>
    <xf numFmtId="0" fontId="30" fillId="0" borderId="0" xfId="12" applyFont="1"/>
    <xf numFmtId="0" fontId="25" fillId="2" borderId="0" xfId="12" applyFont="1" applyFill="1"/>
    <xf numFmtId="0" fontId="25" fillId="0" borderId="0" xfId="12" applyFont="1"/>
    <xf numFmtId="165" fontId="23" fillId="2" borderId="0" xfId="0" applyFont="1" applyFill="1"/>
    <xf numFmtId="165" fontId="23" fillId="0" borderId="11" xfId="0" applyFont="1" applyBorder="1"/>
    <xf numFmtId="165" fontId="23" fillId="0" borderId="12" xfId="0" applyFont="1" applyBorder="1"/>
    <xf numFmtId="165" fontId="23" fillId="0" borderId="13" xfId="0" applyFont="1" applyBorder="1"/>
    <xf numFmtId="165" fontId="31" fillId="0" borderId="0" xfId="0" applyFont="1"/>
    <xf numFmtId="165" fontId="23" fillId="0" borderId="3" xfId="0" applyFont="1" applyBorder="1" applyAlignment="1">
      <alignment horizontal="center" vertical="center"/>
    </xf>
    <xf numFmtId="3" fontId="23" fillId="0" borderId="3" xfId="0" applyNumberFormat="1" applyFont="1" applyBorder="1" applyAlignment="1">
      <alignment horizontal="center" vertical="center"/>
    </xf>
    <xf numFmtId="165" fontId="23" fillId="0" borderId="4" xfId="0" applyFont="1" applyBorder="1"/>
    <xf numFmtId="0" fontId="23" fillId="0" borderId="0" xfId="12" applyFont="1"/>
    <xf numFmtId="0" fontId="23" fillId="2" borderId="0" xfId="12" applyFont="1" applyFill="1"/>
    <xf numFmtId="0" fontId="23" fillId="2" borderId="0" xfId="12" applyFont="1" applyFill="1" applyAlignment="1">
      <alignment horizontal="center"/>
    </xf>
    <xf numFmtId="0" fontId="29" fillId="0" borderId="0" xfId="12" applyFont="1"/>
    <xf numFmtId="0" fontId="29" fillId="0" borderId="0" xfId="12" applyFont="1" applyAlignment="1">
      <alignment horizontal="center" vertical="center" wrapText="1"/>
    </xf>
    <xf numFmtId="3" fontId="29" fillId="0" borderId="0" xfId="12" applyNumberFormat="1" applyFont="1" applyAlignment="1">
      <alignment horizontal="center" vertical="center" wrapText="1"/>
    </xf>
    <xf numFmtId="165" fontId="23" fillId="3" borderId="0" xfId="0" applyFont="1" applyFill="1" applyAlignment="1">
      <alignment vertical="center"/>
    </xf>
    <xf numFmtId="165" fontId="27" fillId="3" borderId="0" xfId="0" applyFont="1" applyFill="1" applyAlignment="1">
      <alignment vertical="center"/>
    </xf>
    <xf numFmtId="165" fontId="23" fillId="3" borderId="3" xfId="0" applyFont="1" applyFill="1" applyBorder="1" applyAlignment="1">
      <alignment horizontal="center" vertical="center"/>
    </xf>
    <xf numFmtId="165" fontId="23" fillId="3" borderId="14" xfId="0" applyFont="1" applyFill="1" applyBorder="1" applyAlignment="1">
      <alignment vertical="center"/>
    </xf>
    <xf numFmtId="165" fontId="23" fillId="3" borderId="0" xfId="0" applyFont="1" applyFill="1" applyAlignment="1">
      <alignment horizontal="center" vertical="center"/>
    </xf>
    <xf numFmtId="165" fontId="23" fillId="3" borderId="4" xfId="0" applyFont="1" applyFill="1" applyBorder="1" applyAlignment="1">
      <alignment horizontal="center" vertical="center"/>
    </xf>
    <xf numFmtId="165" fontId="23" fillId="3" borderId="3" xfId="0" applyFont="1" applyFill="1" applyBorder="1" applyAlignment="1">
      <alignment vertical="center"/>
    </xf>
    <xf numFmtId="165" fontId="29" fillId="3" borderId="0" xfId="0" applyFont="1" applyFill="1" applyAlignment="1">
      <alignment vertical="center"/>
    </xf>
    <xf numFmtId="9" fontId="29" fillId="3" borderId="4" xfId="13" applyFont="1" applyFill="1" applyBorder="1" applyAlignment="1">
      <alignment horizontal="center" vertical="center"/>
    </xf>
    <xf numFmtId="165" fontId="23" fillId="3" borderId="0" xfId="0" applyFont="1" applyFill="1" applyAlignment="1">
      <alignment horizontal="right" vertical="center"/>
    </xf>
    <xf numFmtId="165" fontId="23" fillId="3" borderId="17" xfId="0" applyFont="1" applyFill="1" applyBorder="1" applyAlignment="1">
      <alignment vertical="center"/>
    </xf>
    <xf numFmtId="170" fontId="29" fillId="3" borderId="0" xfId="14" applyNumberFormat="1" applyFont="1" applyFill="1" applyBorder="1" applyAlignment="1">
      <alignment horizontal="center" vertical="center"/>
    </xf>
    <xf numFmtId="168" fontId="23" fillId="3" borderId="3" xfId="13" applyNumberFormat="1" applyFont="1" applyFill="1" applyBorder="1" applyAlignment="1">
      <alignment vertical="center"/>
    </xf>
    <xf numFmtId="9" fontId="23" fillId="3" borderId="3" xfId="13" applyFont="1" applyFill="1" applyBorder="1" applyAlignment="1">
      <alignment vertical="center"/>
    </xf>
    <xf numFmtId="165" fontId="33" fillId="3" borderId="0" xfId="0" applyFont="1" applyFill="1" applyAlignment="1">
      <alignment vertical="center"/>
    </xf>
    <xf numFmtId="165" fontId="27" fillId="3" borderId="0" xfId="0" applyFont="1" applyFill="1" applyAlignment="1">
      <alignment horizontal="right" vertical="center"/>
    </xf>
    <xf numFmtId="165" fontId="29" fillId="4" borderId="14" xfId="0" applyFont="1" applyFill="1" applyBorder="1" applyAlignment="1">
      <alignment vertical="center"/>
    </xf>
    <xf numFmtId="165" fontId="29" fillId="4" borderId="15" xfId="0" applyFont="1" applyFill="1" applyBorder="1" applyAlignment="1">
      <alignment vertical="center"/>
    </xf>
    <xf numFmtId="165" fontId="29" fillId="3" borderId="0" xfId="0" applyFont="1" applyFill="1" applyAlignment="1">
      <alignment horizontal="left"/>
    </xf>
    <xf numFmtId="165" fontId="23" fillId="3" borderId="0" xfId="0" applyFont="1" applyFill="1"/>
    <xf numFmtId="165" fontId="29" fillId="3" borderId="18" xfId="0" applyFont="1" applyFill="1" applyBorder="1" applyAlignment="1">
      <alignment horizontal="center"/>
    </xf>
    <xf numFmtId="165" fontId="29" fillId="3" borderId="0" xfId="0" applyFont="1" applyFill="1" applyAlignment="1">
      <alignment horizontal="center"/>
    </xf>
    <xf numFmtId="165" fontId="29" fillId="3" borderId="0" xfId="0" applyFont="1" applyFill="1"/>
    <xf numFmtId="167" fontId="29" fillId="3" borderId="0" xfId="14" applyNumberFormat="1" applyFont="1" applyFill="1" applyAlignment="1">
      <alignment vertical="center"/>
    </xf>
    <xf numFmtId="165" fontId="23" fillId="3" borderId="3" xfId="0" applyFont="1" applyFill="1" applyBorder="1" applyAlignment="1">
      <alignment horizontal="center"/>
    </xf>
    <xf numFmtId="167" fontId="23" fillId="3" borderId="3" xfId="14" applyNumberFormat="1" applyFont="1" applyFill="1" applyBorder="1"/>
    <xf numFmtId="167" fontId="23" fillId="3" borderId="0" xfId="14" applyNumberFormat="1" applyFont="1" applyFill="1"/>
    <xf numFmtId="166" fontId="23" fillId="3" borderId="0" xfId="0" applyNumberFormat="1" applyFont="1" applyFill="1"/>
    <xf numFmtId="165" fontId="36" fillId="3" borderId="0" xfId="0" applyFont="1" applyFill="1"/>
    <xf numFmtId="165" fontId="37" fillId="3" borderId="0" xfId="0" applyFont="1" applyFill="1"/>
    <xf numFmtId="167" fontId="35" fillId="3" borderId="0" xfId="14" applyNumberFormat="1" applyFont="1" applyFill="1"/>
    <xf numFmtId="165" fontId="23" fillId="3" borderId="0" xfId="0" applyFont="1" applyFill="1" applyAlignment="1">
      <alignment horizontal="left"/>
    </xf>
    <xf numFmtId="165" fontId="23" fillId="3" borderId="3" xfId="0" applyFont="1" applyFill="1" applyBorder="1"/>
    <xf numFmtId="165" fontId="29" fillId="3" borderId="3" xfId="0" applyFont="1" applyFill="1" applyBorder="1"/>
    <xf numFmtId="165" fontId="23" fillId="3" borderId="0" xfId="0" applyFont="1" applyFill="1" applyAlignment="1">
      <alignment horizontal="center"/>
    </xf>
    <xf numFmtId="165" fontId="35" fillId="3" borderId="0" xfId="0" applyFont="1" applyFill="1" applyAlignment="1">
      <alignment vertical="center"/>
    </xf>
    <xf numFmtId="165" fontId="27" fillId="3" borderId="3" xfId="0" applyFont="1" applyFill="1" applyBorder="1" applyAlignment="1">
      <alignment vertical="center"/>
    </xf>
    <xf numFmtId="165" fontId="29" fillId="3" borderId="3" xfId="0" applyFont="1" applyFill="1" applyBorder="1" applyAlignment="1">
      <alignment vertical="center"/>
    </xf>
    <xf numFmtId="165" fontId="27" fillId="5" borderId="3" xfId="0" applyFont="1" applyFill="1" applyBorder="1" applyAlignment="1">
      <alignment vertical="center"/>
    </xf>
    <xf numFmtId="9" fontId="27" fillId="5" borderId="3" xfId="13" applyFont="1" applyFill="1" applyBorder="1" applyAlignment="1">
      <alignment horizontal="right" vertical="center"/>
    </xf>
    <xf numFmtId="165" fontId="27" fillId="5" borderId="14" xfId="0" applyFont="1" applyFill="1" applyBorder="1" applyAlignment="1">
      <alignment horizontal="right" vertical="center"/>
    </xf>
    <xf numFmtId="165" fontId="29" fillId="5" borderId="3" xfId="0" applyFont="1" applyFill="1" applyBorder="1" applyAlignment="1">
      <alignment vertical="center"/>
    </xf>
    <xf numFmtId="165" fontId="29" fillId="5" borderId="3" xfId="0" applyFont="1" applyFill="1" applyBorder="1" applyAlignment="1">
      <alignment vertical="center" wrapText="1"/>
    </xf>
    <xf numFmtId="165" fontId="29" fillId="5" borderId="3" xfId="0" applyFont="1" applyFill="1" applyBorder="1" applyAlignment="1">
      <alignment horizontal="center" vertical="center"/>
    </xf>
    <xf numFmtId="165" fontId="29" fillId="5" borderId="3" xfId="0" applyFont="1" applyFill="1" applyBorder="1" applyAlignment="1">
      <alignment horizontal="right" vertical="center" wrapText="1"/>
    </xf>
    <xf numFmtId="165" fontId="29" fillId="5" borderId="0" xfId="0" applyFont="1" applyFill="1"/>
    <xf numFmtId="165" fontId="29" fillId="3" borderId="0" xfId="0" applyFont="1" applyFill="1" applyAlignment="1">
      <alignment horizontal="right"/>
    </xf>
    <xf numFmtId="165" fontId="29" fillId="3" borderId="0" xfId="0" applyFont="1" applyFill="1" applyAlignment="1">
      <alignment horizontal="right" vertical="center" wrapText="1"/>
    </xf>
    <xf numFmtId="0" fontId="29" fillId="5" borderId="3" xfId="12" applyFont="1" applyFill="1" applyBorder="1" applyAlignment="1">
      <alignment horizontal="center" vertical="center"/>
    </xf>
    <xf numFmtId="0" fontId="29" fillId="5" borderId="14" xfId="12" applyFont="1" applyFill="1" applyBorder="1" applyAlignment="1">
      <alignment horizontal="center" vertical="center" wrapText="1"/>
    </xf>
    <xf numFmtId="0" fontId="29" fillId="5" borderId="3" xfId="12" applyFont="1" applyFill="1" applyBorder="1" applyAlignment="1">
      <alignment horizontal="center" vertical="center" wrapText="1"/>
    </xf>
    <xf numFmtId="165" fontId="23" fillId="5" borderId="3" xfId="0" applyFont="1" applyFill="1" applyBorder="1" applyAlignment="1">
      <alignment horizontal="center" vertical="center" wrapText="1" shrinkToFit="1"/>
    </xf>
    <xf numFmtId="165" fontId="23" fillId="5" borderId="3" xfId="0" applyFont="1" applyFill="1" applyBorder="1" applyAlignment="1">
      <alignment horizontal="center" vertical="center" wrapText="1"/>
    </xf>
    <xf numFmtId="165" fontId="29" fillId="5" borderId="17" xfId="0" applyFont="1" applyFill="1" applyBorder="1" applyAlignment="1">
      <alignment horizontal="center" vertical="center"/>
    </xf>
    <xf numFmtId="165" fontId="29" fillId="5" borderId="17" xfId="0" applyFont="1" applyFill="1" applyBorder="1" applyAlignment="1">
      <alignment horizontal="center" vertical="center" wrapText="1"/>
    </xf>
    <xf numFmtId="165" fontId="23" fillId="5" borderId="14" xfId="0" applyFont="1" applyFill="1" applyBorder="1"/>
    <xf numFmtId="165" fontId="23" fillId="5" borderId="15" xfId="0" applyFont="1" applyFill="1" applyBorder="1"/>
    <xf numFmtId="165" fontId="23" fillId="5" borderId="16" xfId="0" applyFont="1" applyFill="1" applyBorder="1"/>
    <xf numFmtId="165" fontId="23" fillId="5" borderId="16" xfId="0" applyFont="1" applyFill="1" applyBorder="1" applyAlignment="1">
      <alignment horizontal="center"/>
    </xf>
    <xf numFmtId="0" fontId="23" fillId="5" borderId="14" xfId="12" applyFont="1" applyFill="1" applyBorder="1" applyAlignment="1">
      <alignment horizontal="left"/>
    </xf>
    <xf numFmtId="0" fontId="23" fillId="5" borderId="16" xfId="12" applyFont="1" applyFill="1" applyBorder="1" applyAlignment="1">
      <alignment horizontal="center"/>
    </xf>
    <xf numFmtId="165" fontId="29" fillId="5" borderId="14" xfId="0" applyFont="1" applyFill="1" applyBorder="1"/>
    <xf numFmtId="165" fontId="23" fillId="5" borderId="6" xfId="0" applyFont="1" applyFill="1" applyBorder="1"/>
    <xf numFmtId="165" fontId="27" fillId="0" borderId="0" xfId="0" applyFont="1"/>
    <xf numFmtId="0" fontId="29" fillId="0" borderId="0" xfId="12" applyFont="1" applyAlignment="1">
      <alignment vertical="center" wrapText="1"/>
    </xf>
    <xf numFmtId="0" fontId="23" fillId="0" borderId="0" xfId="12" applyFont="1" applyAlignment="1">
      <alignment horizontal="center" vertical="center"/>
    </xf>
    <xf numFmtId="3" fontId="23" fillId="0" borderId="0" xfId="0" applyNumberFormat="1" applyFont="1" applyAlignment="1">
      <alignment horizontal="center" vertical="center"/>
    </xf>
    <xf numFmtId="3" fontId="29" fillId="0" borderId="0" xfId="0" applyNumberFormat="1" applyFont="1" applyAlignment="1">
      <alignment horizontal="center" vertical="center"/>
    </xf>
    <xf numFmtId="3" fontId="23" fillId="0" borderId="0" xfId="12" applyNumberFormat="1" applyFont="1" applyAlignment="1">
      <alignment horizontal="center" vertical="center" wrapText="1"/>
    </xf>
    <xf numFmtId="3" fontId="23" fillId="0" borderId="0" xfId="12" applyNumberFormat="1" applyFont="1" applyAlignment="1">
      <alignment horizontal="center" vertical="center"/>
    </xf>
    <xf numFmtId="0" fontId="29" fillId="0" borderId="0" xfId="12" applyFont="1" applyAlignment="1">
      <alignment horizontal="centerContinuous" vertical="center"/>
    </xf>
    <xf numFmtId="165" fontId="23" fillId="0" borderId="0" xfId="0" applyFont="1" applyAlignment="1">
      <alignment horizontal="center" vertical="center" wrapText="1"/>
    </xf>
    <xf numFmtId="165" fontId="25" fillId="0" borderId="8" xfId="0" applyFont="1" applyBorder="1" applyProtection="1">
      <protection locked="0"/>
    </xf>
    <xf numFmtId="165" fontId="23" fillId="7" borderId="0" xfId="0" applyFont="1" applyFill="1"/>
    <xf numFmtId="165" fontId="31" fillId="7" borderId="0" xfId="0" applyFont="1" applyFill="1"/>
    <xf numFmtId="3" fontId="23" fillId="7" borderId="3" xfId="12" applyNumberFormat="1" applyFont="1" applyFill="1" applyBorder="1" applyAlignment="1">
      <alignment horizontal="center" vertical="center"/>
    </xf>
    <xf numFmtId="165" fontId="0" fillId="0" borderId="0" xfId="0" applyAlignment="1">
      <alignment wrapText="1"/>
    </xf>
    <xf numFmtId="165" fontId="23" fillId="0" borderId="4" xfId="11" applyNumberFormat="1" applyFont="1" applyBorder="1" applyAlignment="1">
      <alignment horizontal="center" vertical="center"/>
    </xf>
    <xf numFmtId="3" fontId="23" fillId="0" borderId="6" xfId="11" applyNumberFormat="1" applyFont="1" applyBorder="1" applyAlignment="1">
      <alignment vertical="center"/>
    </xf>
    <xf numFmtId="3" fontId="23" fillId="0" borderId="7" xfId="11" applyNumberFormat="1" applyFont="1" applyBorder="1" applyAlignment="1">
      <alignment vertical="center"/>
    </xf>
    <xf numFmtId="10" fontId="27" fillId="0" borderId="5" xfId="13" applyNumberFormat="1" applyFont="1" applyBorder="1" applyAlignment="1">
      <alignment vertical="center"/>
    </xf>
    <xf numFmtId="165" fontId="9" fillId="3" borderId="0" xfId="0" applyFont="1" applyFill="1" applyAlignment="1">
      <alignment vertical="center"/>
    </xf>
    <xf numFmtId="165" fontId="34" fillId="3" borderId="0" xfId="0" applyFont="1" applyFill="1" applyAlignment="1">
      <alignment vertical="center"/>
    </xf>
    <xf numFmtId="165" fontId="23" fillId="3" borderId="14" xfId="0" applyFont="1" applyFill="1" applyBorder="1" applyAlignment="1">
      <alignment vertical="center" wrapText="1"/>
    </xf>
    <xf numFmtId="165" fontId="23" fillId="3" borderId="14" xfId="0" applyFont="1" applyFill="1" applyBorder="1" applyAlignment="1" applyProtection="1">
      <alignment vertical="center"/>
      <protection locked="0"/>
    </xf>
    <xf numFmtId="165" fontId="23" fillId="3" borderId="0" xfId="0" applyFont="1" applyFill="1" applyAlignment="1">
      <alignment horizontal="left" vertical="center"/>
    </xf>
    <xf numFmtId="165" fontId="25" fillId="2" borderId="0" xfId="0" applyFont="1" applyFill="1"/>
    <xf numFmtId="165" fontId="23" fillId="7" borderId="4" xfId="0" applyFont="1" applyFill="1" applyBorder="1" applyAlignment="1">
      <alignment vertical="center"/>
    </xf>
    <xf numFmtId="165" fontId="23" fillId="7" borderId="14" xfId="0" applyFont="1" applyFill="1" applyBorder="1" applyAlignment="1">
      <alignment vertical="center"/>
    </xf>
    <xf numFmtId="14" fontId="23" fillId="7" borderId="3" xfId="0" applyNumberFormat="1" applyFont="1" applyFill="1" applyBorder="1" applyAlignment="1">
      <alignment horizontal="center"/>
    </xf>
    <xf numFmtId="165" fontId="23" fillId="7" borderId="0" xfId="0" quotePrefix="1" applyFont="1" applyFill="1"/>
    <xf numFmtId="165" fontId="23" fillId="7" borderId="8" xfId="0" applyFont="1" applyFill="1" applyBorder="1"/>
    <xf numFmtId="3" fontId="29" fillId="7" borderId="3" xfId="12" applyNumberFormat="1" applyFont="1" applyFill="1" applyBorder="1" applyAlignment="1">
      <alignment horizontal="center" vertical="center"/>
    </xf>
    <xf numFmtId="0" fontId="23" fillId="7" borderId="3" xfId="12" applyFont="1" applyFill="1" applyBorder="1" applyAlignment="1">
      <alignment horizontal="center" vertical="center"/>
    </xf>
    <xf numFmtId="3" fontId="23" fillId="7" borderId="15" xfId="12" applyNumberFormat="1" applyFont="1" applyFill="1" applyBorder="1" applyAlignment="1">
      <alignment horizontal="center" vertical="center"/>
    </xf>
    <xf numFmtId="165" fontId="29" fillId="7" borderId="3" xfId="0" applyFont="1" applyFill="1" applyBorder="1" applyAlignment="1">
      <alignment horizontal="center" wrapText="1"/>
    </xf>
    <xf numFmtId="165" fontId="23" fillId="7" borderId="3" xfId="0" applyFont="1" applyFill="1" applyBorder="1" applyAlignment="1">
      <alignment horizontal="center" vertical="center" wrapText="1"/>
    </xf>
    <xf numFmtId="3" fontId="23" fillId="7" borderId="5" xfId="12" applyNumberFormat="1" applyFont="1" applyFill="1" applyBorder="1" applyAlignment="1">
      <alignment horizontal="center" vertical="center" wrapText="1"/>
    </xf>
    <xf numFmtId="165" fontId="23" fillId="7" borderId="10" xfId="0" applyFont="1" applyFill="1" applyBorder="1" applyAlignment="1">
      <alignment horizontal="center" vertical="center" wrapText="1"/>
    </xf>
    <xf numFmtId="165" fontId="44" fillId="3" borderId="0" xfId="0" applyFont="1" applyFill="1" applyAlignment="1">
      <alignment vertical="center"/>
    </xf>
    <xf numFmtId="165" fontId="45" fillId="8" borderId="3" xfId="0" applyFont="1" applyFill="1" applyBorder="1" applyAlignment="1">
      <alignment horizontal="center" vertical="center"/>
    </xf>
    <xf numFmtId="165" fontId="45" fillId="8" borderId="17" xfId="0" applyFont="1" applyFill="1" applyBorder="1" applyAlignment="1">
      <alignment horizontal="center" vertical="center" wrapText="1"/>
    </xf>
    <xf numFmtId="165" fontId="45" fillId="8" borderId="3" xfId="0" applyFont="1" applyFill="1" applyBorder="1" applyAlignment="1">
      <alignment horizontal="center" vertical="center" wrapText="1"/>
    </xf>
    <xf numFmtId="165" fontId="25" fillId="8" borderId="3" xfId="0" applyFont="1" applyFill="1" applyBorder="1" applyAlignment="1">
      <alignment horizontal="center" vertical="center"/>
    </xf>
    <xf numFmtId="165" fontId="23" fillId="8" borderId="3" xfId="0" applyFont="1" applyFill="1" applyBorder="1" applyAlignment="1">
      <alignment horizontal="center" vertical="center" wrapText="1"/>
    </xf>
    <xf numFmtId="165" fontId="29" fillId="8" borderId="17" xfId="0" applyFont="1" applyFill="1" applyBorder="1" applyAlignment="1">
      <alignment horizontal="center" vertical="center"/>
    </xf>
    <xf numFmtId="165" fontId="23" fillId="8" borderId="17" xfId="0" applyFont="1" applyFill="1" applyBorder="1" applyAlignment="1">
      <alignment horizontal="center" vertical="center" wrapText="1"/>
    </xf>
    <xf numFmtId="165" fontId="29" fillId="8" borderId="3" xfId="0" applyFont="1" applyFill="1" applyBorder="1" applyAlignment="1">
      <alignment horizontal="center"/>
    </xf>
    <xf numFmtId="165" fontId="25" fillId="8" borderId="3" xfId="0" applyFont="1" applyFill="1" applyBorder="1" applyAlignment="1">
      <alignment horizontal="center"/>
    </xf>
    <xf numFmtId="0" fontId="29" fillId="8" borderId="3" xfId="12" applyFont="1" applyFill="1" applyBorder="1" applyAlignment="1">
      <alignment horizontal="center" vertical="center"/>
    </xf>
    <xf numFmtId="0" fontId="23" fillId="8" borderId="14" xfId="12" applyFont="1" applyFill="1" applyBorder="1" applyAlignment="1">
      <alignment horizontal="center" vertical="center" wrapText="1"/>
    </xf>
    <xf numFmtId="165" fontId="23" fillId="8" borderId="3" xfId="0" applyFont="1" applyFill="1" applyBorder="1" applyAlignment="1">
      <alignment horizontal="center" vertical="center"/>
    </xf>
    <xf numFmtId="165" fontId="35" fillId="8" borderId="3" xfId="0" applyFont="1" applyFill="1" applyBorder="1" applyAlignment="1">
      <alignment horizontal="center" vertical="center"/>
    </xf>
    <xf numFmtId="165" fontId="27" fillId="8" borderId="3" xfId="0" applyFont="1" applyFill="1" applyBorder="1" applyAlignment="1">
      <alignment horizontal="center" vertical="center"/>
    </xf>
    <xf numFmtId="2" fontId="23" fillId="3" borderId="3" xfId="13" applyNumberFormat="1" applyFont="1" applyFill="1" applyBorder="1" applyAlignment="1" applyProtection="1">
      <alignment horizontal="center" vertical="center"/>
    </xf>
    <xf numFmtId="0" fontId="23" fillId="3" borderId="3" xfId="14" applyNumberFormat="1" applyFont="1" applyFill="1" applyBorder="1" applyAlignment="1" applyProtection="1">
      <alignment horizontal="center" vertical="center"/>
      <protection locked="0"/>
    </xf>
    <xf numFmtId="171" fontId="23" fillId="3" borderId="3" xfId="13" applyNumberFormat="1" applyFont="1" applyFill="1" applyBorder="1" applyAlignment="1" applyProtection="1">
      <alignment horizontal="center" vertical="center"/>
      <protection locked="0"/>
    </xf>
    <xf numFmtId="165" fontId="27" fillId="8" borderId="3" xfId="0" applyFont="1" applyFill="1" applyBorder="1" applyAlignment="1">
      <alignment horizontal="center"/>
    </xf>
    <xf numFmtId="171" fontId="23" fillId="3" borderId="3" xfId="13" applyNumberFormat="1" applyFont="1" applyFill="1" applyBorder="1" applyAlignment="1" applyProtection="1">
      <alignment horizontal="center" vertical="center"/>
    </xf>
    <xf numFmtId="0" fontId="23" fillId="8" borderId="3" xfId="0" applyNumberFormat="1" applyFont="1" applyFill="1" applyBorder="1" applyAlignment="1">
      <alignment horizontal="center" vertical="center" wrapText="1"/>
    </xf>
    <xf numFmtId="165" fontId="23" fillId="8" borderId="3" xfId="0" applyFont="1" applyFill="1" applyBorder="1" applyAlignment="1">
      <alignment vertical="center"/>
    </xf>
    <xf numFmtId="0" fontId="23" fillId="8" borderId="3" xfId="12" applyFont="1" applyFill="1" applyBorder="1" applyAlignment="1">
      <alignment horizontal="center" vertical="center" wrapText="1"/>
    </xf>
    <xf numFmtId="0" fontId="25" fillId="0" borderId="0" xfId="12" applyFont="1" applyAlignment="1">
      <alignment vertical="top" wrapText="1"/>
    </xf>
    <xf numFmtId="165" fontId="49" fillId="0" borderId="0" xfId="0" applyFont="1" applyAlignment="1">
      <alignment vertical="top"/>
    </xf>
    <xf numFmtId="0" fontId="25" fillId="0" borderId="0" xfId="12" applyFont="1" applyAlignment="1">
      <alignment wrapText="1"/>
    </xf>
    <xf numFmtId="10" fontId="27" fillId="0" borderId="5" xfId="13" applyNumberFormat="1" applyFont="1" applyBorder="1" applyAlignment="1">
      <alignment horizontal="right" vertical="center"/>
    </xf>
    <xf numFmtId="3" fontId="23" fillId="0" borderId="10" xfId="11" applyNumberFormat="1" applyFont="1" applyBorder="1" applyAlignment="1">
      <alignment vertical="center"/>
    </xf>
    <xf numFmtId="10" fontId="23" fillId="7" borderId="3" xfId="0" applyNumberFormat="1" applyFont="1" applyFill="1" applyBorder="1" applyAlignment="1" applyProtection="1">
      <alignment horizontal="center"/>
      <protection locked="0"/>
    </xf>
    <xf numFmtId="1" fontId="23" fillId="7" borderId="0" xfId="0" applyNumberFormat="1" applyFont="1" applyFill="1" applyAlignment="1" applyProtection="1">
      <alignment horizontal="center"/>
      <protection locked="0"/>
    </xf>
    <xf numFmtId="165" fontId="23" fillId="7" borderId="3" xfId="0" applyFont="1" applyFill="1" applyBorder="1" applyAlignment="1" applyProtection="1">
      <alignment horizontal="center"/>
      <protection locked="0"/>
    </xf>
    <xf numFmtId="0" fontId="23" fillId="5" borderId="3" xfId="12" applyFont="1" applyFill="1" applyBorder="1" applyAlignment="1">
      <alignment horizontal="center" vertical="center" wrapText="1"/>
    </xf>
    <xf numFmtId="0" fontId="25" fillId="2" borderId="0" xfId="12" applyFont="1" applyFill="1" applyAlignment="1">
      <alignment horizontal="center"/>
    </xf>
    <xf numFmtId="165" fontId="25" fillId="8" borderId="3" xfId="0" applyFont="1" applyFill="1" applyBorder="1" applyAlignment="1">
      <alignment horizontal="center" vertical="center" wrapText="1"/>
    </xf>
    <xf numFmtId="165" fontId="23" fillId="0" borderId="0" xfId="0" applyFont="1" applyAlignment="1">
      <alignment vertical="center" wrapText="1"/>
    </xf>
    <xf numFmtId="165" fontId="23" fillId="0" borderId="7" xfId="0" applyFont="1" applyBorder="1" applyAlignment="1">
      <alignment vertical="center" wrapText="1"/>
    </xf>
    <xf numFmtId="165" fontId="23" fillId="0" borderId="0" xfId="0" applyFont="1" applyAlignment="1">
      <alignment horizontal="left" wrapText="1"/>
    </xf>
    <xf numFmtId="0" fontId="41" fillId="9" borderId="0" xfId="15" applyFont="1" applyFill="1"/>
    <xf numFmtId="0" fontId="41" fillId="10" borderId="0" xfId="15" applyFont="1" applyFill="1"/>
    <xf numFmtId="0" fontId="41" fillId="3" borderId="0" xfId="15" applyFont="1" applyFill="1"/>
    <xf numFmtId="0" fontId="41" fillId="3" borderId="0" xfId="15" applyFont="1" applyFill="1" applyAlignment="1">
      <alignment horizontal="center"/>
    </xf>
    <xf numFmtId="0" fontId="51" fillId="12" borderId="14" xfId="15" applyFont="1" applyFill="1" applyBorder="1" applyAlignment="1">
      <alignment horizontal="center" vertical="center"/>
    </xf>
    <xf numFmtId="0" fontId="51" fillId="12" borderId="3" xfId="15" applyFont="1" applyFill="1" applyBorder="1" applyAlignment="1">
      <alignment horizontal="center" vertical="center" wrapText="1"/>
    </xf>
    <xf numFmtId="3" fontId="51" fillId="12" borderId="15" xfId="15" applyNumberFormat="1" applyFont="1" applyFill="1" applyBorder="1" applyAlignment="1">
      <alignment horizontal="center" vertical="center" wrapText="1"/>
    </xf>
    <xf numFmtId="3" fontId="51" fillId="12" borderId="3" xfId="15" applyNumberFormat="1" applyFont="1" applyFill="1" applyBorder="1" applyAlignment="1">
      <alignment horizontal="center" vertical="center" wrapText="1"/>
    </xf>
    <xf numFmtId="0" fontId="51" fillId="11" borderId="3" xfId="15" applyFont="1" applyFill="1" applyBorder="1" applyAlignment="1">
      <alignment horizontal="center" vertical="center" wrapText="1"/>
    </xf>
    <xf numFmtId="0" fontId="41" fillId="8" borderId="14" xfId="15" applyFont="1" applyFill="1" applyBorder="1" applyAlignment="1">
      <alignment horizontal="center"/>
    </xf>
    <xf numFmtId="0" fontId="41" fillId="8" borderId="3" xfId="15" applyFont="1" applyFill="1" applyBorder="1" applyAlignment="1">
      <alignment horizontal="center" vertical="center" wrapText="1"/>
    </xf>
    <xf numFmtId="10" fontId="41" fillId="8" borderId="3" xfId="15" applyNumberFormat="1" applyFont="1" applyFill="1" applyBorder="1" applyAlignment="1">
      <alignment horizontal="center" vertical="center" wrapText="1"/>
    </xf>
    <xf numFmtId="3" fontId="41" fillId="8" borderId="15" xfId="15" applyNumberFormat="1" applyFont="1" applyFill="1" applyBorder="1" applyAlignment="1">
      <alignment horizontal="center" vertical="center" wrapText="1"/>
    </xf>
    <xf numFmtId="3" fontId="41" fillId="8" borderId="3" xfId="15" applyNumberFormat="1" applyFont="1" applyFill="1" applyBorder="1" applyAlignment="1">
      <alignment horizontal="center" vertical="center" wrapText="1"/>
    </xf>
    <xf numFmtId="0" fontId="41" fillId="13" borderId="3" xfId="15" applyFont="1" applyFill="1" applyBorder="1" applyAlignment="1">
      <alignment horizontal="center" vertical="center" wrapText="1"/>
    </xf>
    <xf numFmtId="0" fontId="41" fillId="8" borderId="15" xfId="15" applyFont="1" applyFill="1" applyBorder="1" applyAlignment="1">
      <alignment horizontal="center" vertical="center" wrapText="1"/>
    </xf>
    <xf numFmtId="0" fontId="41" fillId="3" borderId="4" xfId="15" applyFont="1" applyFill="1" applyBorder="1" applyAlignment="1">
      <alignment horizontal="center"/>
    </xf>
    <xf numFmtId="3" fontId="41" fillId="3" borderId="5" xfId="15" applyNumberFormat="1" applyFont="1" applyFill="1" applyBorder="1" applyAlignment="1">
      <alignment horizontal="center"/>
    </xf>
    <xf numFmtId="3" fontId="41" fillId="3" borderId="0" xfId="15" applyNumberFormat="1" applyFont="1" applyFill="1" applyAlignment="1">
      <alignment horizontal="center" vertical="top"/>
    </xf>
    <xf numFmtId="3" fontId="41" fillId="3" borderId="5" xfId="15" applyNumberFormat="1" applyFont="1" applyFill="1" applyBorder="1" applyAlignment="1">
      <alignment horizontal="center" vertical="top"/>
    </xf>
    <xf numFmtId="3" fontId="41" fillId="9" borderId="5" xfId="15" applyNumberFormat="1" applyFont="1" applyFill="1" applyBorder="1" applyAlignment="1">
      <alignment horizontal="center" vertical="center" wrapText="1"/>
    </xf>
    <xf numFmtId="3" fontId="41" fillId="7" borderId="0" xfId="15" applyNumberFormat="1" applyFont="1" applyFill="1" applyAlignment="1">
      <alignment horizontal="center"/>
    </xf>
    <xf numFmtId="1" fontId="41" fillId="9" borderId="3" xfId="15" applyNumberFormat="1" applyFont="1" applyFill="1" applyBorder="1" applyAlignment="1">
      <alignment horizontal="center"/>
    </xf>
    <xf numFmtId="3" fontId="41" fillId="9" borderId="3" xfId="15" applyNumberFormat="1" applyFont="1" applyFill="1" applyBorder="1" applyAlignment="1">
      <alignment horizontal="center"/>
    </xf>
    <xf numFmtId="3" fontId="41" fillId="9" borderId="3" xfId="15" applyNumberFormat="1" applyFont="1" applyFill="1" applyBorder="1" applyAlignment="1">
      <alignment horizontal="center" vertical="center" wrapText="1"/>
    </xf>
    <xf numFmtId="3" fontId="41" fillId="9" borderId="0" xfId="15" applyNumberFormat="1" applyFont="1" applyFill="1" applyAlignment="1">
      <alignment horizontal="center"/>
    </xf>
    <xf numFmtId="0" fontId="41" fillId="9" borderId="0" xfId="15" applyFont="1" applyFill="1" applyAlignment="1">
      <alignment horizontal="left"/>
    </xf>
    <xf numFmtId="1" fontId="54" fillId="9" borderId="0" xfId="15" applyNumberFormat="1" applyFont="1" applyFill="1" applyAlignment="1">
      <alignment horizontal="left"/>
    </xf>
    <xf numFmtId="1" fontId="41" fillId="9" borderId="0" xfId="15" applyNumberFormat="1" applyFont="1" applyFill="1" applyAlignment="1">
      <alignment horizontal="center"/>
    </xf>
    <xf numFmtId="0" fontId="41" fillId="9" borderId="0" xfId="15" applyFont="1" applyFill="1" applyAlignment="1">
      <alignment vertical="center" wrapText="1"/>
    </xf>
    <xf numFmtId="1" fontId="55" fillId="13" borderId="8" xfId="15" applyNumberFormat="1" applyFont="1" applyFill="1" applyBorder="1" applyAlignment="1">
      <alignment horizontal="left"/>
    </xf>
    <xf numFmtId="9" fontId="56" fillId="9" borderId="3" xfId="15" applyNumberFormat="1" applyFont="1" applyFill="1" applyBorder="1" applyAlignment="1">
      <alignment horizontal="center"/>
    </xf>
    <xf numFmtId="0" fontId="41" fillId="13" borderId="17" xfId="15" applyFont="1" applyFill="1" applyBorder="1"/>
    <xf numFmtId="0" fontId="41" fillId="13" borderId="20" xfId="15" applyFont="1" applyFill="1" applyBorder="1"/>
    <xf numFmtId="1" fontId="55" fillId="9" borderId="0" xfId="15" applyNumberFormat="1" applyFont="1" applyFill="1" applyAlignment="1">
      <alignment horizontal="left"/>
    </xf>
    <xf numFmtId="9" fontId="52" fillId="9" borderId="0" xfId="15" applyNumberFormat="1" applyFont="1" applyFill="1" applyAlignment="1">
      <alignment horizontal="center"/>
    </xf>
    <xf numFmtId="0" fontId="41" fillId="9" borderId="18" xfId="15" applyFont="1" applyFill="1" applyBorder="1"/>
    <xf numFmtId="0" fontId="41" fillId="13" borderId="0" xfId="15" applyFont="1" applyFill="1"/>
    <xf numFmtId="0" fontId="41" fillId="13" borderId="18" xfId="15" applyFont="1" applyFill="1" applyBorder="1"/>
    <xf numFmtId="0" fontId="25" fillId="9" borderId="8" xfId="15" applyFont="1" applyFill="1" applyBorder="1"/>
    <xf numFmtId="0" fontId="41" fillId="13" borderId="8" xfId="15" applyFont="1" applyFill="1" applyBorder="1"/>
    <xf numFmtId="9" fontId="52" fillId="9" borderId="3" xfId="10" applyNumberFormat="1" applyFont="1" applyFill="1" applyBorder="1" applyAlignment="1">
      <alignment horizontal="center"/>
    </xf>
    <xf numFmtId="178" fontId="41" fillId="0" borderId="14" xfId="15" applyNumberFormat="1" applyFont="1" applyBorder="1" applyAlignment="1">
      <alignment horizontal="left"/>
    </xf>
    <xf numFmtId="0" fontId="41" fillId="9" borderId="15" xfId="15" applyFont="1" applyFill="1" applyBorder="1"/>
    <xf numFmtId="9" fontId="52" fillId="13" borderId="0" xfId="10" applyNumberFormat="1" applyFont="1" applyFill="1" applyAlignment="1">
      <alignment horizontal="center"/>
    </xf>
    <xf numFmtId="178" fontId="41" fillId="8" borderId="0" xfId="15" applyNumberFormat="1" applyFont="1" applyFill="1" applyAlignment="1">
      <alignment horizontal="left"/>
    </xf>
    <xf numFmtId="179" fontId="52" fillId="9" borderId="3" xfId="10" applyNumberFormat="1" applyFont="1" applyFill="1" applyBorder="1" applyAlignment="1">
      <alignment horizontal="center"/>
    </xf>
    <xf numFmtId="178" fontId="41" fillId="9" borderId="14" xfId="15" applyNumberFormat="1" applyFont="1" applyFill="1" applyBorder="1" applyAlignment="1">
      <alignment horizontal="left"/>
    </xf>
    <xf numFmtId="0" fontId="41" fillId="9" borderId="16" xfId="15" applyFont="1" applyFill="1" applyBorder="1"/>
    <xf numFmtId="179" fontId="52" fillId="13" borderId="0" xfId="10" applyNumberFormat="1" applyFont="1" applyFill="1" applyAlignment="1">
      <alignment horizontal="center"/>
    </xf>
    <xf numFmtId="178" fontId="41" fillId="13" borderId="0" xfId="15" applyNumberFormat="1" applyFont="1" applyFill="1" applyAlignment="1">
      <alignment horizontal="left"/>
    </xf>
    <xf numFmtId="180" fontId="52" fillId="9" borderId="3" xfId="10" applyNumberFormat="1" applyFont="1" applyFill="1" applyBorder="1" applyAlignment="1">
      <alignment horizontal="center"/>
    </xf>
    <xf numFmtId="180" fontId="52" fillId="13" borderId="0" xfId="10" applyNumberFormat="1" applyFont="1" applyFill="1" applyAlignment="1">
      <alignment horizontal="center"/>
    </xf>
    <xf numFmtId="10" fontId="52" fillId="9" borderId="14" xfId="10" applyNumberFormat="1" applyFont="1" applyFill="1" applyBorder="1" applyAlignment="1">
      <alignment horizontal="center"/>
    </xf>
    <xf numFmtId="0" fontId="25" fillId="0" borderId="19" xfId="15" applyFont="1" applyBorder="1" applyAlignment="1">
      <alignment horizontal="left"/>
    </xf>
    <xf numFmtId="0" fontId="2" fillId="8" borderId="4" xfId="15" applyFill="1" applyBorder="1" applyAlignment="1">
      <alignment vertical="top" wrapText="1"/>
    </xf>
    <xf numFmtId="0" fontId="25" fillId="9" borderId="9" xfId="15" applyFont="1" applyFill="1" applyBorder="1"/>
    <xf numFmtId="0" fontId="52" fillId="9" borderId="3" xfId="10" applyFont="1" applyFill="1" applyBorder="1" applyAlignment="1">
      <alignment horizontal="center"/>
    </xf>
    <xf numFmtId="0" fontId="25" fillId="9" borderId="18" xfId="15" applyFont="1" applyFill="1" applyBorder="1"/>
    <xf numFmtId="1" fontId="52" fillId="9" borderId="3" xfId="10" applyNumberFormat="1" applyFont="1" applyFill="1" applyBorder="1" applyAlignment="1">
      <alignment horizontal="center"/>
    </xf>
    <xf numFmtId="0" fontId="25" fillId="9" borderId="14" xfId="15" applyFont="1" applyFill="1" applyBorder="1"/>
    <xf numFmtId="165" fontId="23" fillId="0" borderId="3" xfId="0" applyFont="1" applyBorder="1" applyAlignment="1">
      <alignment horizontal="center"/>
    </xf>
    <xf numFmtId="2" fontId="23" fillId="0" borderId="3" xfId="16" applyNumberFormat="1" applyFont="1" applyFill="1" applyBorder="1" applyAlignment="1" applyProtection="1">
      <alignment horizontal="center"/>
      <protection locked="0"/>
    </xf>
    <xf numFmtId="165" fontId="45" fillId="8" borderId="0" xfId="0" applyFont="1" applyFill="1" applyAlignment="1">
      <alignment vertical="center" wrapText="1"/>
    </xf>
    <xf numFmtId="0" fontId="23" fillId="0" borderId="3" xfId="12" applyFont="1" applyBorder="1" applyAlignment="1">
      <alignment horizontal="center" vertical="center"/>
    </xf>
    <xf numFmtId="3" fontId="23" fillId="0" borderId="3" xfId="12" applyNumberFormat="1" applyFont="1" applyBorder="1" applyAlignment="1">
      <alignment horizontal="center" vertical="center"/>
    </xf>
    <xf numFmtId="0" fontId="29" fillId="0" borderId="3" xfId="12" applyFont="1" applyBorder="1" applyAlignment="1">
      <alignment horizontal="center" vertical="center" wrapText="1"/>
    </xf>
    <xf numFmtId="3" fontId="29" fillId="0" borderId="3" xfId="12" applyNumberFormat="1" applyFont="1" applyBorder="1" applyAlignment="1">
      <alignment horizontal="center" vertical="center"/>
    </xf>
    <xf numFmtId="0" fontId="25" fillId="0" borderId="0" xfId="12" applyFont="1" applyAlignment="1">
      <alignment horizontal="left"/>
    </xf>
    <xf numFmtId="1" fontId="25" fillId="0" borderId="0" xfId="12" applyNumberFormat="1" applyFont="1"/>
    <xf numFmtId="1" fontId="25" fillId="2" borderId="0" xfId="12" applyNumberFormat="1" applyFont="1" applyFill="1"/>
    <xf numFmtId="165" fontId="25" fillId="0" borderId="0" xfId="0" applyFont="1"/>
    <xf numFmtId="0" fontId="23" fillId="2" borderId="0" xfId="12" applyFont="1" applyFill="1" applyAlignment="1">
      <alignment horizontal="left"/>
    </xf>
    <xf numFmtId="1" fontId="23" fillId="0" borderId="0" xfId="12" applyNumberFormat="1" applyFont="1"/>
    <xf numFmtId="3" fontId="23" fillId="7" borderId="0" xfId="12" applyNumberFormat="1" applyFont="1" applyFill="1" applyAlignment="1">
      <alignment horizontal="center" vertical="center"/>
    </xf>
    <xf numFmtId="0" fontId="24" fillId="0" borderId="0" xfId="11" applyFont="1" applyProtection="1">
      <protection locked="0"/>
    </xf>
    <xf numFmtId="3" fontId="60" fillId="7" borderId="5" xfId="11" applyNumberFormat="1" applyFont="1" applyFill="1" applyBorder="1" applyAlignment="1">
      <alignment vertical="center"/>
    </xf>
    <xf numFmtId="3" fontId="60" fillId="7" borderId="10" xfId="11" applyNumberFormat="1" applyFont="1" applyFill="1" applyBorder="1" applyAlignment="1">
      <alignment vertical="center"/>
    </xf>
    <xf numFmtId="49" fontId="61" fillId="7" borderId="0" xfId="0" applyNumberFormat="1" applyFont="1" applyFill="1"/>
    <xf numFmtId="165" fontId="61" fillId="7" borderId="0" xfId="0" applyFont="1" applyFill="1"/>
    <xf numFmtId="165" fontId="23" fillId="8" borderId="3" xfId="0" applyFont="1" applyFill="1" applyBorder="1" applyAlignment="1">
      <alignment horizontal="center"/>
    </xf>
    <xf numFmtId="165" fontId="23" fillId="0" borderId="0" xfId="0" applyFont="1" applyAlignment="1">
      <alignment horizontal="left" vertical="center" wrapText="1"/>
    </xf>
    <xf numFmtId="176" fontId="25" fillId="0" borderId="3" xfId="0" applyNumberFormat="1" applyFont="1" applyBorder="1" applyAlignment="1">
      <alignment horizontal="center" vertical="center"/>
    </xf>
    <xf numFmtId="3" fontId="25" fillId="0" borderId="3" xfId="0" applyNumberFormat="1" applyFont="1" applyBorder="1" applyAlignment="1">
      <alignment horizontal="center" vertical="center"/>
    </xf>
    <xf numFmtId="3" fontId="23" fillId="0" borderId="3" xfId="0" applyNumberFormat="1" applyFont="1" applyBorder="1" applyAlignment="1" applyProtection="1">
      <alignment horizontal="center" vertical="center"/>
      <protection locked="0"/>
    </xf>
    <xf numFmtId="3" fontId="25" fillId="2" borderId="0" xfId="12" applyNumberFormat="1" applyFont="1" applyFill="1"/>
    <xf numFmtId="165" fontId="0" fillId="7" borderId="0" xfId="0" applyFill="1" applyAlignment="1">
      <alignment wrapText="1" shrinkToFit="1"/>
    </xf>
    <xf numFmtId="165" fontId="23" fillId="7" borderId="4" xfId="11" applyNumberFormat="1" applyFont="1" applyFill="1" applyBorder="1" applyAlignment="1">
      <alignment horizontal="center" vertical="center"/>
    </xf>
    <xf numFmtId="10" fontId="27" fillId="0" borderId="7" xfId="13" applyNumberFormat="1" applyFont="1" applyBorder="1" applyAlignment="1">
      <alignment vertical="center"/>
    </xf>
    <xf numFmtId="10" fontId="27" fillId="0" borderId="20" xfId="13" applyNumberFormat="1" applyFont="1" applyBorder="1" applyAlignment="1">
      <alignment vertical="center"/>
    </xf>
    <xf numFmtId="165" fontId="23" fillId="0" borderId="5" xfId="11" applyNumberFormat="1" applyFont="1" applyBorder="1" applyAlignment="1">
      <alignment horizontal="center" vertical="center"/>
    </xf>
    <xf numFmtId="165" fontId="23" fillId="0" borderId="10" xfId="11" applyNumberFormat="1" applyFont="1" applyBorder="1" applyAlignment="1">
      <alignment horizontal="center" vertical="center"/>
    </xf>
    <xf numFmtId="3" fontId="23" fillId="0" borderId="5" xfId="11" applyNumberFormat="1" applyFont="1" applyBorder="1" applyAlignment="1">
      <alignment vertical="center"/>
    </xf>
    <xf numFmtId="2" fontId="23" fillId="7" borderId="3" xfId="14" applyNumberFormat="1" applyFont="1" applyFill="1" applyBorder="1" applyAlignment="1" applyProtection="1">
      <alignment horizontal="center"/>
    </xf>
    <xf numFmtId="2" fontId="23" fillId="7" borderId="3" xfId="14" applyNumberFormat="1" applyFont="1" applyFill="1" applyBorder="1" applyAlignment="1" applyProtection="1">
      <alignment horizontal="center"/>
      <protection locked="0"/>
    </xf>
    <xf numFmtId="165" fontId="25" fillId="0" borderId="0" xfId="0" applyFont="1" applyAlignment="1">
      <alignment vertical="center" wrapText="1"/>
    </xf>
    <xf numFmtId="9" fontId="23" fillId="7" borderId="3" xfId="13" applyFont="1" applyFill="1" applyBorder="1" applyAlignment="1">
      <alignment horizontal="center" vertical="center"/>
    </xf>
    <xf numFmtId="14" fontId="23" fillId="0" borderId="0" xfId="12" applyNumberFormat="1" applyFont="1" applyAlignment="1">
      <alignment horizontal="left"/>
    </xf>
    <xf numFmtId="14" fontId="25" fillId="0" borderId="0" xfId="12" applyNumberFormat="1" applyFont="1" applyAlignment="1">
      <alignment horizontal="left"/>
    </xf>
    <xf numFmtId="0" fontId="25" fillId="2" borderId="0" xfId="12" quotePrefix="1" applyFont="1" applyFill="1" applyAlignment="1">
      <alignment horizontal="left"/>
    </xf>
    <xf numFmtId="0" fontId="25" fillId="0" borderId="0" xfId="12" applyFont="1" applyAlignment="1">
      <alignment horizontal="right"/>
    </xf>
    <xf numFmtId="0" fontId="25" fillId="2" borderId="0" xfId="12" quotePrefix="1" applyFont="1" applyFill="1" applyAlignment="1">
      <alignment horizontal="right"/>
    </xf>
    <xf numFmtId="165" fontId="23" fillId="3" borderId="0" xfId="0" quotePrefix="1" applyFont="1" applyFill="1" applyAlignment="1">
      <alignment horizontal="left" vertical="center"/>
    </xf>
    <xf numFmtId="168" fontId="23" fillId="3" borderId="3" xfId="13" applyNumberFormat="1" applyFont="1" applyFill="1" applyBorder="1" applyAlignment="1">
      <alignment horizontal="center" vertical="center"/>
    </xf>
    <xf numFmtId="165" fontId="23" fillId="5" borderId="0" xfId="0" applyFont="1" applyFill="1" applyAlignment="1">
      <alignment horizontal="center"/>
    </xf>
    <xf numFmtId="165" fontId="23" fillId="2" borderId="3" xfId="0" applyFont="1" applyFill="1" applyBorder="1" applyAlignment="1">
      <alignment horizontal="center"/>
    </xf>
    <xf numFmtId="2" fontId="23" fillId="2" borderId="3" xfId="14" applyNumberFormat="1" applyFont="1" applyFill="1" applyBorder="1" applyAlignment="1" applyProtection="1">
      <alignment horizontal="center"/>
      <protection locked="0"/>
    </xf>
    <xf numFmtId="175" fontId="23" fillId="0" borderId="0" xfId="0" applyNumberFormat="1" applyFont="1" applyAlignment="1">
      <alignment horizontal="center"/>
    </xf>
    <xf numFmtId="175" fontId="31" fillId="0" borderId="0" xfId="0" applyNumberFormat="1" applyFont="1" applyAlignment="1">
      <alignment horizontal="center" vertical="center"/>
    </xf>
    <xf numFmtId="175" fontId="29" fillId="0" borderId="0" xfId="0" applyNumberFormat="1" applyFont="1" applyAlignment="1">
      <alignment horizontal="center"/>
    </xf>
    <xf numFmtId="165" fontId="31" fillId="0" borderId="0" xfId="0" quotePrefix="1" applyFont="1"/>
    <xf numFmtId="3" fontId="60" fillId="0" borderId="5" xfId="11" applyNumberFormat="1" applyFont="1" applyBorder="1" applyAlignment="1">
      <alignment vertical="center"/>
    </xf>
    <xf numFmtId="165" fontId="29" fillId="5" borderId="14" xfId="0" applyFont="1" applyFill="1" applyBorder="1" applyAlignment="1">
      <alignment horizontal="center" vertical="center" wrapText="1"/>
    </xf>
    <xf numFmtId="165" fontId="29" fillId="5" borderId="16" xfId="0" applyFont="1" applyFill="1" applyBorder="1" applyAlignment="1">
      <alignment horizontal="center" vertical="center" wrapText="1"/>
    </xf>
    <xf numFmtId="165" fontId="23" fillId="8" borderId="19" xfId="0" applyFont="1" applyFill="1" applyBorder="1" applyAlignment="1">
      <alignment horizontal="center" vertical="center" wrapText="1"/>
    </xf>
    <xf numFmtId="165" fontId="0" fillId="8" borderId="6" xfId="0" applyFill="1" applyBorder="1" applyAlignment="1">
      <alignment horizontal="center"/>
    </xf>
    <xf numFmtId="165" fontId="0" fillId="8" borderId="9" xfId="0" applyFill="1" applyBorder="1" applyAlignment="1">
      <alignment horizontal="center"/>
    </xf>
    <xf numFmtId="165" fontId="0" fillId="8" borderId="20" xfId="0" applyFill="1" applyBorder="1" applyAlignment="1">
      <alignment horizontal="center"/>
    </xf>
    <xf numFmtId="165" fontId="23" fillId="7" borderId="19" xfId="0" applyFont="1" applyFill="1" applyBorder="1" applyAlignment="1">
      <alignment horizontal="center" vertical="center" wrapText="1"/>
    </xf>
    <xf numFmtId="165" fontId="0" fillId="7" borderId="6" xfId="0" applyFill="1" applyBorder="1" applyAlignment="1">
      <alignment horizontal="center"/>
    </xf>
    <xf numFmtId="165" fontId="0" fillId="7" borderId="9" xfId="0" applyFill="1" applyBorder="1" applyAlignment="1">
      <alignment horizontal="center"/>
    </xf>
    <xf numFmtId="165" fontId="0" fillId="7" borderId="20" xfId="0" applyFill="1" applyBorder="1" applyAlignment="1">
      <alignment horizontal="center"/>
    </xf>
    <xf numFmtId="165" fontId="29" fillId="5" borderId="14" xfId="0" applyFont="1" applyFill="1" applyBorder="1" applyAlignment="1">
      <alignment horizontal="center" vertical="center" wrapText="1" shrinkToFit="1"/>
    </xf>
    <xf numFmtId="165" fontId="29" fillId="5" borderId="16" xfId="0" applyFont="1" applyFill="1" applyBorder="1" applyAlignment="1">
      <alignment horizontal="center" vertical="center" wrapText="1" shrinkToFit="1"/>
    </xf>
    <xf numFmtId="165" fontId="23" fillId="5" borderId="19" xfId="0" applyFont="1" applyFill="1" applyBorder="1" applyAlignment="1">
      <alignment horizontal="left" vertical="center"/>
    </xf>
    <xf numFmtId="165" fontId="23" fillId="5" borderId="6" xfId="0" applyFont="1" applyFill="1" applyBorder="1" applyAlignment="1">
      <alignment horizontal="left" vertical="center"/>
    </xf>
    <xf numFmtId="165" fontId="23" fillId="5" borderId="9" xfId="0" applyFont="1" applyFill="1" applyBorder="1" applyAlignment="1">
      <alignment horizontal="left" vertical="center"/>
    </xf>
    <xf numFmtId="165" fontId="23" fillId="5" borderId="20" xfId="0" applyFont="1" applyFill="1" applyBorder="1" applyAlignment="1">
      <alignment horizontal="left" vertical="center"/>
    </xf>
    <xf numFmtId="165" fontId="38" fillId="6" borderId="21" xfId="0" applyFont="1" applyFill="1" applyBorder="1" applyAlignment="1">
      <alignment horizontal="center" vertical="center"/>
    </xf>
    <xf numFmtId="165" fontId="38" fillId="6" borderId="22" xfId="0" applyFont="1" applyFill="1" applyBorder="1" applyAlignment="1">
      <alignment horizontal="center" vertical="center"/>
    </xf>
    <xf numFmtId="165" fontId="38" fillId="6" borderId="23" xfId="0" applyFont="1" applyFill="1" applyBorder="1" applyAlignment="1">
      <alignment horizontal="center" vertical="center"/>
    </xf>
    <xf numFmtId="165" fontId="29" fillId="7" borderId="14" xfId="0" applyFont="1" applyFill="1" applyBorder="1" applyAlignment="1">
      <alignment horizontal="center"/>
    </xf>
    <xf numFmtId="165" fontId="29" fillId="7" borderId="15" xfId="0" applyFont="1" applyFill="1" applyBorder="1" applyAlignment="1">
      <alignment horizontal="center"/>
    </xf>
    <xf numFmtId="165" fontId="29" fillId="7" borderId="16" xfId="0" applyFont="1" applyFill="1" applyBorder="1" applyAlignment="1">
      <alignment horizontal="center"/>
    </xf>
    <xf numFmtId="165" fontId="29" fillId="5" borderId="17" xfId="0" applyFont="1" applyFill="1" applyBorder="1" applyAlignment="1">
      <alignment horizontal="center" vertical="center"/>
    </xf>
    <xf numFmtId="165" fontId="29" fillId="5" borderId="10" xfId="0" applyFont="1" applyFill="1" applyBorder="1" applyAlignment="1">
      <alignment horizontal="center" vertical="center"/>
    </xf>
    <xf numFmtId="165" fontId="29" fillId="5" borderId="17" xfId="0" applyFont="1" applyFill="1" applyBorder="1" applyAlignment="1">
      <alignment horizontal="center" vertical="center" wrapText="1"/>
    </xf>
    <xf numFmtId="165" fontId="29" fillId="5" borderId="10" xfId="0" applyFont="1" applyFill="1" applyBorder="1" applyAlignment="1">
      <alignment horizontal="center" vertical="center" wrapText="1"/>
    </xf>
    <xf numFmtId="165" fontId="29" fillId="5" borderId="6" xfId="0" applyFont="1" applyFill="1" applyBorder="1" applyAlignment="1">
      <alignment horizontal="center" vertical="center" wrapText="1"/>
    </xf>
    <xf numFmtId="165" fontId="29" fillId="5" borderId="20" xfId="0" applyFont="1" applyFill="1" applyBorder="1" applyAlignment="1">
      <alignment horizontal="center" vertical="center" wrapText="1"/>
    </xf>
    <xf numFmtId="165" fontId="0" fillId="0" borderId="5" xfId="0" applyBorder="1" applyAlignment="1">
      <alignment horizontal="center" vertical="center" wrapText="1"/>
    </xf>
    <xf numFmtId="165" fontId="0" fillId="0" borderId="10" xfId="0" applyBorder="1" applyAlignment="1">
      <alignment horizontal="center" vertical="center" wrapText="1"/>
    </xf>
    <xf numFmtId="49" fontId="23" fillId="0" borderId="0" xfId="0" applyNumberFormat="1" applyFont="1" applyAlignment="1">
      <alignment horizontal="left" vertical="center" wrapText="1"/>
    </xf>
    <xf numFmtId="165" fontId="0" fillId="0" borderId="0" xfId="0" applyAlignment="1">
      <alignment horizontal="left" vertical="center" wrapText="1"/>
    </xf>
    <xf numFmtId="165" fontId="0" fillId="0" borderId="7" xfId="0" applyBorder="1" applyAlignment="1">
      <alignment horizontal="left" vertical="center" wrapText="1"/>
    </xf>
    <xf numFmtId="165" fontId="32" fillId="0" borderId="0" xfId="0" applyFont="1" applyAlignment="1">
      <alignment horizontal="center" vertical="center"/>
    </xf>
    <xf numFmtId="175" fontId="32" fillId="0" borderId="0" xfId="0" applyNumberFormat="1" applyFont="1" applyAlignment="1">
      <alignment horizontal="center" vertical="center"/>
    </xf>
    <xf numFmtId="165" fontId="23" fillId="0" borderId="0" xfId="0" applyFont="1" applyAlignment="1">
      <alignment horizontal="left" vertical="top" wrapText="1"/>
    </xf>
    <xf numFmtId="165" fontId="23" fillId="0" borderId="0" xfId="0" applyFont="1" applyAlignment="1">
      <alignment horizontal="left" vertical="center" wrapText="1"/>
    </xf>
    <xf numFmtId="165" fontId="23" fillId="0" borderId="0" xfId="0" applyFont="1" applyAlignment="1">
      <alignment horizontal="left" wrapText="1"/>
    </xf>
    <xf numFmtId="165" fontId="32" fillId="0" borderId="0" xfId="0" applyFont="1" applyAlignment="1">
      <alignment horizontal="center" vertical="center" wrapText="1"/>
    </xf>
    <xf numFmtId="175" fontId="31" fillId="0" borderId="0" xfId="0" applyNumberFormat="1" applyFont="1" applyAlignment="1">
      <alignment horizontal="center" vertical="center"/>
    </xf>
    <xf numFmtId="165" fontId="29" fillId="0" borderId="0" xfId="0" applyFont="1" applyAlignment="1">
      <alignment horizontal="center" vertical="center" wrapText="1"/>
    </xf>
    <xf numFmtId="165" fontId="38" fillId="6" borderId="3" xfId="0" applyFont="1" applyFill="1" applyBorder="1" applyAlignment="1">
      <alignment horizontal="center" vertical="center"/>
    </xf>
    <xf numFmtId="165" fontId="38" fillId="6" borderId="1" xfId="0" applyFont="1" applyFill="1" applyBorder="1" applyAlignment="1">
      <alignment horizontal="center" vertical="center"/>
    </xf>
    <xf numFmtId="165" fontId="38" fillId="6" borderId="0" xfId="0" applyFont="1" applyFill="1" applyAlignment="1">
      <alignment horizontal="center" vertical="center"/>
    </xf>
    <xf numFmtId="0" fontId="41" fillId="9" borderId="14" xfId="15" applyFont="1" applyFill="1" applyBorder="1" applyAlignment="1">
      <alignment horizontal="left"/>
    </xf>
    <xf numFmtId="0" fontId="41" fillId="9" borderId="15" xfId="15" applyFont="1" applyFill="1" applyBorder="1" applyAlignment="1">
      <alignment horizontal="left"/>
    </xf>
    <xf numFmtId="0" fontId="41" fillId="9" borderId="16" xfId="15" applyFont="1" applyFill="1" applyBorder="1" applyAlignment="1">
      <alignment horizontal="left"/>
    </xf>
    <xf numFmtId="1" fontId="57" fillId="13" borderId="18" xfId="15" applyNumberFormat="1" applyFont="1" applyFill="1" applyBorder="1" applyAlignment="1">
      <alignment horizontal="left" wrapText="1"/>
    </xf>
    <xf numFmtId="0" fontId="59" fillId="13" borderId="19" xfId="15" applyFont="1" applyFill="1" applyBorder="1" applyAlignment="1">
      <alignment horizontal="left" vertical="top" wrapText="1"/>
    </xf>
    <xf numFmtId="0" fontId="59" fillId="13" borderId="4" xfId="15" applyFont="1" applyFill="1" applyBorder="1" applyAlignment="1">
      <alignment horizontal="left" vertical="top" wrapText="1"/>
    </xf>
    <xf numFmtId="0" fontId="41" fillId="13" borderId="8" xfId="15" applyFont="1" applyFill="1" applyBorder="1" applyAlignment="1">
      <alignment wrapText="1"/>
    </xf>
    <xf numFmtId="0" fontId="2" fillId="8" borderId="8" xfId="15" applyFill="1" applyBorder="1" applyAlignment="1">
      <alignment wrapText="1"/>
    </xf>
    <xf numFmtId="0" fontId="2" fillId="8" borderId="0" xfId="15" applyFill="1" applyAlignment="1">
      <alignment wrapText="1"/>
    </xf>
    <xf numFmtId="165" fontId="38" fillId="6" borderId="4" xfId="0" applyFont="1" applyFill="1" applyBorder="1" applyAlignment="1">
      <alignment horizontal="center" vertical="center"/>
    </xf>
    <xf numFmtId="165" fontId="38" fillId="6" borderId="14" xfId="0" applyFont="1" applyFill="1" applyBorder="1" applyAlignment="1">
      <alignment horizontal="center" vertical="center"/>
    </xf>
    <xf numFmtId="165" fontId="38" fillId="6" borderId="15" xfId="0" applyFont="1" applyFill="1" applyBorder="1" applyAlignment="1">
      <alignment horizontal="center" vertical="center"/>
    </xf>
    <xf numFmtId="165" fontId="38" fillId="6" borderId="16" xfId="0" applyFont="1" applyFill="1" applyBorder="1" applyAlignment="1">
      <alignment horizontal="center" vertical="center"/>
    </xf>
    <xf numFmtId="165" fontId="23" fillId="3" borderId="14" xfId="0" applyFont="1" applyFill="1" applyBorder="1"/>
    <xf numFmtId="165" fontId="23" fillId="3" borderId="16" xfId="0" applyFont="1" applyFill="1" applyBorder="1"/>
    <xf numFmtId="165" fontId="27" fillId="3" borderId="14" xfId="0" applyFont="1" applyFill="1" applyBorder="1"/>
    <xf numFmtId="165" fontId="27" fillId="3" borderId="16" xfId="0" applyFont="1" applyFill="1" applyBorder="1"/>
  </cellXfs>
  <cellStyles count="24">
    <cellStyle name="Comma" xfId="14" builtinId="3"/>
    <cellStyle name="Hiperlink 2" xfId="17" xr:uid="{6086851D-4F68-4A98-8417-F57CAD5BC717}"/>
    <cellStyle name="Normal" xfId="0" builtinId="0"/>
    <cellStyle name="Normal - Style1" xfId="1" xr:uid="{00000000-0005-0000-0000-000001000000}"/>
    <cellStyle name="Normal - Style2" xfId="2" xr:uid="{00000000-0005-0000-0000-000002000000}"/>
    <cellStyle name="Normal - Style3" xfId="3" xr:uid="{00000000-0005-0000-0000-000003000000}"/>
    <cellStyle name="Normal - Style4" xfId="4" xr:uid="{00000000-0005-0000-0000-000004000000}"/>
    <cellStyle name="Normal - Style5" xfId="5" xr:uid="{00000000-0005-0000-0000-000005000000}"/>
    <cellStyle name="Normal - Style6" xfId="6" xr:uid="{00000000-0005-0000-0000-000006000000}"/>
    <cellStyle name="Normal - Style7" xfId="7" xr:uid="{00000000-0005-0000-0000-000007000000}"/>
    <cellStyle name="Normal - Style8" xfId="8" xr:uid="{00000000-0005-0000-0000-000008000000}"/>
    <cellStyle name="Normal 11" xfId="18" xr:uid="{8E987E59-2F93-4DDE-AF12-20CAB5E4A0A9}"/>
    <cellStyle name="Normal 2" xfId="9" xr:uid="{00000000-0005-0000-0000-000009000000}"/>
    <cellStyle name="Normal 2 2" xfId="15" xr:uid="{00000000-0005-0000-0000-00000A000000}"/>
    <cellStyle name="Normal 3" xfId="10" xr:uid="{00000000-0005-0000-0000-00000B000000}"/>
    <cellStyle name="Normal 4" xfId="19" xr:uid="{D81AED86-AA52-4EDB-A852-BFCEF4EB6115}"/>
    <cellStyle name="Normal 5" xfId="21" xr:uid="{AF0C9994-48A5-4584-BDBB-4FF3D07CB4B9}"/>
    <cellStyle name="Normal 6" xfId="22" xr:uid="{E547C461-CF17-4568-8FB8-0F01DC6AAC9E}"/>
    <cellStyle name="Normal_ACM'001 Kamphang Saeng Reference scenario" xfId="11" xr:uid="{00000000-0005-0000-0000-00000C000000}"/>
    <cellStyle name="Normal_Modelo global -- R ACM001 12 09 07 -- La Hormiga (2)" xfId="12" xr:uid="{00000000-0005-0000-0000-00000D000000}"/>
    <cellStyle name="Percent" xfId="13" builtinId="5"/>
    <cellStyle name="Vírgula 2" xfId="16" xr:uid="{219FD4A9-6226-4E44-A394-9E11FFD8A959}"/>
    <cellStyle name="Vírgula 3" xfId="20" xr:uid="{6607A428-A438-43D5-BCAE-AC3C82FDA067}"/>
    <cellStyle name="Vírgula 4" xfId="23" xr:uid="{5A1EA9D6-28D1-4636-9854-0AA2E6F10B8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DFDA00"/>
      <rgbColor rgb="0000FFFF"/>
      <rgbColor rgb="00800080"/>
      <rgbColor rgb="00E60000"/>
      <rgbColor rgb="00008080"/>
      <rgbColor rgb="000000FF"/>
      <rgbColor rgb="0000CFFF"/>
      <rgbColor rgb="0069FFFF"/>
      <rgbColor rgb="00E0FFE0"/>
      <rgbColor rgb="00FFFF80"/>
      <rgbColor rgb="00A6CAF0"/>
      <rgbColor rgb="00DD9CB3"/>
      <rgbColor rgb="00B38FEE"/>
      <rgbColor rgb="00E3E3E3"/>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mruColors>
      <color rgb="FFB7D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a:t>Average forecasts of LFG generation and LFG capture by project activity (in flow basis)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1"/>
          <c:order val="1"/>
          <c:tx>
            <c:strRef>
              <c:f>'LFG generation and capture'!$C$4:$C$5</c:f>
              <c:strCache>
                <c:ptCount val="2"/>
                <c:pt idx="0">
                  <c:v>Average forecasted quantity LFG generated</c:v>
                </c:pt>
                <c:pt idx="1">
                  <c:v>(m3/h)</c:v>
                </c:pt>
              </c:strCache>
            </c:strRef>
          </c:tx>
          <c:spPr>
            <a:ln w="28575" cap="rnd">
              <a:solidFill>
                <a:schemeClr val="accent2"/>
              </a:solidFill>
              <a:round/>
            </a:ln>
            <a:effectLst/>
          </c:spPr>
          <c:marker>
            <c:symbol val="none"/>
          </c:marker>
          <c:cat>
            <c:numRef>
              <c:f>'LFG generation and capture'!$B$6:$B$43</c:f>
              <c:numCache>
                <c:formatCode>General_)</c:formatCode>
                <c:ptCount val="38"/>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pt idx="21">
                  <c:v>2034</c:v>
                </c:pt>
                <c:pt idx="22">
                  <c:v>2035</c:v>
                </c:pt>
                <c:pt idx="23">
                  <c:v>2036</c:v>
                </c:pt>
                <c:pt idx="24">
                  <c:v>2037</c:v>
                </c:pt>
                <c:pt idx="25">
                  <c:v>2038</c:v>
                </c:pt>
                <c:pt idx="26">
                  <c:v>2039</c:v>
                </c:pt>
                <c:pt idx="27">
                  <c:v>2040</c:v>
                </c:pt>
                <c:pt idx="28">
                  <c:v>2041</c:v>
                </c:pt>
                <c:pt idx="29">
                  <c:v>2042</c:v>
                </c:pt>
                <c:pt idx="30">
                  <c:v>2043</c:v>
                </c:pt>
                <c:pt idx="31">
                  <c:v>2044</c:v>
                </c:pt>
                <c:pt idx="32">
                  <c:v>2045</c:v>
                </c:pt>
                <c:pt idx="33">
                  <c:v>2046</c:v>
                </c:pt>
                <c:pt idx="34">
                  <c:v>2047</c:v>
                </c:pt>
                <c:pt idx="35">
                  <c:v>2048</c:v>
                </c:pt>
                <c:pt idx="36">
                  <c:v>2049</c:v>
                </c:pt>
                <c:pt idx="37">
                  <c:v>2050</c:v>
                </c:pt>
              </c:numCache>
            </c:numRef>
          </c:cat>
          <c:val>
            <c:numRef>
              <c:f>'LFG generation and capture'!$C$6:$C$43</c:f>
              <c:numCache>
                <c:formatCode>#,##0</c:formatCode>
                <c:ptCount val="38"/>
                <c:pt idx="0">
                  <c:v>114.07661879302309</c:v>
                </c:pt>
                <c:pt idx="1">
                  <c:v>321.76038472158945</c:v>
                </c:pt>
                <c:pt idx="2">
                  <c:v>473.60716179217997</c:v>
                </c:pt>
                <c:pt idx="3">
                  <c:v>586.18265845794463</c:v>
                </c:pt>
                <c:pt idx="4">
                  <c:v>685.98452831583154</c:v>
                </c:pt>
                <c:pt idx="5">
                  <c:v>843.95900392153783</c:v>
                </c:pt>
                <c:pt idx="6">
                  <c:v>1097.7922876375667</c:v>
                </c:pt>
                <c:pt idx="7">
                  <c:v>1313.3306229875172</c:v>
                </c:pt>
                <c:pt idx="8">
                  <c:v>1522.4226005083228</c:v>
                </c:pt>
                <c:pt idx="9">
                  <c:v>1592.6639691004564</c:v>
                </c:pt>
                <c:pt idx="10">
                  <c:v>1720.5507595830738</c:v>
                </c:pt>
                <c:pt idx="11">
                  <c:v>1803.5531993382758</c:v>
                </c:pt>
                <c:pt idx="12">
                  <c:v>1875.3694444209575</c:v>
                </c:pt>
                <c:pt idx="13">
                  <c:v>1939.1225220273698</c:v>
                </c:pt>
                <c:pt idx="14">
                  <c:v>1996.9606664577823</c:v>
                </c:pt>
                <c:pt idx="15">
                  <c:v>2050.3733782810145</c:v>
                </c:pt>
                <c:pt idx="16">
                  <c:v>2100.4039050392239</c:v>
                </c:pt>
                <c:pt idx="17">
                  <c:v>2147.792208638371</c:v>
                </c:pt>
                <c:pt idx="18">
                  <c:v>2193.0712659199698</c:v>
                </c:pt>
                <c:pt idx="19">
                  <c:v>2236.6320270217216</c:v>
                </c:pt>
                <c:pt idx="20">
                  <c:v>2278.767312537464</c:v>
                </c:pt>
                <c:pt idx="21">
                  <c:v>2319.7015483720324</c:v>
                </c:pt>
                <c:pt idx="22">
                  <c:v>2359.6109689945501</c:v>
                </c:pt>
                <c:pt idx="23">
                  <c:v>2398.6373984536945</c:v>
                </c:pt>
                <c:pt idx="24">
                  <c:v>2436.8976979496633</c:v>
                </c:pt>
                <c:pt idx="25">
                  <c:v>2474.4902839852434</c:v>
                </c:pt>
                <c:pt idx="26">
                  <c:v>2511.4996615381324</c:v>
                </c:pt>
                <c:pt idx="27">
                  <c:v>2547.9996081526106</c:v>
                </c:pt>
                <c:pt idx="28">
                  <c:v>2584.0554376193932</c:v>
                </c:pt>
                <c:pt idx="29">
                  <c:v>2619.7256326577317</c:v>
                </c:pt>
                <c:pt idx="30">
                  <c:v>2655.0630423754064</c:v>
                </c:pt>
                <c:pt idx="31">
                  <c:v>2690.1157772651763</c:v>
                </c:pt>
                <c:pt idx="32">
                  <c:v>2724.9278920423858</c:v>
                </c:pt>
                <c:pt idx="33">
                  <c:v>2759.5399179898363</c:v>
                </c:pt>
                <c:pt idx="34">
                  <c:v>2793.9892871247685</c:v>
                </c:pt>
                <c:pt idx="35">
                  <c:v>2828.310677399581</c:v>
                </c:pt>
                <c:pt idx="36">
                  <c:v>2862.5362992519899</c:v>
                </c:pt>
                <c:pt idx="37">
                  <c:v>2896.6961377609632</c:v>
                </c:pt>
              </c:numCache>
            </c:numRef>
          </c:val>
          <c:smooth val="0"/>
          <c:extLst>
            <c:ext xmlns:c16="http://schemas.microsoft.com/office/drawing/2014/chart" uri="{C3380CC4-5D6E-409C-BE32-E72D297353CC}">
              <c16:uniqueId val="{00000000-642D-4275-AA2B-5D21A46072B2}"/>
            </c:ext>
          </c:extLst>
        </c:ser>
        <c:ser>
          <c:idx val="2"/>
          <c:order val="2"/>
          <c:tx>
            <c:strRef>
              <c:f>'LFG generation and capture'!$D$4:$D$5</c:f>
              <c:strCache>
                <c:ptCount val="2"/>
                <c:pt idx="0">
                  <c:v>Average forecasted quantity of LFG to be captured by the project activity</c:v>
                </c:pt>
                <c:pt idx="1">
                  <c:v>(m3/h)</c:v>
                </c:pt>
              </c:strCache>
            </c:strRef>
          </c:tx>
          <c:spPr>
            <a:ln w="28575" cap="rnd">
              <a:solidFill>
                <a:schemeClr val="accent1"/>
              </a:solidFill>
              <a:round/>
            </a:ln>
            <a:effectLst/>
          </c:spPr>
          <c:marker>
            <c:symbol val="none"/>
          </c:marker>
          <c:cat>
            <c:numRef>
              <c:f>'LFG generation and capture'!$B$6:$B$43</c:f>
              <c:numCache>
                <c:formatCode>General_)</c:formatCode>
                <c:ptCount val="38"/>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pt idx="21">
                  <c:v>2034</c:v>
                </c:pt>
                <c:pt idx="22">
                  <c:v>2035</c:v>
                </c:pt>
                <c:pt idx="23">
                  <c:v>2036</c:v>
                </c:pt>
                <c:pt idx="24">
                  <c:v>2037</c:v>
                </c:pt>
                <c:pt idx="25">
                  <c:v>2038</c:v>
                </c:pt>
                <c:pt idx="26">
                  <c:v>2039</c:v>
                </c:pt>
                <c:pt idx="27">
                  <c:v>2040</c:v>
                </c:pt>
                <c:pt idx="28">
                  <c:v>2041</c:v>
                </c:pt>
                <c:pt idx="29">
                  <c:v>2042</c:v>
                </c:pt>
                <c:pt idx="30">
                  <c:v>2043</c:v>
                </c:pt>
                <c:pt idx="31">
                  <c:v>2044</c:v>
                </c:pt>
                <c:pt idx="32">
                  <c:v>2045</c:v>
                </c:pt>
                <c:pt idx="33">
                  <c:v>2046</c:v>
                </c:pt>
                <c:pt idx="34">
                  <c:v>2047</c:v>
                </c:pt>
                <c:pt idx="35">
                  <c:v>2048</c:v>
                </c:pt>
                <c:pt idx="36">
                  <c:v>2049</c:v>
                </c:pt>
                <c:pt idx="37">
                  <c:v>2050</c:v>
                </c:pt>
              </c:numCache>
            </c:numRef>
          </c:cat>
          <c:val>
            <c:numRef>
              <c:f>'LFG generation and capture'!$D$6:$D$43</c:f>
              <c:numCache>
                <c:formatCode>#,##0</c:formatCode>
                <c:ptCount val="38"/>
                <c:pt idx="0">
                  <c:v>57.038309396511544</c:v>
                </c:pt>
                <c:pt idx="1">
                  <c:v>160.88019236079472</c:v>
                </c:pt>
                <c:pt idx="2">
                  <c:v>236.80358089608998</c:v>
                </c:pt>
                <c:pt idx="3">
                  <c:v>293.09132922897231</c:v>
                </c:pt>
                <c:pt idx="4">
                  <c:v>342.99226415791577</c:v>
                </c:pt>
                <c:pt idx="5">
                  <c:v>421.97950196076891</c:v>
                </c:pt>
                <c:pt idx="6">
                  <c:v>548.89614381878334</c:v>
                </c:pt>
                <c:pt idx="7">
                  <c:v>656.66531149375862</c:v>
                </c:pt>
                <c:pt idx="8">
                  <c:v>761.21130025416142</c:v>
                </c:pt>
                <c:pt idx="9">
                  <c:v>796.33198455022819</c:v>
                </c:pt>
                <c:pt idx="10">
                  <c:v>860.27537979153692</c:v>
                </c:pt>
                <c:pt idx="11">
                  <c:v>901.77659966913791</c:v>
                </c:pt>
                <c:pt idx="12">
                  <c:v>937.68472221047875</c:v>
                </c:pt>
                <c:pt idx="13">
                  <c:v>969.56126101368488</c:v>
                </c:pt>
                <c:pt idx="14">
                  <c:v>998.48033322889114</c:v>
                </c:pt>
                <c:pt idx="15">
                  <c:v>1025.1866891405073</c:v>
                </c:pt>
                <c:pt idx="16">
                  <c:v>1050.201952519612</c:v>
                </c:pt>
                <c:pt idx="17">
                  <c:v>1073.8961043191855</c:v>
                </c:pt>
                <c:pt idx="18">
                  <c:v>1096.5356329599849</c:v>
                </c:pt>
                <c:pt idx="19">
                  <c:v>1118.3160135108608</c:v>
                </c:pt>
                <c:pt idx="20">
                  <c:v>1139.383656268732</c:v>
                </c:pt>
                <c:pt idx="21">
                  <c:v>1159.8507741860162</c:v>
                </c:pt>
                <c:pt idx="22">
                  <c:v>1179.8054844972751</c:v>
                </c:pt>
                <c:pt idx="23">
                  <c:v>1199.3186992268472</c:v>
                </c:pt>
                <c:pt idx="24">
                  <c:v>1218.4488489748317</c:v>
                </c:pt>
                <c:pt idx="25">
                  <c:v>1237.2451419926217</c:v>
                </c:pt>
                <c:pt idx="26">
                  <c:v>1255.7498307690662</c:v>
                </c:pt>
                <c:pt idx="27">
                  <c:v>1273.9998040763053</c:v>
                </c:pt>
                <c:pt idx="28">
                  <c:v>1292.0277188096966</c:v>
                </c:pt>
                <c:pt idx="29">
                  <c:v>1309.8628163288658</c:v>
                </c:pt>
                <c:pt idx="30">
                  <c:v>1327.5315211877032</c:v>
                </c:pt>
                <c:pt idx="31">
                  <c:v>1345.0578886325882</c:v>
                </c:pt>
                <c:pt idx="32">
                  <c:v>1362.4639460211929</c:v>
                </c:pt>
                <c:pt idx="33">
                  <c:v>1379.7699589949182</c:v>
                </c:pt>
                <c:pt idx="34">
                  <c:v>1396.9946435623842</c:v>
                </c:pt>
                <c:pt idx="35">
                  <c:v>1414.1553386997905</c:v>
                </c:pt>
                <c:pt idx="36">
                  <c:v>1431.268149625995</c:v>
                </c:pt>
                <c:pt idx="37">
                  <c:v>1448.3480688804816</c:v>
                </c:pt>
              </c:numCache>
            </c:numRef>
          </c:val>
          <c:smooth val="0"/>
          <c:extLst>
            <c:ext xmlns:c16="http://schemas.microsoft.com/office/drawing/2014/chart" uri="{C3380CC4-5D6E-409C-BE32-E72D297353CC}">
              <c16:uniqueId val="{00000001-642D-4275-AA2B-5D21A46072B2}"/>
            </c:ext>
          </c:extLst>
        </c:ser>
        <c:dLbls>
          <c:showLegendKey val="0"/>
          <c:showVal val="0"/>
          <c:showCatName val="0"/>
          <c:showSerName val="0"/>
          <c:showPercent val="0"/>
          <c:showBubbleSize val="0"/>
        </c:dLbls>
        <c:smooth val="0"/>
        <c:axId val="4341904"/>
        <c:axId val="4345232"/>
        <c:extLst>
          <c:ext xmlns:c15="http://schemas.microsoft.com/office/drawing/2012/chart" uri="{02D57815-91ED-43cb-92C2-25804820EDAC}">
            <c15:filteredLineSeries>
              <c15:ser>
                <c:idx val="0"/>
                <c:order val="0"/>
                <c:tx>
                  <c:v>Year</c:v>
                </c:tx>
                <c:spPr>
                  <a:ln w="28575" cap="rnd">
                    <a:solidFill>
                      <a:schemeClr val="accent1"/>
                    </a:solidFill>
                    <a:round/>
                  </a:ln>
                  <a:effectLst/>
                </c:spPr>
                <c:marker>
                  <c:symbol val="none"/>
                </c:marker>
                <c:cat>
                  <c:numRef>
                    <c:extLst>
                      <c:ext uri="{02D57815-91ED-43cb-92C2-25804820EDAC}">
                        <c15:formulaRef>
                          <c15:sqref>'LFG generation and capture'!$B$6:$B$43</c15:sqref>
                        </c15:formulaRef>
                      </c:ext>
                    </c:extLst>
                    <c:numCache>
                      <c:formatCode>General_)</c:formatCode>
                      <c:ptCount val="38"/>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pt idx="21">
                        <c:v>2034</c:v>
                      </c:pt>
                      <c:pt idx="22">
                        <c:v>2035</c:v>
                      </c:pt>
                      <c:pt idx="23">
                        <c:v>2036</c:v>
                      </c:pt>
                      <c:pt idx="24">
                        <c:v>2037</c:v>
                      </c:pt>
                      <c:pt idx="25">
                        <c:v>2038</c:v>
                      </c:pt>
                      <c:pt idx="26">
                        <c:v>2039</c:v>
                      </c:pt>
                      <c:pt idx="27">
                        <c:v>2040</c:v>
                      </c:pt>
                      <c:pt idx="28">
                        <c:v>2041</c:v>
                      </c:pt>
                      <c:pt idx="29">
                        <c:v>2042</c:v>
                      </c:pt>
                      <c:pt idx="30">
                        <c:v>2043</c:v>
                      </c:pt>
                      <c:pt idx="31">
                        <c:v>2044</c:v>
                      </c:pt>
                      <c:pt idx="32">
                        <c:v>2045</c:v>
                      </c:pt>
                      <c:pt idx="33">
                        <c:v>2046</c:v>
                      </c:pt>
                      <c:pt idx="34">
                        <c:v>2047</c:v>
                      </c:pt>
                      <c:pt idx="35">
                        <c:v>2048</c:v>
                      </c:pt>
                      <c:pt idx="36">
                        <c:v>2049</c:v>
                      </c:pt>
                      <c:pt idx="37">
                        <c:v>2050</c:v>
                      </c:pt>
                    </c:numCache>
                  </c:numRef>
                </c:cat>
                <c:val>
                  <c:numLit>
                    <c:formatCode>General</c:formatCode>
                    <c:ptCount val="3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pt idx="21">
                      <c:v>2033</c:v>
                    </c:pt>
                    <c:pt idx="22">
                      <c:v>2034</c:v>
                    </c:pt>
                    <c:pt idx="23">
                      <c:v>2035</c:v>
                    </c:pt>
                    <c:pt idx="24">
                      <c:v>2036</c:v>
                    </c:pt>
                    <c:pt idx="25">
                      <c:v>2037</c:v>
                    </c:pt>
                    <c:pt idx="26">
                      <c:v>2038</c:v>
                    </c:pt>
                    <c:pt idx="27">
                      <c:v>2039</c:v>
                    </c:pt>
                    <c:pt idx="28">
                      <c:v>2040</c:v>
                    </c:pt>
                    <c:pt idx="29">
                      <c:v>2041</c:v>
                    </c:pt>
                    <c:pt idx="30">
                      <c:v>2042</c:v>
                    </c:pt>
                  </c:numLit>
                </c:val>
                <c:smooth val="0"/>
                <c:extLst>
                  <c:ext xmlns:c16="http://schemas.microsoft.com/office/drawing/2014/chart" uri="{C3380CC4-5D6E-409C-BE32-E72D297353CC}">
                    <c16:uniqueId val="{00000002-642D-4275-AA2B-5D21A46072B2}"/>
                  </c:ext>
                </c:extLst>
              </c15:ser>
            </c15:filteredLineSeries>
          </c:ext>
        </c:extLst>
      </c:lineChart>
      <c:catAx>
        <c:axId val="4341904"/>
        <c:scaling>
          <c:orientation val="minMax"/>
        </c:scaling>
        <c:delete val="0"/>
        <c:axPos val="b"/>
        <c:numFmt formatCode="General_)"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345232"/>
        <c:crosses val="autoZero"/>
        <c:auto val="1"/>
        <c:lblAlgn val="ctr"/>
        <c:lblOffset val="100"/>
        <c:noMultiLvlLbl val="0"/>
      </c:catAx>
      <c:valAx>
        <c:axId val="43452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341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73819</xdr:colOff>
      <xdr:row>0</xdr:row>
      <xdr:rowOff>78582</xdr:rowOff>
    </xdr:from>
    <xdr:to>
      <xdr:col>2</xdr:col>
      <xdr:colOff>934826</xdr:colOff>
      <xdr:row>2</xdr:row>
      <xdr:rowOff>94536</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4350" y="78582"/>
          <a:ext cx="864393" cy="383091"/>
        </a:xfrm>
        <a:prstGeom prst="rect">
          <a:avLst/>
        </a:prstGeom>
      </xdr:spPr>
    </xdr:pic>
    <xdr:clientData/>
  </xdr:twoCellAnchor>
  <xdr:twoCellAnchor editAs="oneCell">
    <xdr:from>
      <xdr:col>9</xdr:col>
      <xdr:colOff>0</xdr:colOff>
      <xdr:row>11</xdr:row>
      <xdr:rowOff>0</xdr:rowOff>
    </xdr:from>
    <xdr:to>
      <xdr:col>10</xdr:col>
      <xdr:colOff>133774</xdr:colOff>
      <xdr:row>12</xdr:row>
      <xdr:rowOff>97155</xdr:rowOff>
    </xdr:to>
    <xdr:sp macro="" textlink="">
      <xdr:nvSpPr>
        <xdr:cNvPr id="1025" name="AutoShape 1">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13495020" y="1935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xdr:row>
      <xdr:rowOff>0</xdr:rowOff>
    </xdr:from>
    <xdr:to>
      <xdr:col>10</xdr:col>
      <xdr:colOff>304800</xdr:colOff>
      <xdr:row>12</xdr:row>
      <xdr:rowOff>97155</xdr:rowOff>
    </xdr:to>
    <xdr:sp macro="" textlink="">
      <xdr:nvSpPr>
        <xdr:cNvPr id="1026" name="AutoShape 2">
          <a:extLst>
            <a:ext uri="{FF2B5EF4-FFF2-40B4-BE49-F238E27FC236}">
              <a16:creationId xmlns:a16="http://schemas.microsoft.com/office/drawing/2014/main" id="{00000000-0008-0000-0000-000002040000}"/>
            </a:ext>
          </a:extLst>
        </xdr:cNvPr>
        <xdr:cNvSpPr>
          <a:spLocks noChangeAspect="1" noChangeArrowheads="1"/>
        </xdr:cNvSpPr>
      </xdr:nvSpPr>
      <xdr:spPr bwMode="auto">
        <a:xfrm>
          <a:off x="13662660" y="1935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3</xdr:row>
      <xdr:rowOff>0</xdr:rowOff>
    </xdr:from>
    <xdr:to>
      <xdr:col>12</xdr:col>
      <xdr:colOff>729592</xdr:colOff>
      <xdr:row>33</xdr:row>
      <xdr:rowOff>117563</xdr:rowOff>
    </xdr:to>
    <xdr:graphicFrame macro="">
      <xdr:nvGraphicFramePr>
        <xdr:cNvPr id="4" name="Gráfico 3">
          <a:extLst>
            <a:ext uri="{FF2B5EF4-FFF2-40B4-BE49-F238E27FC236}">
              <a16:creationId xmlns:a16="http://schemas.microsoft.com/office/drawing/2014/main" id="{EF2F44C3-A0F3-4DC5-B83D-7D11039888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fao.org/geonetwork/srv/fr/graphover.show?id=12739&amp;fname=aridity_index.gif&amp;access=public"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B1:P71"/>
  <sheetViews>
    <sheetView showGridLines="0" topLeftCell="A13" zoomScaleNormal="100" workbookViewId="0">
      <selection activeCell="C30" sqref="C30"/>
    </sheetView>
  </sheetViews>
  <sheetFormatPr defaultColWidth="11" defaultRowHeight="12" x14ac:dyDescent="0.2"/>
  <cols>
    <col min="1" max="1" width="2.25" style="1" customWidth="1"/>
    <col min="2" max="2" width="3.625" style="1" customWidth="1"/>
    <col min="3" max="3" width="23.125" style="1" customWidth="1"/>
    <col min="4" max="4" width="95.75" style="1" customWidth="1"/>
    <col min="5" max="5" width="22.125" style="1" customWidth="1"/>
    <col min="6" max="6" width="22.25" style="1" customWidth="1"/>
    <col min="7" max="8" width="10.75" style="1" customWidth="1"/>
    <col min="9" max="9" width="2.375" style="1" customWidth="1"/>
    <col min="10" max="10" width="2.25" style="1" customWidth="1"/>
    <col min="11" max="11" width="22.625" style="1" customWidth="1"/>
    <col min="12" max="14" width="10.75" style="1" customWidth="1"/>
    <col min="15" max="15" width="21.875" style="1" customWidth="1"/>
    <col min="16" max="16" width="5" style="1" customWidth="1"/>
    <col min="17" max="17" width="6.375" style="1" customWidth="1"/>
    <col min="18" max="16384" width="11" style="1"/>
  </cols>
  <sheetData>
    <row r="1" spans="2:16" ht="15" x14ac:dyDescent="0.25">
      <c r="D1" s="251" t="s">
        <v>178</v>
      </c>
      <c r="G1" s="2"/>
      <c r="H1" s="2"/>
      <c r="I1" s="2"/>
      <c r="J1" s="2"/>
      <c r="K1" s="3"/>
      <c r="L1" s="4"/>
    </row>
    <row r="2" spans="2:16" ht="15" x14ac:dyDescent="0.25">
      <c r="D2" s="254" t="s">
        <v>195</v>
      </c>
    </row>
    <row r="3" spans="2:16" ht="15.75" thickBot="1" x14ac:dyDescent="0.3">
      <c r="D3" s="255" t="s">
        <v>194</v>
      </c>
    </row>
    <row r="4" spans="2:16" ht="15.75" thickTop="1" x14ac:dyDescent="0.2">
      <c r="B4" s="304" t="s">
        <v>118</v>
      </c>
      <c r="C4" s="305"/>
      <c r="D4" s="305"/>
      <c r="E4" s="305"/>
      <c r="F4" s="305"/>
      <c r="G4" s="305"/>
      <c r="H4" s="305"/>
      <c r="I4" s="305"/>
      <c r="J4" s="305"/>
      <c r="K4" s="305"/>
      <c r="L4" s="305"/>
      <c r="M4" s="305"/>
      <c r="N4" s="305"/>
      <c r="O4" s="305"/>
      <c r="P4" s="306"/>
    </row>
    <row r="5" spans="2:16" ht="14.25" customHeight="1" x14ac:dyDescent="0.2">
      <c r="B5" s="5"/>
      <c r="F5" s="6"/>
      <c r="P5" s="7"/>
    </row>
    <row r="6" spans="2:16" x14ac:dyDescent="0.2">
      <c r="B6" s="5"/>
      <c r="C6" s="95" t="s">
        <v>122</v>
      </c>
      <c r="D6" s="96"/>
      <c r="E6" s="97"/>
      <c r="F6" s="169">
        <v>2013</v>
      </c>
      <c r="G6" s="9" t="s">
        <v>72</v>
      </c>
      <c r="H6" s="9"/>
      <c r="I6" s="9"/>
      <c r="J6" s="9"/>
      <c r="L6" s="307" t="s">
        <v>120</v>
      </c>
      <c r="M6" s="308"/>
      <c r="N6" s="309"/>
      <c r="O6" s="312" t="s">
        <v>172</v>
      </c>
      <c r="P6" s="7"/>
    </row>
    <row r="7" spans="2:16" ht="14.25" customHeight="1" x14ac:dyDescent="0.2">
      <c r="B7" s="5"/>
      <c r="F7" s="168"/>
      <c r="L7" s="310" t="s">
        <v>0</v>
      </c>
      <c r="M7" s="312" t="s">
        <v>66</v>
      </c>
      <c r="N7" s="314" t="s">
        <v>67</v>
      </c>
      <c r="O7" s="316"/>
      <c r="P7" s="7"/>
    </row>
    <row r="8" spans="2:16" ht="13.5" x14ac:dyDescent="0.25">
      <c r="B8" s="5"/>
      <c r="C8" s="95" t="s">
        <v>114</v>
      </c>
      <c r="D8" s="96"/>
      <c r="E8" s="98"/>
      <c r="F8" s="167">
        <v>0.5</v>
      </c>
      <c r="G8" s="9" t="s">
        <v>37</v>
      </c>
      <c r="H8" s="9"/>
      <c r="I8" s="9"/>
      <c r="J8" s="9"/>
      <c r="L8" s="311"/>
      <c r="M8" s="313"/>
      <c r="N8" s="315"/>
      <c r="O8" s="317"/>
      <c r="P8" s="7"/>
    </row>
    <row r="9" spans="2:16" ht="14.25" customHeight="1" x14ac:dyDescent="0.2">
      <c r="B9" s="5"/>
      <c r="L9" s="117">
        <f>+F6</f>
        <v>2013</v>
      </c>
      <c r="M9" s="252">
        <v>50670.7</v>
      </c>
      <c r="N9" s="118">
        <f>M9</f>
        <v>50670.7</v>
      </c>
      <c r="O9" s="165" t="s">
        <v>44</v>
      </c>
      <c r="P9" s="7"/>
    </row>
    <row r="10" spans="2:16" x14ac:dyDescent="0.2">
      <c r="B10" s="5"/>
      <c r="C10" s="99" t="s">
        <v>115</v>
      </c>
      <c r="D10" s="96"/>
      <c r="E10" s="100"/>
      <c r="F10" s="8">
        <v>8760</v>
      </c>
      <c r="G10" s="9" t="s">
        <v>38</v>
      </c>
      <c r="H10" s="9"/>
      <c r="I10" s="9"/>
      <c r="J10" s="9"/>
      <c r="L10" s="117">
        <f>L9+1</f>
        <v>2014</v>
      </c>
      <c r="M10" s="252">
        <v>107131.77499999999</v>
      </c>
      <c r="N10" s="119">
        <f t="shared" ref="N10:N23" si="0">M10+N9</f>
        <v>157802.47499999998</v>
      </c>
      <c r="O10" s="120">
        <f>(M10-M9)/M9</f>
        <v>1.1142746202440463</v>
      </c>
      <c r="P10" s="7"/>
    </row>
    <row r="11" spans="2:16" ht="14.25" customHeight="1" x14ac:dyDescent="0.2">
      <c r="B11" s="5"/>
      <c r="C11" s="10"/>
      <c r="D11" s="112"/>
      <c r="E11" s="10"/>
      <c r="F11" s="11"/>
      <c r="H11" s="11"/>
      <c r="I11" s="11"/>
      <c r="J11" s="11"/>
      <c r="L11" s="117">
        <f t="shared" ref="L11:L20" si="1">L10+1</f>
        <v>2015</v>
      </c>
      <c r="M11" s="252">
        <v>109038.13100000002</v>
      </c>
      <c r="N11" s="119">
        <f t="shared" si="0"/>
        <v>266840.60600000003</v>
      </c>
      <c r="O11" s="120">
        <f>(M11-M10)/M10</f>
        <v>1.7794496544092816E-2</v>
      </c>
      <c r="P11" s="7"/>
    </row>
    <row r="12" spans="2:16" ht="15.75" x14ac:dyDescent="0.25">
      <c r="B12" s="5"/>
      <c r="C12" s="95" t="s">
        <v>129</v>
      </c>
      <c r="D12" s="96"/>
      <c r="E12" s="96"/>
      <c r="F12" s="129">
        <v>45078</v>
      </c>
      <c r="G12" s="130"/>
      <c r="H12" s="12"/>
      <c r="I12" s="13"/>
      <c r="J12"/>
      <c r="L12" s="117">
        <f t="shared" si="1"/>
        <v>2016</v>
      </c>
      <c r="M12" s="252">
        <v>110358.031</v>
      </c>
      <c r="N12" s="119">
        <f t="shared" si="0"/>
        <v>377198.63700000005</v>
      </c>
      <c r="O12" s="120">
        <f t="shared" ref="O12:O14" si="2">(M12-M11)/M11</f>
        <v>1.2104939693069201E-2</v>
      </c>
      <c r="P12" s="7"/>
    </row>
    <row r="13" spans="2:16" ht="15.75" x14ac:dyDescent="0.25">
      <c r="B13" s="5"/>
      <c r="C13" s="95" t="s">
        <v>170</v>
      </c>
      <c r="D13" s="96"/>
      <c r="E13" s="96"/>
      <c r="F13" s="129">
        <v>45078</v>
      </c>
      <c r="G13" s="9" t="s">
        <v>39</v>
      </c>
      <c r="H13" s="116"/>
      <c r="I13" s="116"/>
      <c r="J13" s="116"/>
      <c r="L13" s="117">
        <f>L12+1</f>
        <v>2017</v>
      </c>
      <c r="M13" s="252">
        <v>117927.44</v>
      </c>
      <c r="N13" s="119">
        <f t="shared" si="0"/>
        <v>495126.07700000005</v>
      </c>
      <c r="O13" s="120">
        <f t="shared" si="2"/>
        <v>6.8589561914166444E-2</v>
      </c>
      <c r="P13" s="7"/>
    </row>
    <row r="14" spans="2:16" ht="14.25" customHeight="1" x14ac:dyDescent="0.25">
      <c r="B14" s="5"/>
      <c r="G14" s="116"/>
      <c r="H14" s="116"/>
      <c r="I14" s="116"/>
      <c r="J14" s="116"/>
      <c r="L14" s="117">
        <f t="shared" si="1"/>
        <v>2018</v>
      </c>
      <c r="M14" s="252">
        <v>155123.37000000002</v>
      </c>
      <c r="N14" s="119">
        <f t="shared" si="0"/>
        <v>650249.44700000004</v>
      </c>
      <c r="O14" s="120">
        <f t="shared" si="2"/>
        <v>0.31541369845728884</v>
      </c>
      <c r="P14" s="7"/>
    </row>
    <row r="15" spans="2:16" ht="40.5" customHeight="1" x14ac:dyDescent="0.2">
      <c r="B15" s="5"/>
      <c r="C15" s="298" t="s">
        <v>177</v>
      </c>
      <c r="D15" s="299"/>
      <c r="E15" s="288" t="s">
        <v>128</v>
      </c>
      <c r="F15" s="289"/>
      <c r="G15" s="14"/>
      <c r="H15" s="14"/>
      <c r="I15" s="15"/>
      <c r="J15" s="15"/>
      <c r="L15" s="117">
        <f t="shared" si="1"/>
        <v>2019</v>
      </c>
      <c r="M15" s="252">
        <v>216494.99000000002</v>
      </c>
      <c r="N15" s="119">
        <f>M15+N14</f>
        <v>866744.43700000003</v>
      </c>
      <c r="O15" s="120">
        <f>(M15-M14)/M14</f>
        <v>0.39563103870164751</v>
      </c>
      <c r="P15" s="7"/>
    </row>
    <row r="16" spans="2:16" ht="12" customHeight="1" x14ac:dyDescent="0.2">
      <c r="B16" s="5"/>
      <c r="C16" s="290" t="s">
        <v>171</v>
      </c>
      <c r="D16" s="291"/>
      <c r="E16" s="294" t="s">
        <v>183</v>
      </c>
      <c r="F16" s="295"/>
      <c r="G16" s="14"/>
      <c r="L16" s="117">
        <f t="shared" si="1"/>
        <v>2020</v>
      </c>
      <c r="M16" s="252">
        <v>230449.78000000003</v>
      </c>
      <c r="N16" s="119">
        <f t="shared" si="0"/>
        <v>1097194.2170000002</v>
      </c>
      <c r="O16" s="120">
        <f>(M16-M15)/M15</f>
        <v>6.4457796459862687E-2</v>
      </c>
      <c r="P16" s="7"/>
    </row>
    <row r="17" spans="2:16" ht="15" customHeight="1" x14ac:dyDescent="0.2">
      <c r="B17" s="5"/>
      <c r="C17" s="292"/>
      <c r="D17" s="293"/>
      <c r="E17" s="296"/>
      <c r="F17" s="297"/>
      <c r="G17" s="14"/>
      <c r="H17" s="9"/>
      <c r="I17" s="14"/>
      <c r="J17" s="14"/>
      <c r="L17" s="117">
        <f t="shared" si="1"/>
        <v>2021</v>
      </c>
      <c r="M17" s="252">
        <v>252932.81</v>
      </c>
      <c r="N17" s="119">
        <f t="shared" si="0"/>
        <v>1350127.0270000002</v>
      </c>
      <c r="O17" s="120">
        <f t="shared" ref="O17:O23" si="3">(M17-M16)/M16</f>
        <v>9.7561516439720483E-2</v>
      </c>
      <c r="P17" s="7"/>
    </row>
    <row r="18" spans="2:16" ht="14.25" customHeight="1" x14ac:dyDescent="0.2">
      <c r="B18" s="5"/>
      <c r="C18" s="113"/>
      <c r="D18" s="131"/>
      <c r="E18" s="16"/>
      <c r="F18" s="17"/>
      <c r="L18" s="117">
        <f t="shared" si="1"/>
        <v>2022</v>
      </c>
      <c r="M18" s="252">
        <v>215339.63999999996</v>
      </c>
      <c r="N18" s="119">
        <f t="shared" si="0"/>
        <v>1565466.6670000001</v>
      </c>
      <c r="O18" s="120">
        <f t="shared" si="3"/>
        <v>-0.14862907663106278</v>
      </c>
      <c r="P18" s="7"/>
    </row>
    <row r="19" spans="2:16" x14ac:dyDescent="0.2">
      <c r="B19" s="5"/>
      <c r="C19" s="101" t="s">
        <v>117</v>
      </c>
      <c r="D19" s="97"/>
      <c r="E19" s="147" t="s">
        <v>73</v>
      </c>
      <c r="F19" s="19" t="s">
        <v>1</v>
      </c>
      <c r="G19" s="18" t="s">
        <v>2</v>
      </c>
      <c r="H19" s="20"/>
      <c r="I19" s="9"/>
      <c r="J19" s="9"/>
      <c r="L19" s="117">
        <f>L18+1</f>
        <v>2023</v>
      </c>
      <c r="M19" s="287">
        <v>246556</v>
      </c>
      <c r="N19" s="119">
        <f t="shared" si="0"/>
        <v>1812022.6670000001</v>
      </c>
      <c r="O19" s="120">
        <f t="shared" si="3"/>
        <v>0.14496337042264978</v>
      </c>
      <c r="P19" s="7"/>
    </row>
    <row r="20" spans="2:16" x14ac:dyDescent="0.2">
      <c r="B20" s="5"/>
      <c r="C20" s="95" t="s">
        <v>116</v>
      </c>
      <c r="D20" s="102"/>
      <c r="E20" s="256" t="s">
        <v>44</v>
      </c>
      <c r="F20" s="269">
        <v>25</v>
      </c>
      <c r="G20" s="237" t="s">
        <v>23</v>
      </c>
      <c r="H20" s="9" t="s">
        <v>40</v>
      </c>
      <c r="K20" s="1">
        <f>M20/365</f>
        <v>657.27123287671236</v>
      </c>
      <c r="L20" s="117">
        <f t="shared" si="1"/>
        <v>2024</v>
      </c>
      <c r="M20" s="252">
        <v>239904</v>
      </c>
      <c r="N20" s="119">
        <f t="shared" si="0"/>
        <v>2051926.6670000001</v>
      </c>
      <c r="O20" s="120">
        <f t="shared" si="3"/>
        <v>-2.6979671960933826E-2</v>
      </c>
      <c r="P20" s="7"/>
    </row>
    <row r="21" spans="2:16" ht="14.25" x14ac:dyDescent="0.25">
      <c r="B21" s="5"/>
      <c r="C21" s="95" t="s">
        <v>127</v>
      </c>
      <c r="D21" s="97"/>
      <c r="E21" s="148" t="s">
        <v>80</v>
      </c>
      <c r="F21" s="270">
        <f>ROUNDUP($F$20*8760/1000,0)</f>
        <v>219</v>
      </c>
      <c r="G21" s="237" t="s">
        <v>3</v>
      </c>
      <c r="H21" s="9" t="s">
        <v>167</v>
      </c>
      <c r="I21" s="20"/>
      <c r="J21" s="20"/>
      <c r="L21" s="117">
        <f t="shared" ref="L21:L46" si="4">L20+1</f>
        <v>2025</v>
      </c>
      <c r="M21" s="252">
        <f t="shared" ref="M21:M26" si="5">+M20*1.01</f>
        <v>242303.04</v>
      </c>
      <c r="N21" s="119">
        <f t="shared" si="0"/>
        <v>2294229.7069999999</v>
      </c>
      <c r="O21" s="120">
        <f t="shared" si="3"/>
        <v>1.0000000000000033E-2</v>
      </c>
      <c r="P21" s="7"/>
    </row>
    <row r="22" spans="2:16" ht="14.25" x14ac:dyDescent="0.25">
      <c r="B22" s="5"/>
      <c r="C22" s="95" t="s">
        <v>188</v>
      </c>
      <c r="D22" s="280"/>
      <c r="E22" s="148" t="s">
        <v>189</v>
      </c>
      <c r="F22" s="281">
        <v>0.25</v>
      </c>
      <c r="G22" s="237" t="s">
        <v>45</v>
      </c>
      <c r="H22" s="9" t="s">
        <v>173</v>
      </c>
      <c r="I22" s="21"/>
      <c r="J22" s="21"/>
      <c r="L22" s="117">
        <f t="shared" si="4"/>
        <v>2026</v>
      </c>
      <c r="M22" s="252">
        <f t="shared" si="5"/>
        <v>244726.0704</v>
      </c>
      <c r="N22" s="119">
        <f t="shared" si="0"/>
        <v>2538955.7774</v>
      </c>
      <c r="O22" s="120">
        <f t="shared" si="3"/>
        <v>9.9999999999999534E-3</v>
      </c>
      <c r="P22" s="7"/>
    </row>
    <row r="23" spans="2:16" ht="14.25" x14ac:dyDescent="0.25">
      <c r="B23" s="5"/>
      <c r="C23" s="95" t="s">
        <v>190</v>
      </c>
      <c r="D23" s="97"/>
      <c r="E23" s="148" t="s">
        <v>191</v>
      </c>
      <c r="F23" s="282">
        <v>1.3</v>
      </c>
      <c r="G23" s="237" t="s">
        <v>45</v>
      </c>
      <c r="H23" s="9" t="s">
        <v>173</v>
      </c>
      <c r="I23" s="21"/>
      <c r="J23" s="21"/>
      <c r="L23" s="263">
        <f>L22+1</f>
        <v>2027</v>
      </c>
      <c r="M23" s="252">
        <f t="shared" si="5"/>
        <v>247173.33110400001</v>
      </c>
      <c r="N23" s="119">
        <f t="shared" si="0"/>
        <v>2786129.1085040001</v>
      </c>
      <c r="O23" s="120">
        <f t="shared" si="3"/>
        <v>1.0000000000000061E-2</v>
      </c>
      <c r="P23" s="7"/>
    </row>
    <row r="24" spans="2:16" ht="14.25" x14ac:dyDescent="0.25">
      <c r="B24" s="5"/>
      <c r="C24" s="300" t="s">
        <v>154</v>
      </c>
      <c r="D24" s="301"/>
      <c r="E24" s="148" t="s">
        <v>155</v>
      </c>
      <c r="F24" s="238">
        <v>0.2</v>
      </c>
      <c r="G24" s="237" t="s">
        <v>153</v>
      </c>
      <c r="H24" s="9" t="s">
        <v>175</v>
      </c>
      <c r="I24" s="21"/>
      <c r="J24" s="21"/>
      <c r="L24" s="117">
        <f t="shared" ref="L24:L43" si="6">L23+1</f>
        <v>2028</v>
      </c>
      <c r="M24" s="252">
        <f t="shared" si="5"/>
        <v>249645.06441504002</v>
      </c>
      <c r="N24" s="119">
        <f t="shared" ref="N24:N43" si="7">M24+N23</f>
        <v>3035774.1729190401</v>
      </c>
      <c r="O24" s="120">
        <f t="shared" ref="O24:O43" si="8">(M24-M23)/M23</f>
        <v>1.0000000000000026E-2</v>
      </c>
      <c r="P24" s="7"/>
    </row>
    <row r="25" spans="2:16" ht="14.25" x14ac:dyDescent="0.25">
      <c r="B25" s="5"/>
      <c r="C25" s="302"/>
      <c r="D25" s="303"/>
      <c r="E25" s="148" t="s">
        <v>156</v>
      </c>
      <c r="F25" s="238">
        <v>0.03</v>
      </c>
      <c r="G25" s="237" t="s">
        <v>153</v>
      </c>
      <c r="H25" s="9" t="s">
        <v>175</v>
      </c>
      <c r="I25" s="21"/>
      <c r="J25" s="21"/>
      <c r="L25" s="117">
        <f t="shared" si="6"/>
        <v>2029</v>
      </c>
      <c r="M25" s="252">
        <f t="shared" si="5"/>
        <v>252141.51505919042</v>
      </c>
      <c r="N25" s="119">
        <f t="shared" si="7"/>
        <v>3287915.6879782304</v>
      </c>
      <c r="O25" s="120">
        <f t="shared" si="8"/>
        <v>1.0000000000000021E-2</v>
      </c>
      <c r="P25" s="7"/>
    </row>
    <row r="26" spans="2:16" x14ac:dyDescent="0.2">
      <c r="B26" s="5"/>
      <c r="I26" s="21"/>
      <c r="J26" s="21"/>
      <c r="L26" s="117">
        <f t="shared" si="6"/>
        <v>2030</v>
      </c>
      <c r="M26" s="252">
        <f t="shared" si="5"/>
        <v>254662.93020978232</v>
      </c>
      <c r="N26" s="119">
        <f t="shared" si="7"/>
        <v>3542578.6181880129</v>
      </c>
      <c r="O26" s="120">
        <f t="shared" si="8"/>
        <v>9.9999999999999829E-3</v>
      </c>
      <c r="P26" s="7"/>
    </row>
    <row r="27" spans="2:16" x14ac:dyDescent="0.2">
      <c r="B27" s="5"/>
      <c r="C27" s="22" t="s">
        <v>41</v>
      </c>
      <c r="L27" s="117">
        <f t="shared" si="6"/>
        <v>2031</v>
      </c>
      <c r="M27" s="252">
        <f t="shared" ref="M27:M46" si="9">+M26*1.01</f>
        <v>257209.55951188016</v>
      </c>
      <c r="N27" s="119">
        <f t="shared" si="7"/>
        <v>3799788.1776998928</v>
      </c>
      <c r="O27" s="120">
        <f t="shared" si="8"/>
        <v>1.0000000000000042E-2</v>
      </c>
      <c r="P27" s="7"/>
    </row>
    <row r="28" spans="2:16" x14ac:dyDescent="0.2">
      <c r="B28" s="5"/>
      <c r="C28" s="1" t="s">
        <v>126</v>
      </c>
      <c r="L28" s="117">
        <f t="shared" si="6"/>
        <v>2032</v>
      </c>
      <c r="M28" s="252">
        <f t="shared" si="9"/>
        <v>259781.65510699895</v>
      </c>
      <c r="N28" s="119">
        <f t="shared" si="7"/>
        <v>4059569.8328068918</v>
      </c>
      <c r="O28" s="120">
        <f t="shared" si="8"/>
        <v>9.999999999999969E-3</v>
      </c>
      <c r="P28" s="7"/>
    </row>
    <row r="29" spans="2:16" ht="15.75" customHeight="1" x14ac:dyDescent="0.2">
      <c r="B29" s="5"/>
      <c r="C29" s="318" t="s">
        <v>196</v>
      </c>
      <c r="D29" s="319"/>
      <c r="E29" s="319"/>
      <c r="F29" s="319"/>
      <c r="G29" s="319"/>
      <c r="H29" s="319"/>
      <c r="I29" s="319"/>
      <c r="J29" s="319"/>
      <c r="K29" s="320"/>
      <c r="L29" s="117">
        <f t="shared" si="6"/>
        <v>2033</v>
      </c>
      <c r="M29" s="252">
        <f t="shared" si="9"/>
        <v>262379.47165806894</v>
      </c>
      <c r="N29" s="119">
        <f t="shared" si="7"/>
        <v>4321949.3044649605</v>
      </c>
      <c r="O29" s="120">
        <f t="shared" si="8"/>
        <v>1.0000000000000005E-2</v>
      </c>
      <c r="P29" s="7"/>
    </row>
    <row r="30" spans="2:16" ht="12.75" x14ac:dyDescent="0.2">
      <c r="B30" s="5"/>
      <c r="C30" s="1" t="s">
        <v>125</v>
      </c>
      <c r="F30" s="23"/>
      <c r="G30" s="24"/>
      <c r="H30" s="24"/>
      <c r="I30" s="24"/>
      <c r="J30" s="24"/>
      <c r="L30" s="117">
        <f t="shared" si="6"/>
        <v>2034</v>
      </c>
      <c r="M30" s="252">
        <f t="shared" si="9"/>
        <v>265003.26637464965</v>
      </c>
      <c r="N30" s="119">
        <f t="shared" si="7"/>
        <v>4586952.57083961</v>
      </c>
      <c r="O30" s="120">
        <f t="shared" si="8"/>
        <v>1.0000000000000089E-2</v>
      </c>
      <c r="P30" s="7"/>
    </row>
    <row r="31" spans="2:16" ht="18" customHeight="1" x14ac:dyDescent="0.2">
      <c r="B31" s="5"/>
      <c r="C31" s="1" t="s">
        <v>174</v>
      </c>
      <c r="G31" s="24"/>
      <c r="H31" s="24"/>
      <c r="I31" s="24"/>
      <c r="J31" s="24"/>
      <c r="L31" s="117">
        <f t="shared" si="6"/>
        <v>2035</v>
      </c>
      <c r="M31" s="252">
        <f t="shared" si="9"/>
        <v>267653.29903839616</v>
      </c>
      <c r="N31" s="119">
        <f t="shared" si="7"/>
        <v>4854605.8698780062</v>
      </c>
      <c r="O31" s="120">
        <f t="shared" si="8"/>
        <v>1.0000000000000028E-2</v>
      </c>
      <c r="P31" s="7"/>
    </row>
    <row r="32" spans="2:16" ht="12.75" customHeight="1" x14ac:dyDescent="0.2">
      <c r="B32" s="5"/>
      <c r="C32" s="325" t="s">
        <v>168</v>
      </c>
      <c r="D32" s="325"/>
      <c r="E32" s="325"/>
      <c r="F32" s="175"/>
      <c r="G32" s="175"/>
      <c r="H32" s="175"/>
      <c r="I32" s="24"/>
      <c r="J32" s="24"/>
      <c r="L32" s="117">
        <f t="shared" si="6"/>
        <v>2036</v>
      </c>
      <c r="M32" s="252">
        <f t="shared" si="9"/>
        <v>270329.83202878013</v>
      </c>
      <c r="N32" s="119">
        <f t="shared" si="7"/>
        <v>5124935.7019067863</v>
      </c>
      <c r="O32" s="120">
        <f t="shared" si="8"/>
        <v>1.0000000000000045E-2</v>
      </c>
      <c r="P32" s="7"/>
    </row>
    <row r="33" spans="2:16" ht="12" customHeight="1" x14ac:dyDescent="0.2">
      <c r="B33" s="5"/>
      <c r="C33" s="324" t="s">
        <v>176</v>
      </c>
      <c r="D33" s="324"/>
      <c r="E33" s="324"/>
      <c r="F33" s="173"/>
      <c r="G33" s="173"/>
      <c r="H33" s="173"/>
      <c r="I33" s="173"/>
      <c r="J33" s="173"/>
      <c r="K33" s="174"/>
      <c r="L33" s="117">
        <f t="shared" si="6"/>
        <v>2037</v>
      </c>
      <c r="M33" s="252">
        <f t="shared" si="9"/>
        <v>273033.13034906791</v>
      </c>
      <c r="N33" s="119">
        <f t="shared" si="7"/>
        <v>5397968.8322558543</v>
      </c>
      <c r="O33" s="120">
        <f t="shared" si="8"/>
        <v>9.9999999999999221E-3</v>
      </c>
      <c r="P33" s="7"/>
    </row>
    <row r="34" spans="2:16" x14ac:dyDescent="0.2">
      <c r="B34" s="5"/>
      <c r="C34" s="324"/>
      <c r="D34" s="324"/>
      <c r="E34" s="324"/>
      <c r="L34" s="117">
        <f t="shared" si="6"/>
        <v>2038</v>
      </c>
      <c r="M34" s="252">
        <f t="shared" si="9"/>
        <v>275763.46165255859</v>
      </c>
      <c r="N34" s="119">
        <f t="shared" si="7"/>
        <v>5673732.2939084126</v>
      </c>
      <c r="O34" s="120">
        <f t="shared" si="8"/>
        <v>9.9999999999999846E-3</v>
      </c>
      <c r="P34" s="7"/>
    </row>
    <row r="35" spans="2:16" x14ac:dyDescent="0.2">
      <c r="B35" s="5"/>
      <c r="C35" s="1" t="s">
        <v>192</v>
      </c>
      <c r="L35" s="117">
        <f t="shared" si="6"/>
        <v>2039</v>
      </c>
      <c r="M35" s="252">
        <f t="shared" si="9"/>
        <v>278521.0962690842</v>
      </c>
      <c r="N35" s="119">
        <f t="shared" si="7"/>
        <v>5952253.3901774967</v>
      </c>
      <c r="O35" s="120">
        <f t="shared" si="8"/>
        <v>1.000000000000009E-2</v>
      </c>
      <c r="P35" s="7"/>
    </row>
    <row r="36" spans="2:16" ht="13.9" customHeight="1" x14ac:dyDescent="0.2">
      <c r="B36" s="5"/>
      <c r="C36" s="1" t="s">
        <v>193</v>
      </c>
      <c r="L36" s="117">
        <f t="shared" si="6"/>
        <v>2040</v>
      </c>
      <c r="M36" s="252">
        <f t="shared" si="9"/>
        <v>281306.30723177502</v>
      </c>
      <c r="N36" s="119">
        <f t="shared" si="7"/>
        <v>6233559.6974092722</v>
      </c>
      <c r="O36" s="120">
        <f t="shared" si="8"/>
        <v>9.9999999999999221E-3</v>
      </c>
      <c r="P36" s="7"/>
    </row>
    <row r="37" spans="2:16" ht="12" customHeight="1" x14ac:dyDescent="0.2">
      <c r="B37" s="5"/>
      <c r="F37" s="23"/>
      <c r="G37" s="24"/>
      <c r="H37" s="24"/>
      <c r="I37" s="24"/>
      <c r="J37" s="24"/>
      <c r="L37" s="117">
        <f t="shared" si="6"/>
        <v>2041</v>
      </c>
      <c r="M37" s="252">
        <f t="shared" si="9"/>
        <v>284119.37030409276</v>
      </c>
      <c r="N37" s="119">
        <f t="shared" si="7"/>
        <v>6517679.067713365</v>
      </c>
      <c r="O37" s="120">
        <f t="shared" si="8"/>
        <v>9.9999999999999829E-3</v>
      </c>
      <c r="P37" s="7"/>
    </row>
    <row r="38" spans="2:16" ht="12.75" x14ac:dyDescent="0.2">
      <c r="B38" s="5"/>
      <c r="C38" s="323"/>
      <c r="D38" s="323"/>
      <c r="E38" s="175"/>
      <c r="G38" s="24"/>
      <c r="H38" s="24"/>
      <c r="I38" s="24"/>
      <c r="J38" s="24"/>
      <c r="L38" s="117">
        <f t="shared" si="6"/>
        <v>2042</v>
      </c>
      <c r="M38" s="252">
        <f t="shared" si="9"/>
        <v>286960.56400713371</v>
      </c>
      <c r="N38" s="119">
        <f t="shared" si="7"/>
        <v>6804639.6317204982</v>
      </c>
      <c r="O38" s="120">
        <f t="shared" si="8"/>
        <v>1.0000000000000066E-2</v>
      </c>
      <c r="P38" s="7"/>
    </row>
    <row r="39" spans="2:16" ht="27" customHeight="1" x14ac:dyDescent="0.2">
      <c r="B39" s="5"/>
      <c r="C39" s="324"/>
      <c r="D39" s="324"/>
      <c r="E39" s="324"/>
      <c r="F39" s="175"/>
      <c r="G39" s="175"/>
      <c r="H39" s="175"/>
      <c r="I39" s="24"/>
      <c r="J39" s="24"/>
      <c r="L39" s="117">
        <f t="shared" si="6"/>
        <v>2043</v>
      </c>
      <c r="M39" s="252">
        <f t="shared" si="9"/>
        <v>289830.16964720504</v>
      </c>
      <c r="N39" s="119">
        <f t="shared" si="7"/>
        <v>7094469.8013677029</v>
      </c>
      <c r="O39" s="120">
        <f t="shared" si="8"/>
        <v>9.9999999999999672E-3</v>
      </c>
      <c r="P39" s="7"/>
    </row>
    <row r="40" spans="2:16" ht="12" customHeight="1" x14ac:dyDescent="0.2">
      <c r="B40" s="5"/>
      <c r="D40" s="257"/>
      <c r="E40" s="257"/>
      <c r="F40" s="173"/>
      <c r="G40" s="173"/>
      <c r="H40" s="173"/>
      <c r="I40" s="173"/>
      <c r="J40" s="173"/>
      <c r="K40" s="174"/>
      <c r="L40" s="117">
        <f t="shared" si="6"/>
        <v>2044</v>
      </c>
      <c r="M40" s="252">
        <f t="shared" si="9"/>
        <v>292728.47134367708</v>
      </c>
      <c r="N40" s="119">
        <f t="shared" si="7"/>
        <v>7387198.2727113804</v>
      </c>
      <c r="O40" s="120">
        <f t="shared" si="8"/>
        <v>9.9999999999999794E-3</v>
      </c>
      <c r="P40" s="7"/>
    </row>
    <row r="41" spans="2:16" ht="12" customHeight="1" x14ac:dyDescent="0.2">
      <c r="B41" s="5"/>
      <c r="L41" s="117">
        <f t="shared" si="6"/>
        <v>2045</v>
      </c>
      <c r="M41" s="252">
        <f t="shared" si="9"/>
        <v>295655.75605711387</v>
      </c>
      <c r="N41" s="119">
        <f t="shared" si="7"/>
        <v>7682854.0287684947</v>
      </c>
      <c r="O41" s="120">
        <f t="shared" si="8"/>
        <v>1.000000000000007E-2</v>
      </c>
      <c r="P41" s="7"/>
    </row>
    <row r="42" spans="2:16" x14ac:dyDescent="0.2">
      <c r="B42" s="5"/>
      <c r="L42" s="117">
        <f t="shared" si="6"/>
        <v>2046</v>
      </c>
      <c r="M42" s="252">
        <f t="shared" si="9"/>
        <v>298612.31361768499</v>
      </c>
      <c r="N42" s="119">
        <f t="shared" si="7"/>
        <v>7981466.3423861796</v>
      </c>
      <c r="O42" s="120">
        <f t="shared" si="8"/>
        <v>9.9999999999999378E-3</v>
      </c>
      <c r="P42" s="7"/>
    </row>
    <row r="43" spans="2:16" x14ac:dyDescent="0.2">
      <c r="B43" s="5"/>
      <c r="L43" s="117">
        <f t="shared" si="6"/>
        <v>2047</v>
      </c>
      <c r="M43" s="252">
        <f t="shared" si="9"/>
        <v>301598.43675386184</v>
      </c>
      <c r="N43" s="119">
        <f t="shared" si="7"/>
        <v>8283064.7791400412</v>
      </c>
      <c r="O43" s="120">
        <f t="shared" si="8"/>
        <v>9.9999999999999811E-3</v>
      </c>
      <c r="P43" s="7"/>
    </row>
    <row r="44" spans="2:16" x14ac:dyDescent="0.2">
      <c r="B44" s="5"/>
      <c r="L44" s="266">
        <f t="shared" si="4"/>
        <v>2048</v>
      </c>
      <c r="M44" s="252">
        <f t="shared" si="9"/>
        <v>304614.42112140043</v>
      </c>
      <c r="N44" s="268">
        <f t="shared" ref="N44" si="10">M44+N43</f>
        <v>8587679.200261442</v>
      </c>
      <c r="O44" s="264">
        <f t="shared" ref="O44" si="11">(M44-M43)/M43</f>
        <v>9.9999999999999152E-3</v>
      </c>
      <c r="P44" s="7"/>
    </row>
    <row r="45" spans="2:16" x14ac:dyDescent="0.2">
      <c r="B45" s="5"/>
      <c r="L45" s="266">
        <f t="shared" si="4"/>
        <v>2049</v>
      </c>
      <c r="M45" s="252">
        <f t="shared" si="9"/>
        <v>307660.56533261447</v>
      </c>
      <c r="N45" s="268">
        <f t="shared" ref="N45:N46" si="12">M45+N44</f>
        <v>8895339.7655940559</v>
      </c>
      <c r="O45" s="264">
        <f t="shared" ref="O45:O46" si="13">(M45-M44)/M44</f>
        <v>1.0000000000000103E-2</v>
      </c>
      <c r="P45" s="7"/>
    </row>
    <row r="46" spans="2:16" x14ac:dyDescent="0.2">
      <c r="B46" s="5"/>
      <c r="L46" s="267">
        <f t="shared" si="4"/>
        <v>2050</v>
      </c>
      <c r="M46" s="253">
        <f t="shared" si="9"/>
        <v>310737.17098594061</v>
      </c>
      <c r="N46" s="166">
        <f t="shared" si="12"/>
        <v>9206076.9365799967</v>
      </c>
      <c r="O46" s="265">
        <f t="shared" si="13"/>
        <v>9.9999999999999967E-3</v>
      </c>
      <c r="P46" s="7"/>
    </row>
    <row r="47" spans="2:16" ht="12.75" thickBot="1" x14ac:dyDescent="0.25">
      <c r="B47" s="27"/>
      <c r="C47" s="28"/>
      <c r="D47" s="28"/>
      <c r="E47" s="28"/>
      <c r="F47" s="28"/>
      <c r="G47" s="28"/>
      <c r="H47" s="28"/>
      <c r="I47" s="28"/>
      <c r="J47" s="28"/>
      <c r="K47" s="28"/>
      <c r="L47" s="28"/>
      <c r="M47" s="28"/>
      <c r="N47" s="28"/>
      <c r="O47" s="28"/>
      <c r="P47" s="29"/>
    </row>
    <row r="48" spans="2:16" ht="13.5" thickTop="1" x14ac:dyDescent="0.2">
      <c r="B48" s="25"/>
    </row>
    <row r="49" spans="3:11" x14ac:dyDescent="0.2">
      <c r="C49" s="22"/>
    </row>
    <row r="51" spans="3:11" ht="15.75" customHeight="1" x14ac:dyDescent="0.2">
      <c r="C51" s="328"/>
      <c r="D51" s="328"/>
      <c r="I51" s="30"/>
      <c r="J51" s="30"/>
      <c r="K51" s="30"/>
    </row>
    <row r="52" spans="3:11" x14ac:dyDescent="0.2">
      <c r="C52" s="283"/>
      <c r="D52" s="283"/>
      <c r="I52" s="30"/>
      <c r="J52" s="30"/>
      <c r="K52" s="30"/>
    </row>
    <row r="53" spans="3:11" x14ac:dyDescent="0.2">
      <c r="C53" s="283"/>
      <c r="D53" s="283"/>
    </row>
    <row r="54" spans="3:11" x14ac:dyDescent="0.2">
      <c r="C54" s="283"/>
      <c r="D54" s="283"/>
      <c r="I54" s="30"/>
      <c r="J54" s="30"/>
      <c r="K54" s="30"/>
    </row>
    <row r="55" spans="3:11" x14ac:dyDescent="0.2">
      <c r="C55" s="283"/>
      <c r="D55" s="283"/>
      <c r="G55" s="30"/>
      <c r="H55" s="30"/>
      <c r="I55" s="30"/>
      <c r="J55" s="30"/>
      <c r="K55" s="30"/>
    </row>
    <row r="56" spans="3:11" x14ac:dyDescent="0.2">
      <c r="C56" s="283"/>
      <c r="D56" s="283"/>
      <c r="G56" s="30"/>
      <c r="H56" s="30"/>
      <c r="I56" s="30"/>
      <c r="J56" s="30"/>
      <c r="K56" s="30"/>
    </row>
    <row r="57" spans="3:11" x14ac:dyDescent="0.2">
      <c r="C57" s="283"/>
      <c r="D57" s="283"/>
      <c r="G57" s="30"/>
      <c r="H57" s="30"/>
      <c r="I57" s="30"/>
      <c r="J57" s="30"/>
      <c r="K57" s="30"/>
    </row>
    <row r="58" spans="3:11" x14ac:dyDescent="0.2">
      <c r="C58" s="283"/>
      <c r="D58" s="283"/>
      <c r="F58" s="284"/>
      <c r="G58" s="30"/>
      <c r="H58" s="30"/>
      <c r="I58" s="30"/>
      <c r="J58" s="30"/>
      <c r="K58" s="30"/>
    </row>
    <row r="59" spans="3:11" x14ac:dyDescent="0.2">
      <c r="C59" s="283"/>
      <c r="D59" s="283"/>
      <c r="F59" s="284"/>
      <c r="G59" s="30"/>
      <c r="H59" s="30"/>
      <c r="I59" s="30"/>
      <c r="J59" s="30"/>
      <c r="K59" s="30"/>
    </row>
    <row r="60" spans="3:11" x14ac:dyDescent="0.2">
      <c r="C60" s="283"/>
      <c r="D60" s="283"/>
      <c r="F60" s="284"/>
      <c r="G60" s="30"/>
      <c r="H60" s="30"/>
      <c r="I60" s="30"/>
      <c r="J60" s="30"/>
      <c r="K60" s="30"/>
    </row>
    <row r="61" spans="3:11" x14ac:dyDescent="0.2">
      <c r="C61" s="283"/>
      <c r="D61" s="283"/>
      <c r="F61" s="284"/>
      <c r="G61" s="30"/>
      <c r="H61" s="30"/>
      <c r="I61" s="30"/>
      <c r="J61" s="30"/>
      <c r="K61" s="30"/>
    </row>
    <row r="62" spans="3:11" x14ac:dyDescent="0.2">
      <c r="C62" s="283"/>
      <c r="D62" s="283"/>
      <c r="F62" s="284"/>
      <c r="G62" s="30"/>
      <c r="H62" s="30"/>
      <c r="I62" s="30"/>
      <c r="J62" s="30"/>
      <c r="K62" s="30"/>
    </row>
    <row r="63" spans="3:11" x14ac:dyDescent="0.2">
      <c r="C63" s="283"/>
      <c r="D63" s="283"/>
      <c r="F63" s="284"/>
      <c r="G63" s="30"/>
      <c r="H63" s="30"/>
      <c r="I63" s="30"/>
      <c r="J63" s="30"/>
      <c r="K63" s="30"/>
    </row>
    <row r="64" spans="3:11" x14ac:dyDescent="0.2">
      <c r="C64" s="285"/>
      <c r="D64" s="285"/>
      <c r="E64" s="284"/>
      <c r="F64" s="284"/>
      <c r="G64" s="30"/>
      <c r="H64" s="30"/>
      <c r="I64" s="30"/>
      <c r="J64" s="30"/>
      <c r="K64" s="30"/>
    </row>
    <row r="65" spans="3:11" x14ac:dyDescent="0.2">
      <c r="C65" s="30"/>
      <c r="D65" s="30"/>
      <c r="E65" s="30"/>
      <c r="F65" s="30"/>
      <c r="G65" s="30"/>
      <c r="H65" s="30"/>
      <c r="I65" s="30"/>
      <c r="J65" s="30"/>
      <c r="K65" s="30"/>
    </row>
    <row r="66" spans="3:11" x14ac:dyDescent="0.2">
      <c r="C66" s="326"/>
      <c r="D66" s="326"/>
      <c r="E66" s="327"/>
      <c r="F66" s="327"/>
      <c r="G66" s="30"/>
      <c r="H66" s="30"/>
      <c r="I66" s="30"/>
      <c r="J66" s="30"/>
      <c r="K66" s="30"/>
    </row>
    <row r="67" spans="3:11" x14ac:dyDescent="0.2">
      <c r="C67" s="30"/>
      <c r="D67" s="30"/>
      <c r="E67" s="30"/>
      <c r="F67" s="286"/>
      <c r="G67" s="30"/>
      <c r="H67" s="30"/>
      <c r="I67" s="30"/>
      <c r="J67" s="30"/>
      <c r="K67" s="30"/>
    </row>
    <row r="68" spans="3:11" ht="12.75" x14ac:dyDescent="0.25">
      <c r="C68" s="321"/>
      <c r="D68" s="321"/>
      <c r="E68" s="322"/>
      <c r="F68" s="322"/>
      <c r="G68" s="114" t="s">
        <v>157</v>
      </c>
      <c r="H68" s="30"/>
      <c r="I68" s="30"/>
      <c r="J68" s="30"/>
      <c r="K68" s="30"/>
    </row>
    <row r="69" spans="3:11" x14ac:dyDescent="0.2">
      <c r="E69" s="30"/>
      <c r="F69" s="30"/>
      <c r="G69" s="30"/>
      <c r="H69" s="30"/>
      <c r="I69" s="30"/>
      <c r="J69" s="30"/>
      <c r="K69" s="30"/>
    </row>
    <row r="70" spans="3:11" x14ac:dyDescent="0.2">
      <c r="E70" s="30"/>
      <c r="F70" s="30"/>
      <c r="G70" s="9"/>
      <c r="H70" s="9"/>
      <c r="I70" s="21"/>
      <c r="J70" s="21"/>
    </row>
    <row r="71" spans="3:11" x14ac:dyDescent="0.2">
      <c r="C71" s="9"/>
      <c r="D71" s="9"/>
      <c r="E71" s="9"/>
      <c r="F71" s="9"/>
      <c r="G71" s="9"/>
    </row>
  </sheetData>
  <sheetProtection formatCells="0" formatColumns="0" autoFilter="0"/>
  <mergeCells count="21">
    <mergeCell ref="C29:K29"/>
    <mergeCell ref="C68:D68"/>
    <mergeCell ref="E68:F68"/>
    <mergeCell ref="C38:D38"/>
    <mergeCell ref="C39:E39"/>
    <mergeCell ref="C32:E32"/>
    <mergeCell ref="C66:D66"/>
    <mergeCell ref="E66:F66"/>
    <mergeCell ref="C51:D51"/>
    <mergeCell ref="C33:E34"/>
    <mergeCell ref="B4:P4"/>
    <mergeCell ref="L6:N6"/>
    <mergeCell ref="L7:L8"/>
    <mergeCell ref="M7:M8"/>
    <mergeCell ref="N7:N8"/>
    <mergeCell ref="O6:O8"/>
    <mergeCell ref="E15:F15"/>
    <mergeCell ref="C16:D17"/>
    <mergeCell ref="E16:F17"/>
    <mergeCell ref="C15:D15"/>
    <mergeCell ref="C24:D25"/>
  </mergeCells>
  <phoneticPr fontId="5" type="noConversion"/>
  <dataValidations count="1">
    <dataValidation type="list" allowBlank="1" showInputMessage="1" showErrorMessage="1" sqref="H12 C11:E11" xr:uid="{00000000-0002-0000-0000-000000000000}">
      <formula1>"Oxidation factor: there is an oxidizing cover, Oxidation factor: there is no oxidizing cover"</formula1>
    </dataValidation>
  </dataValidations>
  <pageMargins left="0.74803149606299213" right="0.74803149606299213" top="0.98425196850393704" bottom="0.98425196850393704" header="0.51181102362204722" footer="0.51181102362204722"/>
  <pageSetup paperSize="9" scale="91" orientation="landscape" r:id="rId1"/>
  <headerFooter alignWithMargins="0"/>
  <rowBreaks count="1" manualBreakCount="1">
    <brk id="1" max="16383" man="1"/>
  </rowBreaks>
  <ignoredErrors>
    <ignoredError sqref="G6:G13 H20:H21 H23:H25" numberStoredAsText="1"/>
    <ignoredError sqref="F21"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2:P55"/>
  <sheetViews>
    <sheetView showGridLines="0" zoomScale="90" zoomScaleNormal="90" workbookViewId="0">
      <selection activeCell="C6" sqref="C6"/>
    </sheetView>
  </sheetViews>
  <sheetFormatPr defaultColWidth="10" defaultRowHeight="12" x14ac:dyDescent="0.2"/>
  <cols>
    <col min="1" max="1" width="5.625" style="1" customWidth="1"/>
    <col min="2" max="3" width="14.25" style="1" customWidth="1"/>
    <col min="4" max="4" width="14.25" style="21" customWidth="1"/>
    <col min="5" max="6" width="10" style="1"/>
    <col min="7" max="7" width="10" style="1" customWidth="1"/>
    <col min="8" max="9" width="24.5" style="1" customWidth="1"/>
    <col min="10" max="11" width="10" style="1"/>
    <col min="12" max="12" width="5.625" style="1" customWidth="1"/>
    <col min="13" max="13" width="15.5" style="1" customWidth="1"/>
    <col min="14" max="16384" width="10" style="1"/>
  </cols>
  <sheetData>
    <row r="2" spans="1:15" ht="15" x14ac:dyDescent="0.2">
      <c r="A2" s="329" t="s">
        <v>82</v>
      </c>
      <c r="B2" s="329"/>
      <c r="C2" s="329"/>
      <c r="D2" s="329"/>
      <c r="E2" s="329"/>
      <c r="F2" s="329"/>
      <c r="G2" s="329"/>
      <c r="H2" s="329"/>
      <c r="I2" s="329"/>
      <c r="J2" s="329"/>
      <c r="K2" s="329"/>
      <c r="L2" s="329"/>
      <c r="M2" s="329"/>
      <c r="N2" s="329"/>
      <c r="O2" s="329"/>
    </row>
    <row r="4" spans="1:15" ht="48" x14ac:dyDescent="0.2">
      <c r="B4" s="93" t="s">
        <v>0</v>
      </c>
      <c r="C4" s="94" t="s">
        <v>119</v>
      </c>
      <c r="D4" s="94" t="s">
        <v>102</v>
      </c>
    </row>
    <row r="5" spans="1:15" ht="14.25" x14ac:dyDescent="0.2">
      <c r="B5" s="145"/>
      <c r="C5" s="146" t="s">
        <v>113</v>
      </c>
      <c r="D5" s="146" t="s">
        <v>113</v>
      </c>
    </row>
    <row r="6" spans="1:15" x14ac:dyDescent="0.2">
      <c r="B6" s="31">
        <f>'Input data'!F6</f>
        <v>2013</v>
      </c>
      <c r="C6" s="32">
        <f>HLOOKUP(B6,'FOD Calculations'!D$6:BB$69,64)</f>
        <v>114.07661879302309</v>
      </c>
      <c r="D6" s="32">
        <f>C6*'Input data'!$F$8</f>
        <v>57.038309396511544</v>
      </c>
    </row>
    <row r="7" spans="1:15" x14ac:dyDescent="0.2">
      <c r="B7" s="31">
        <f>B6+1</f>
        <v>2014</v>
      </c>
      <c r="C7" s="32">
        <f>HLOOKUP(B7,'FOD Calculations'!D$6:BB$69,64)</f>
        <v>321.76038472158945</v>
      </c>
      <c r="D7" s="32">
        <f>C7*'Input data'!$F$8</f>
        <v>160.88019236079472</v>
      </c>
    </row>
    <row r="8" spans="1:15" x14ac:dyDescent="0.2">
      <c r="B8" s="31">
        <f t="shared" ref="B8:B43" si="0">B7+1</f>
        <v>2015</v>
      </c>
      <c r="C8" s="32">
        <f>HLOOKUP(B8,'FOD Calculations'!D$6:BB$69,64)</f>
        <v>473.60716179217997</v>
      </c>
      <c r="D8" s="32">
        <f>C8*'Input data'!$F$8</f>
        <v>236.80358089608998</v>
      </c>
    </row>
    <row r="9" spans="1:15" x14ac:dyDescent="0.2">
      <c r="B9" s="31">
        <f t="shared" si="0"/>
        <v>2016</v>
      </c>
      <c r="C9" s="32">
        <f>HLOOKUP(B9,'FOD Calculations'!D$6:BB$69,64)</f>
        <v>586.18265845794463</v>
      </c>
      <c r="D9" s="32">
        <f>C9*'Input data'!$F$8</f>
        <v>293.09132922897231</v>
      </c>
    </row>
    <row r="10" spans="1:15" x14ac:dyDescent="0.2">
      <c r="B10" s="31">
        <f>B9+1</f>
        <v>2017</v>
      </c>
      <c r="C10" s="32">
        <f>HLOOKUP(B10,'FOD Calculations'!D$6:BB$69,64)</f>
        <v>685.98452831583154</v>
      </c>
      <c r="D10" s="32">
        <f>C10*'Input data'!$F$8</f>
        <v>342.99226415791577</v>
      </c>
    </row>
    <row r="11" spans="1:15" x14ac:dyDescent="0.2">
      <c r="B11" s="31">
        <f t="shared" si="0"/>
        <v>2018</v>
      </c>
      <c r="C11" s="32">
        <f>HLOOKUP(B11,'FOD Calculations'!D$6:BB$69,64)</f>
        <v>843.95900392153783</v>
      </c>
      <c r="D11" s="32">
        <f>C11*'Input data'!$F$8</f>
        <v>421.97950196076891</v>
      </c>
    </row>
    <row r="12" spans="1:15" ht="12.75" customHeight="1" x14ac:dyDescent="0.2">
      <c r="B12" s="31">
        <f t="shared" si="0"/>
        <v>2019</v>
      </c>
      <c r="C12" s="32">
        <f>HLOOKUP(B12,'FOD Calculations'!D$6:BB$69,64)</f>
        <v>1097.7922876375667</v>
      </c>
      <c r="D12" s="32">
        <f>C12*'Input data'!$F$8</f>
        <v>548.89614381878334</v>
      </c>
    </row>
    <row r="13" spans="1:15" x14ac:dyDescent="0.2">
      <c r="B13" s="31">
        <f t="shared" si="0"/>
        <v>2020</v>
      </c>
      <c r="C13" s="32">
        <f>HLOOKUP(B13,'FOD Calculations'!D$6:BB$69,64)</f>
        <v>1313.3306229875172</v>
      </c>
      <c r="D13" s="32">
        <f>C13*'Input data'!$F$8</f>
        <v>656.66531149375862</v>
      </c>
    </row>
    <row r="14" spans="1:15" x14ac:dyDescent="0.2">
      <c r="B14" s="31">
        <f t="shared" si="0"/>
        <v>2021</v>
      </c>
      <c r="C14" s="32">
        <f>HLOOKUP(B14,'FOD Calculations'!D$6:BB$69,64)</f>
        <v>1522.4226005083228</v>
      </c>
      <c r="D14" s="32">
        <f>C14*'Input data'!$F$8</f>
        <v>761.21130025416142</v>
      </c>
    </row>
    <row r="15" spans="1:15" x14ac:dyDescent="0.2">
      <c r="B15" s="31">
        <f t="shared" si="0"/>
        <v>2022</v>
      </c>
      <c r="C15" s="32">
        <f>HLOOKUP(B15,'FOD Calculations'!D$6:BB$69,64)</f>
        <v>1592.6639691004564</v>
      </c>
      <c r="D15" s="32">
        <f>C15*'Input data'!$F$8</f>
        <v>796.33198455022819</v>
      </c>
    </row>
    <row r="16" spans="1:15" x14ac:dyDescent="0.2">
      <c r="B16" s="31">
        <f t="shared" si="0"/>
        <v>2023</v>
      </c>
      <c r="C16" s="32">
        <f>HLOOKUP(B16,'FOD Calculations'!D$6:BB$69,64)</f>
        <v>1720.5507595830738</v>
      </c>
      <c r="D16" s="32">
        <f>C16*'Input data'!$F$8</f>
        <v>860.27537979153692</v>
      </c>
    </row>
    <row r="17" spans="2:5" x14ac:dyDescent="0.2">
      <c r="B17" s="31">
        <f t="shared" si="0"/>
        <v>2024</v>
      </c>
      <c r="C17" s="32">
        <f>HLOOKUP(B17,'FOD Calculations'!D$6:BB$69,64)</f>
        <v>1803.5531993382758</v>
      </c>
      <c r="D17" s="32">
        <f>C17*'Input data'!$F$8</f>
        <v>901.77659966913791</v>
      </c>
    </row>
    <row r="18" spans="2:5" x14ac:dyDescent="0.2">
      <c r="B18" s="31">
        <f t="shared" si="0"/>
        <v>2025</v>
      </c>
      <c r="C18" s="32">
        <f>HLOOKUP(B18,'FOD Calculations'!D$6:BB$69,64)</f>
        <v>1875.3694444209575</v>
      </c>
      <c r="D18" s="32">
        <f>C18*'Input data'!$F$8</f>
        <v>937.68472221047875</v>
      </c>
    </row>
    <row r="19" spans="2:5" x14ac:dyDescent="0.2">
      <c r="B19" s="31">
        <f t="shared" si="0"/>
        <v>2026</v>
      </c>
      <c r="C19" s="32">
        <f>HLOOKUP(B19,'FOD Calculations'!D$6:BB$69,64)</f>
        <v>1939.1225220273698</v>
      </c>
      <c r="D19" s="32">
        <f>C19*'Input data'!$F$8</f>
        <v>969.56126101368488</v>
      </c>
    </row>
    <row r="20" spans="2:5" x14ac:dyDescent="0.2">
      <c r="B20" s="31">
        <f t="shared" si="0"/>
        <v>2027</v>
      </c>
      <c r="C20" s="32">
        <f>HLOOKUP(B20,'FOD Calculations'!D$6:BB$69,64)</f>
        <v>1996.9606664577823</v>
      </c>
      <c r="D20" s="32">
        <f>C20*'Input data'!$F$8</f>
        <v>998.48033322889114</v>
      </c>
    </row>
    <row r="21" spans="2:5" x14ac:dyDescent="0.2">
      <c r="B21" s="31">
        <f t="shared" si="0"/>
        <v>2028</v>
      </c>
      <c r="C21" s="32">
        <f>HLOOKUP(B21,'FOD Calculations'!D$6:BB$69,64)</f>
        <v>2050.3733782810145</v>
      </c>
      <c r="D21" s="32">
        <f>C21*'Input data'!$F$8</f>
        <v>1025.1866891405073</v>
      </c>
    </row>
    <row r="22" spans="2:5" x14ac:dyDescent="0.2">
      <c r="B22" s="31">
        <f t="shared" si="0"/>
        <v>2029</v>
      </c>
      <c r="C22" s="32">
        <f>HLOOKUP(B22,'FOD Calculations'!D$6:BB$69,64)</f>
        <v>2100.4039050392239</v>
      </c>
      <c r="D22" s="32">
        <f>C22*'Input data'!$F$8</f>
        <v>1050.201952519612</v>
      </c>
    </row>
    <row r="23" spans="2:5" x14ac:dyDescent="0.2">
      <c r="B23" s="31">
        <f t="shared" si="0"/>
        <v>2030</v>
      </c>
      <c r="C23" s="32">
        <f>HLOOKUP(B23,'FOD Calculations'!D$6:BB$69,64)</f>
        <v>2147.792208638371</v>
      </c>
      <c r="D23" s="32">
        <f>C23*'Input data'!$F$8</f>
        <v>1073.8961043191855</v>
      </c>
    </row>
    <row r="24" spans="2:5" x14ac:dyDescent="0.2">
      <c r="B24" s="31">
        <f t="shared" si="0"/>
        <v>2031</v>
      </c>
      <c r="C24" s="32">
        <f>HLOOKUP(B24,'FOD Calculations'!D$6:BB$69,64)</f>
        <v>2193.0712659199698</v>
      </c>
      <c r="D24" s="32">
        <f>C24*'Input data'!$F$8</f>
        <v>1096.5356329599849</v>
      </c>
    </row>
    <row r="25" spans="2:5" x14ac:dyDescent="0.2">
      <c r="B25" s="31">
        <f t="shared" si="0"/>
        <v>2032</v>
      </c>
      <c r="C25" s="32">
        <f>HLOOKUP(B25,'FOD Calculations'!D$6:BB$69,64)</f>
        <v>2236.6320270217216</v>
      </c>
      <c r="D25" s="32">
        <f>C25*'Input data'!$F$8</f>
        <v>1118.3160135108608</v>
      </c>
    </row>
    <row r="26" spans="2:5" x14ac:dyDescent="0.2">
      <c r="B26" s="31">
        <f t="shared" si="0"/>
        <v>2033</v>
      </c>
      <c r="C26" s="32">
        <f>HLOOKUP(B26,'FOD Calculations'!D$6:BB$69,64)</f>
        <v>2278.767312537464</v>
      </c>
      <c r="D26" s="32">
        <f>C26*'Input data'!$F$8</f>
        <v>1139.383656268732</v>
      </c>
    </row>
    <row r="27" spans="2:5" x14ac:dyDescent="0.2">
      <c r="B27" s="31">
        <f t="shared" si="0"/>
        <v>2034</v>
      </c>
      <c r="C27" s="32">
        <f>HLOOKUP(B27,'FOD Calculations'!D$6:BB$69,64)</f>
        <v>2319.7015483720324</v>
      </c>
      <c r="D27" s="32">
        <f>C27*'Input data'!$F$8</f>
        <v>1159.8507741860162</v>
      </c>
      <c r="E27" s="33"/>
    </row>
    <row r="28" spans="2:5" ht="12.75" customHeight="1" x14ac:dyDescent="0.2">
      <c r="B28" s="31">
        <f t="shared" si="0"/>
        <v>2035</v>
      </c>
      <c r="C28" s="32">
        <f>HLOOKUP(B28,'FOD Calculations'!D$6:BB$69,64)</f>
        <v>2359.6109689945501</v>
      </c>
      <c r="D28" s="32">
        <f>C28*'Input data'!$F$8</f>
        <v>1179.8054844972751</v>
      </c>
    </row>
    <row r="29" spans="2:5" x14ac:dyDescent="0.2">
      <c r="B29" s="31">
        <f t="shared" si="0"/>
        <v>2036</v>
      </c>
      <c r="C29" s="32">
        <f>HLOOKUP(B29,'FOD Calculations'!D$6:BB$69,64)</f>
        <v>2398.6373984536945</v>
      </c>
      <c r="D29" s="32">
        <f>C29*'Input data'!$F$8</f>
        <v>1199.3186992268472</v>
      </c>
    </row>
    <row r="30" spans="2:5" ht="14.25" customHeight="1" x14ac:dyDescent="0.2">
      <c r="B30" s="31">
        <f t="shared" si="0"/>
        <v>2037</v>
      </c>
      <c r="C30" s="32">
        <f>HLOOKUP(B30,'FOD Calculations'!D$6:BB$69,64)</f>
        <v>2436.8976979496633</v>
      </c>
      <c r="D30" s="32">
        <f>C30*'Input data'!$F$8</f>
        <v>1218.4488489748317</v>
      </c>
    </row>
    <row r="31" spans="2:5" ht="14.25" customHeight="1" x14ac:dyDescent="0.2">
      <c r="B31" s="31">
        <f t="shared" si="0"/>
        <v>2038</v>
      </c>
      <c r="C31" s="32">
        <f>HLOOKUP(B31,'FOD Calculations'!D$6:BB$69,64)</f>
        <v>2474.4902839852434</v>
      </c>
      <c r="D31" s="32">
        <f>C31*'Input data'!$F$8</f>
        <v>1237.2451419926217</v>
      </c>
    </row>
    <row r="32" spans="2:5" ht="14.25" customHeight="1" x14ac:dyDescent="0.2">
      <c r="B32" s="31">
        <f t="shared" si="0"/>
        <v>2039</v>
      </c>
      <c r="C32" s="32">
        <f>HLOOKUP(B32,'FOD Calculations'!D$6:BB$69,64)</f>
        <v>2511.4996615381324</v>
      </c>
      <c r="D32" s="32">
        <f>C32*'Input data'!$F$8</f>
        <v>1255.7498307690662</v>
      </c>
    </row>
    <row r="33" spans="2:16" ht="14.25" customHeight="1" x14ac:dyDescent="0.2">
      <c r="B33" s="31">
        <f t="shared" si="0"/>
        <v>2040</v>
      </c>
      <c r="C33" s="32">
        <f>HLOOKUP(B33,'FOD Calculations'!D$6:BB$69,64)</f>
        <v>2547.9996081526106</v>
      </c>
      <c r="D33" s="32">
        <f>C33*'Input data'!$F$8</f>
        <v>1273.9998040763053</v>
      </c>
    </row>
    <row r="34" spans="2:16" ht="14.25" customHeight="1" x14ac:dyDescent="0.2">
      <c r="B34" s="31">
        <f t="shared" si="0"/>
        <v>2041</v>
      </c>
      <c r="C34" s="32">
        <f>HLOOKUP(B34,'FOD Calculations'!D$6:BB$69,64)</f>
        <v>2584.0554376193932</v>
      </c>
      <c r="D34" s="32">
        <f>C34*'Input data'!$F$8</f>
        <v>1292.0277188096966</v>
      </c>
    </row>
    <row r="35" spans="2:16" ht="14.25" customHeight="1" x14ac:dyDescent="0.2">
      <c r="B35" s="31">
        <f t="shared" si="0"/>
        <v>2042</v>
      </c>
      <c r="C35" s="32">
        <f>HLOOKUP(B35,'FOD Calculations'!D$6:BB$69,64)</f>
        <v>2619.7256326577317</v>
      </c>
      <c r="D35" s="32">
        <f>C35*'Input data'!$F$8</f>
        <v>1309.8628163288658</v>
      </c>
    </row>
    <row r="36" spans="2:16" ht="11.25" customHeight="1" x14ac:dyDescent="0.2">
      <c r="B36" s="31">
        <f t="shared" si="0"/>
        <v>2043</v>
      </c>
      <c r="C36" s="32">
        <f>HLOOKUP(B36,'FOD Calculations'!D$6:BB$69,64)</f>
        <v>2655.0630423754064</v>
      </c>
      <c r="D36" s="32">
        <f>C36*'Input data'!$F$8</f>
        <v>1327.5315211877032</v>
      </c>
    </row>
    <row r="37" spans="2:16" ht="14.25" customHeight="1" x14ac:dyDescent="0.2">
      <c r="B37" s="31">
        <f t="shared" si="0"/>
        <v>2044</v>
      </c>
      <c r="C37" s="32">
        <f>HLOOKUP(B37,'FOD Calculations'!D$6:BB$69,64)</f>
        <v>2690.1157772651763</v>
      </c>
      <c r="D37" s="32">
        <f>C37*'Input data'!$F$8</f>
        <v>1345.0578886325882</v>
      </c>
    </row>
    <row r="38" spans="2:16" ht="14.25" customHeight="1" x14ac:dyDescent="0.2">
      <c r="B38" s="31">
        <f t="shared" si="0"/>
        <v>2045</v>
      </c>
      <c r="C38" s="32">
        <f>HLOOKUP(B38,'FOD Calculations'!D$6:BB$69,64)</f>
        <v>2724.9278920423858</v>
      </c>
      <c r="D38" s="32">
        <f>C38*'Input data'!$F$8</f>
        <v>1362.4639460211929</v>
      </c>
      <c r="I38" s="104"/>
    </row>
    <row r="39" spans="2:16" x14ac:dyDescent="0.2">
      <c r="B39" s="31">
        <f t="shared" si="0"/>
        <v>2046</v>
      </c>
      <c r="C39" s="32">
        <f>HLOOKUP(B39,'FOD Calculations'!D$6:BB$69,64)</f>
        <v>2759.5399179898363</v>
      </c>
      <c r="D39" s="32">
        <f>C39*'Input data'!$F$8</f>
        <v>1379.7699589949182</v>
      </c>
      <c r="H39" s="110"/>
      <c r="I39" s="110"/>
    </row>
    <row r="40" spans="2:16" ht="12.75" customHeight="1" x14ac:dyDescent="0.2">
      <c r="B40" s="31">
        <f t="shared" si="0"/>
        <v>2047</v>
      </c>
      <c r="C40" s="32">
        <f>HLOOKUP(B40,'FOD Calculations'!D$6:BB$69,64)</f>
        <v>2793.9892871247685</v>
      </c>
      <c r="D40" s="32">
        <f>C40*'Input data'!$F$8</f>
        <v>1396.9946435623842</v>
      </c>
      <c r="H40" s="38"/>
      <c r="I40" s="38"/>
      <c r="P40" s="21"/>
    </row>
    <row r="41" spans="2:16" x14ac:dyDescent="0.2">
      <c r="B41" s="31">
        <f t="shared" si="0"/>
        <v>2048</v>
      </c>
      <c r="C41" s="32">
        <f>HLOOKUP(B41,'FOD Calculations'!D$6:BB$69,64)</f>
        <v>2828.310677399581</v>
      </c>
      <c r="D41" s="32">
        <f>C41*'Input data'!$F$8</f>
        <v>1414.1553386997905</v>
      </c>
      <c r="H41" s="105"/>
      <c r="I41" s="106"/>
      <c r="J41" s="103"/>
      <c r="P41" s="21"/>
    </row>
    <row r="42" spans="2:16" ht="12" customHeight="1" x14ac:dyDescent="0.2">
      <c r="B42" s="31">
        <f t="shared" si="0"/>
        <v>2049</v>
      </c>
      <c r="C42" s="32">
        <f>HLOOKUP(B42,'FOD Calculations'!D$6:BB$69,64)</f>
        <v>2862.5362992519899</v>
      </c>
      <c r="D42" s="32">
        <f>C42*'Input data'!$F$8</f>
        <v>1431.268149625995</v>
      </c>
      <c r="H42" s="105"/>
      <c r="I42" s="106"/>
      <c r="P42" s="21"/>
    </row>
    <row r="43" spans="2:16" ht="12" customHeight="1" x14ac:dyDescent="0.2">
      <c r="B43" s="31">
        <f t="shared" si="0"/>
        <v>2050</v>
      </c>
      <c r="C43" s="32">
        <f>HLOOKUP(B43,'FOD Calculations'!D$6:BB$69,64)</f>
        <v>2896.6961377609632</v>
      </c>
      <c r="D43" s="32">
        <f>C43*'Input data'!$F$8</f>
        <v>1448.3480688804816</v>
      </c>
      <c r="H43" s="105"/>
      <c r="I43" s="106"/>
      <c r="P43" s="21"/>
    </row>
    <row r="44" spans="2:16" ht="12" customHeight="1" x14ac:dyDescent="0.25">
      <c r="B44" s="262"/>
      <c r="C44" s="262"/>
      <c r="D44" s="262"/>
      <c r="H44" s="105"/>
      <c r="I44" s="106"/>
      <c r="P44" s="21"/>
    </row>
    <row r="45" spans="2:16" ht="12" customHeight="1" x14ac:dyDescent="0.25">
      <c r="B45" s="262"/>
      <c r="C45" s="262"/>
      <c r="D45" s="262"/>
      <c r="H45" s="105"/>
      <c r="I45" s="106"/>
      <c r="P45" s="21"/>
    </row>
    <row r="46" spans="2:16" x14ac:dyDescent="0.2">
      <c r="D46" s="1"/>
      <c r="H46" s="105"/>
      <c r="I46" s="106"/>
      <c r="P46" s="21"/>
    </row>
    <row r="47" spans="2:16" x14ac:dyDescent="0.2">
      <c r="D47" s="1"/>
      <c r="H47" s="105"/>
      <c r="I47" s="106"/>
      <c r="P47" s="21"/>
    </row>
    <row r="48" spans="2:16" x14ac:dyDescent="0.2">
      <c r="D48" s="1"/>
      <c r="H48" s="105"/>
      <c r="I48" s="106"/>
      <c r="J48" s="103"/>
      <c r="P48" s="21"/>
    </row>
    <row r="49" spans="4:16" x14ac:dyDescent="0.2">
      <c r="D49" s="1"/>
      <c r="H49" s="38"/>
      <c r="I49" s="107"/>
      <c r="P49" s="21"/>
    </row>
    <row r="50" spans="4:16" x14ac:dyDescent="0.2">
      <c r="D50" s="1"/>
      <c r="H50" s="111"/>
      <c r="I50" s="108"/>
      <c r="P50" s="21"/>
    </row>
    <row r="51" spans="4:16" x14ac:dyDescent="0.2">
      <c r="D51" s="1"/>
      <c r="H51" s="111"/>
      <c r="I51" s="109"/>
      <c r="P51" s="21"/>
    </row>
    <row r="52" spans="4:16" x14ac:dyDescent="0.2">
      <c r="D52" s="1"/>
      <c r="P52" s="21"/>
    </row>
    <row r="53" spans="4:16" x14ac:dyDescent="0.2">
      <c r="D53" s="1"/>
      <c r="P53" s="21"/>
    </row>
    <row r="54" spans="4:16" x14ac:dyDescent="0.2">
      <c r="D54" s="1"/>
      <c r="P54" s="21"/>
    </row>
    <row r="55" spans="4:16" x14ac:dyDescent="0.2">
      <c r="D55" s="1"/>
    </row>
  </sheetData>
  <sheetProtection formatCells="0" formatColumns="0" formatRows="0" autoFilter="0"/>
  <mergeCells count="1">
    <mergeCell ref="A2:O2"/>
  </mergeCells>
  <phoneticPr fontId="5" type="noConversion"/>
  <pageMargins left="0.45" right="0.38" top="0.984251969" bottom="0.984251969" header="0.5" footer="0.5"/>
  <pageSetup paperSize="9" scale="72"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97676-F8D1-444D-B3E7-81BF483BC1B4}">
  <dimension ref="A1:I66"/>
  <sheetViews>
    <sheetView zoomScale="80" zoomScaleNormal="80" workbookViewId="0">
      <selection activeCell="Q20" sqref="Q20"/>
    </sheetView>
  </sheetViews>
  <sheetFormatPr defaultRowHeight="15.75" x14ac:dyDescent="0.25"/>
  <cols>
    <col min="1" max="1" width="19.5" customWidth="1"/>
    <col min="2" max="2" width="11.875" customWidth="1"/>
    <col min="3" max="3" width="12.75" customWidth="1"/>
    <col min="4" max="4" width="13.125" customWidth="1"/>
    <col min="5" max="6" width="12.75" customWidth="1"/>
    <col min="7" max="7" width="13.25" customWidth="1"/>
    <col min="8" max="8" width="12.875" customWidth="1"/>
  </cols>
  <sheetData>
    <row r="1" spans="1:9" x14ac:dyDescent="0.25">
      <c r="A1" s="176"/>
      <c r="B1" s="176"/>
      <c r="C1" s="176"/>
      <c r="D1" s="176"/>
      <c r="E1" s="176"/>
      <c r="F1" s="176"/>
      <c r="G1" s="176"/>
      <c r="H1" s="176"/>
      <c r="I1" s="176"/>
    </row>
    <row r="2" spans="1:9" x14ac:dyDescent="0.25">
      <c r="A2" s="330" t="s">
        <v>152</v>
      </c>
      <c r="B2" s="331"/>
      <c r="C2" s="331"/>
      <c r="D2" s="331"/>
      <c r="E2" s="331"/>
      <c r="F2" s="331"/>
      <c r="G2" s="331"/>
      <c r="H2" s="331"/>
      <c r="I2" s="331"/>
    </row>
    <row r="3" spans="1:9" x14ac:dyDescent="0.25">
      <c r="A3" s="176"/>
      <c r="B3" s="176"/>
      <c r="C3" s="178"/>
      <c r="D3" s="178"/>
      <c r="E3" s="178"/>
      <c r="F3" s="178"/>
      <c r="G3" s="177"/>
      <c r="H3" s="176"/>
      <c r="I3" s="176"/>
    </row>
    <row r="4" spans="1:9" x14ac:dyDescent="0.25">
      <c r="A4" s="179"/>
      <c r="B4" s="178"/>
      <c r="C4" s="178"/>
      <c r="D4" s="178"/>
      <c r="E4" s="178"/>
      <c r="F4" s="178"/>
      <c r="G4" s="176"/>
      <c r="H4" s="176"/>
      <c r="I4" s="176"/>
    </row>
    <row r="5" spans="1:9" ht="76.5" x14ac:dyDescent="0.25">
      <c r="A5" s="180" t="s">
        <v>0</v>
      </c>
      <c r="B5" s="181" t="s">
        <v>130</v>
      </c>
      <c r="C5" s="181" t="s">
        <v>131</v>
      </c>
      <c r="D5" s="182" t="s">
        <v>132</v>
      </c>
      <c r="E5" s="183" t="s">
        <v>133</v>
      </c>
      <c r="F5" s="184" t="s">
        <v>134</v>
      </c>
      <c r="G5" s="181" t="s">
        <v>135</v>
      </c>
      <c r="H5" s="181" t="s">
        <v>136</v>
      </c>
      <c r="I5" s="176"/>
    </row>
    <row r="6" spans="1:9" x14ac:dyDescent="0.25">
      <c r="A6" s="185"/>
      <c r="B6" s="186" t="s">
        <v>137</v>
      </c>
      <c r="C6" s="187">
        <f>+'Input data'!F8</f>
        <v>0.5</v>
      </c>
      <c r="D6" s="188" t="s">
        <v>138</v>
      </c>
      <c r="E6" s="189" t="s">
        <v>23</v>
      </c>
      <c r="F6" s="190"/>
      <c r="G6" s="191" t="s">
        <v>139</v>
      </c>
      <c r="H6" s="190" t="s">
        <v>140</v>
      </c>
      <c r="I6" s="176"/>
    </row>
    <row r="7" spans="1:9" x14ac:dyDescent="0.25">
      <c r="A7" s="192">
        <f>+'LFG generation and capture'!B6</f>
        <v>2013</v>
      </c>
      <c r="B7" s="193">
        <f>+'LFG generation and capture'!C6</f>
        <v>114.07661879302309</v>
      </c>
      <c r="C7" s="193">
        <f>B7*$C$6</f>
        <v>57.038309396511544</v>
      </c>
      <c r="D7" s="194">
        <f t="shared" ref="D7:D40" si="0">+$B$53*$B$55*$B$57*$B$59/3600*C7</f>
        <v>114.47816849117454</v>
      </c>
      <c r="E7" s="195">
        <f>$B$62*F7</f>
        <v>0</v>
      </c>
      <c r="F7" s="196">
        <v>0</v>
      </c>
      <c r="G7" s="197">
        <f>MIN(E7,D7)*$B$47*24*365</f>
        <v>0</v>
      </c>
      <c r="H7" s="193">
        <f>+G7*$B$64/1000</f>
        <v>0</v>
      </c>
      <c r="I7" s="176"/>
    </row>
    <row r="8" spans="1:9" x14ac:dyDescent="0.25">
      <c r="A8" s="192">
        <f>+'LFG generation and capture'!B7</f>
        <v>2014</v>
      </c>
      <c r="B8" s="193">
        <f>+'LFG generation and capture'!C7</f>
        <v>321.76038472158945</v>
      </c>
      <c r="C8" s="193">
        <f t="shared" ref="C8:C40" si="1">B8*$C$6</f>
        <v>160.88019236079472</v>
      </c>
      <c r="D8" s="194">
        <f t="shared" si="0"/>
        <v>322.89298127580952</v>
      </c>
      <c r="E8" s="195">
        <f t="shared" ref="E8:E40" si="2">$B$62*F8</f>
        <v>0</v>
      </c>
      <c r="F8" s="196">
        <v>0</v>
      </c>
      <c r="G8" s="197">
        <f t="shared" ref="G8:G39" si="3">MIN(E8,D8)*$B$47*24*365</f>
        <v>0</v>
      </c>
      <c r="H8" s="193">
        <f t="shared" ref="H8:H40" si="4">+G8*$B$64/1000</f>
        <v>0</v>
      </c>
      <c r="I8" s="176"/>
    </row>
    <row r="9" spans="1:9" x14ac:dyDescent="0.25">
      <c r="A9" s="192">
        <f>+'LFG generation and capture'!B8</f>
        <v>2015</v>
      </c>
      <c r="B9" s="193">
        <f>+'LFG generation and capture'!C8</f>
        <v>473.60716179217997</v>
      </c>
      <c r="C9" s="193">
        <f t="shared" si="1"/>
        <v>236.80358089608998</v>
      </c>
      <c r="D9" s="194">
        <f t="shared" si="0"/>
        <v>475.27425900168851</v>
      </c>
      <c r="E9" s="195">
        <f t="shared" si="2"/>
        <v>0</v>
      </c>
      <c r="F9" s="196">
        <v>0</v>
      </c>
      <c r="G9" s="197">
        <f t="shared" si="3"/>
        <v>0</v>
      </c>
      <c r="H9" s="193">
        <f t="shared" si="4"/>
        <v>0</v>
      </c>
      <c r="I9" s="176"/>
    </row>
    <row r="10" spans="1:9" x14ac:dyDescent="0.25">
      <c r="A10" s="192">
        <f>+'LFG generation and capture'!B9</f>
        <v>2016</v>
      </c>
      <c r="B10" s="193">
        <f>+'LFG generation and capture'!C9</f>
        <v>586.18265845794463</v>
      </c>
      <c r="C10" s="193">
        <f t="shared" si="1"/>
        <v>293.09132922897231</v>
      </c>
      <c r="D10" s="194">
        <f t="shared" si="0"/>
        <v>588.24602141571665</v>
      </c>
      <c r="E10" s="195">
        <f t="shared" si="2"/>
        <v>0</v>
      </c>
      <c r="F10" s="196">
        <v>0</v>
      </c>
      <c r="G10" s="197">
        <f t="shared" si="3"/>
        <v>0</v>
      </c>
      <c r="H10" s="193">
        <f t="shared" si="4"/>
        <v>0</v>
      </c>
      <c r="I10" s="176"/>
    </row>
    <row r="11" spans="1:9" x14ac:dyDescent="0.25">
      <c r="A11" s="192">
        <f>+'LFG generation and capture'!B10</f>
        <v>2017</v>
      </c>
      <c r="B11" s="193">
        <f>+'LFG generation and capture'!C10</f>
        <v>685.98452831583154</v>
      </c>
      <c r="C11" s="193">
        <f t="shared" si="1"/>
        <v>342.99226415791577</v>
      </c>
      <c r="D11" s="194">
        <f t="shared" si="0"/>
        <v>688.39919385550343</v>
      </c>
      <c r="E11" s="195">
        <f t="shared" si="2"/>
        <v>0</v>
      </c>
      <c r="F11" s="196">
        <v>0</v>
      </c>
      <c r="G11" s="197">
        <f t="shared" si="3"/>
        <v>0</v>
      </c>
      <c r="H11" s="193">
        <f t="shared" si="4"/>
        <v>0</v>
      </c>
      <c r="I11" s="176"/>
    </row>
    <row r="12" spans="1:9" x14ac:dyDescent="0.25">
      <c r="A12" s="192">
        <f>+'LFG generation and capture'!B11</f>
        <v>2018</v>
      </c>
      <c r="B12" s="193">
        <f>+'LFG generation and capture'!C11</f>
        <v>843.95900392153783</v>
      </c>
      <c r="C12" s="193">
        <f t="shared" si="1"/>
        <v>421.97950196076891</v>
      </c>
      <c r="D12" s="194">
        <f t="shared" si="0"/>
        <v>846.92973961534176</v>
      </c>
      <c r="E12" s="195">
        <f t="shared" si="2"/>
        <v>0</v>
      </c>
      <c r="F12" s="196">
        <v>0</v>
      </c>
      <c r="G12" s="197">
        <f t="shared" si="3"/>
        <v>0</v>
      </c>
      <c r="H12" s="193">
        <f t="shared" si="4"/>
        <v>0</v>
      </c>
      <c r="I12" s="176"/>
    </row>
    <row r="13" spans="1:9" x14ac:dyDescent="0.25">
      <c r="A13" s="192">
        <f>+'LFG generation and capture'!B12</f>
        <v>2019</v>
      </c>
      <c r="B13" s="193">
        <f>+'LFG generation and capture'!C12</f>
        <v>1097.7922876375667</v>
      </c>
      <c r="C13" s="193">
        <f t="shared" si="1"/>
        <v>548.89614381878334</v>
      </c>
      <c r="D13" s="194">
        <f t="shared" si="0"/>
        <v>1101.6565164900512</v>
      </c>
      <c r="E13" s="195">
        <f t="shared" si="2"/>
        <v>0</v>
      </c>
      <c r="F13" s="196">
        <v>0</v>
      </c>
      <c r="G13" s="197">
        <f t="shared" si="3"/>
        <v>0</v>
      </c>
      <c r="H13" s="193">
        <f t="shared" si="4"/>
        <v>0</v>
      </c>
      <c r="I13" s="176"/>
    </row>
    <row r="14" spans="1:9" x14ac:dyDescent="0.25">
      <c r="A14" s="192">
        <f>+'LFG generation and capture'!B13</f>
        <v>2020</v>
      </c>
      <c r="B14" s="193">
        <f>+'LFG generation and capture'!C13</f>
        <v>1313.3306229875172</v>
      </c>
      <c r="C14" s="193">
        <f t="shared" si="1"/>
        <v>656.66531149375862</v>
      </c>
      <c r="D14" s="194">
        <f t="shared" si="0"/>
        <v>1317.9535467804335</v>
      </c>
      <c r="E14" s="195">
        <f t="shared" si="2"/>
        <v>0</v>
      </c>
      <c r="F14" s="196">
        <v>0</v>
      </c>
      <c r="G14" s="197">
        <f t="shared" si="3"/>
        <v>0</v>
      </c>
      <c r="H14" s="193">
        <f t="shared" si="4"/>
        <v>0</v>
      </c>
      <c r="I14" s="176"/>
    </row>
    <row r="15" spans="1:9" x14ac:dyDescent="0.25">
      <c r="A15" s="192">
        <f>+'LFG generation and capture'!B14</f>
        <v>2021</v>
      </c>
      <c r="B15" s="193">
        <f>+'LFG generation and capture'!C14</f>
        <v>1522.4226005083228</v>
      </c>
      <c r="C15" s="193">
        <f t="shared" si="1"/>
        <v>761.21130025416142</v>
      </c>
      <c r="D15" s="194">
        <f t="shared" si="0"/>
        <v>1527.7815280621123</v>
      </c>
      <c r="E15" s="195">
        <f t="shared" si="2"/>
        <v>0</v>
      </c>
      <c r="F15" s="196">
        <v>0</v>
      </c>
      <c r="G15" s="197">
        <f t="shared" si="3"/>
        <v>0</v>
      </c>
      <c r="H15" s="193">
        <f t="shared" si="4"/>
        <v>0</v>
      </c>
      <c r="I15" s="176"/>
    </row>
    <row r="16" spans="1:9" x14ac:dyDescent="0.25">
      <c r="A16" s="192">
        <f>+'LFG generation and capture'!B15</f>
        <v>2022</v>
      </c>
      <c r="B16" s="193">
        <f>+'LFG generation and capture'!C15</f>
        <v>1592.6639691004564</v>
      </c>
      <c r="C16" s="193">
        <f t="shared" si="1"/>
        <v>796.33198455022819</v>
      </c>
      <c r="D16" s="194">
        <f t="shared" si="0"/>
        <v>1598.2701462716902</v>
      </c>
      <c r="E16" s="195">
        <f t="shared" si="2"/>
        <v>0</v>
      </c>
      <c r="F16" s="196">
        <v>0</v>
      </c>
      <c r="G16" s="197">
        <f t="shared" si="3"/>
        <v>0</v>
      </c>
      <c r="H16" s="193">
        <f t="shared" si="4"/>
        <v>0</v>
      </c>
      <c r="I16" s="176"/>
    </row>
    <row r="17" spans="1:9" x14ac:dyDescent="0.25">
      <c r="A17" s="192">
        <f>+'LFG generation and capture'!B16</f>
        <v>2023</v>
      </c>
      <c r="B17" s="193">
        <f>+'LFG generation and capture'!C16</f>
        <v>1720.5507595830738</v>
      </c>
      <c r="C17" s="193">
        <f t="shared" si="1"/>
        <v>860.27537979153692</v>
      </c>
      <c r="D17" s="194">
        <f t="shared" si="0"/>
        <v>1726.6070982568067</v>
      </c>
      <c r="E17" s="195">
        <f t="shared" si="2"/>
        <v>1426</v>
      </c>
      <c r="F17" s="196">
        <v>1</v>
      </c>
      <c r="G17" s="197">
        <f t="shared" si="3"/>
        <v>10617996</v>
      </c>
      <c r="H17" s="193">
        <f t="shared" si="4"/>
        <v>6668101.4879999999</v>
      </c>
      <c r="I17" s="176"/>
    </row>
    <row r="18" spans="1:9" x14ac:dyDescent="0.25">
      <c r="A18" s="192">
        <f>+'LFG generation and capture'!B17</f>
        <v>2024</v>
      </c>
      <c r="B18" s="193">
        <f>+'LFG generation and capture'!C17</f>
        <v>1803.5531993382758</v>
      </c>
      <c r="C18" s="193">
        <f t="shared" si="1"/>
        <v>901.77659966913791</v>
      </c>
      <c r="D18" s="194">
        <f t="shared" si="0"/>
        <v>1809.9017065999469</v>
      </c>
      <c r="E18" s="195">
        <f t="shared" si="2"/>
        <v>1426</v>
      </c>
      <c r="F18" s="196">
        <v>1</v>
      </c>
      <c r="G18" s="197">
        <f t="shared" si="3"/>
        <v>10617996</v>
      </c>
      <c r="H18" s="193">
        <f t="shared" si="4"/>
        <v>6668101.4879999999</v>
      </c>
      <c r="I18" s="176"/>
    </row>
    <row r="19" spans="1:9" x14ac:dyDescent="0.25">
      <c r="A19" s="192">
        <f>+'LFG generation and capture'!B18</f>
        <v>2025</v>
      </c>
      <c r="B19" s="193">
        <f>+'LFG generation and capture'!C18</f>
        <v>1875.3694444209575</v>
      </c>
      <c r="C19" s="193">
        <f t="shared" si="1"/>
        <v>937.68472221047875</v>
      </c>
      <c r="D19" s="194">
        <f t="shared" si="0"/>
        <v>1881.9707448653196</v>
      </c>
      <c r="E19" s="195">
        <f t="shared" si="2"/>
        <v>2852</v>
      </c>
      <c r="F19" s="196">
        <v>2</v>
      </c>
      <c r="G19" s="197">
        <f t="shared" si="3"/>
        <v>14013154.16626717</v>
      </c>
      <c r="H19" s="193">
        <f t="shared" si="4"/>
        <v>8800260.816415783</v>
      </c>
      <c r="I19" s="176"/>
    </row>
    <row r="20" spans="1:9" x14ac:dyDescent="0.25">
      <c r="A20" s="192">
        <f>+'LFG generation and capture'!B19</f>
        <v>2026</v>
      </c>
      <c r="B20" s="193">
        <f>+'LFG generation and capture'!C19</f>
        <v>1939.1225220273698</v>
      </c>
      <c r="C20" s="193">
        <f t="shared" si="1"/>
        <v>969.56126101368488</v>
      </c>
      <c r="D20" s="194">
        <f t="shared" si="0"/>
        <v>1945.9482333049066</v>
      </c>
      <c r="E20" s="195">
        <f t="shared" si="2"/>
        <v>2852</v>
      </c>
      <c r="F20" s="196">
        <v>2</v>
      </c>
      <c r="G20" s="197">
        <f t="shared" si="3"/>
        <v>14489530.545188332</v>
      </c>
      <c r="H20" s="193">
        <f t="shared" si="4"/>
        <v>9099425.1823782735</v>
      </c>
      <c r="I20" s="176"/>
    </row>
    <row r="21" spans="1:9" x14ac:dyDescent="0.25">
      <c r="A21" s="192">
        <f>+'LFG generation and capture'!B20</f>
        <v>2027</v>
      </c>
      <c r="B21" s="193">
        <f>+'LFG generation and capture'!C20</f>
        <v>1996.9606664577823</v>
      </c>
      <c r="C21" s="193">
        <f t="shared" si="1"/>
        <v>998.48033322889114</v>
      </c>
      <c r="D21" s="194">
        <f t="shared" si="0"/>
        <v>2003.989968003714</v>
      </c>
      <c r="E21" s="195">
        <f t="shared" si="2"/>
        <v>2852</v>
      </c>
      <c r="F21" s="196">
        <v>2</v>
      </c>
      <c r="G21" s="197">
        <f t="shared" si="3"/>
        <v>14921709.301755654</v>
      </c>
      <c r="H21" s="193">
        <f t="shared" si="4"/>
        <v>9370833.4415025506</v>
      </c>
      <c r="I21" s="176"/>
    </row>
    <row r="22" spans="1:9" x14ac:dyDescent="0.25">
      <c r="A22" s="192">
        <f>+'LFG generation and capture'!B21</f>
        <v>2028</v>
      </c>
      <c r="B22" s="193">
        <f>+'LFG generation and capture'!C21</f>
        <v>2050.3733782810145</v>
      </c>
      <c r="C22" s="193">
        <f t="shared" si="1"/>
        <v>1025.1866891405073</v>
      </c>
      <c r="D22" s="194">
        <f t="shared" si="0"/>
        <v>2057.590692572564</v>
      </c>
      <c r="E22" s="195">
        <f t="shared" si="2"/>
        <v>2852</v>
      </c>
      <c r="F22" s="196">
        <v>2</v>
      </c>
      <c r="G22" s="197">
        <f t="shared" si="3"/>
        <v>15320820.296895312</v>
      </c>
      <c r="H22" s="193">
        <f t="shared" si="4"/>
        <v>9621475.1464502569</v>
      </c>
      <c r="I22" s="176"/>
    </row>
    <row r="23" spans="1:9" x14ac:dyDescent="0.25">
      <c r="A23" s="192">
        <f>+'LFG generation and capture'!B22</f>
        <v>2029</v>
      </c>
      <c r="B23" s="193">
        <f>+'LFG generation and capture'!C22</f>
        <v>2100.4039050392239</v>
      </c>
      <c r="C23" s="193">
        <f t="shared" si="1"/>
        <v>1050.201952519612</v>
      </c>
      <c r="D23" s="194">
        <f t="shared" si="0"/>
        <v>2107.7973267849625</v>
      </c>
      <c r="E23" s="195">
        <f t="shared" si="2"/>
        <v>2852</v>
      </c>
      <c r="F23" s="196">
        <v>2</v>
      </c>
      <c r="G23" s="197">
        <f t="shared" si="3"/>
        <v>15694658.895240828</v>
      </c>
      <c r="H23" s="193">
        <f t="shared" si="4"/>
        <v>9856245.786211241</v>
      </c>
      <c r="I23" s="176"/>
    </row>
    <row r="24" spans="1:9" x14ac:dyDescent="0.25">
      <c r="A24" s="192">
        <f>+'LFG generation and capture'!B23</f>
        <v>2030</v>
      </c>
      <c r="B24" s="193">
        <f>+'LFG generation and capture'!C23</f>
        <v>2147.792208638371</v>
      </c>
      <c r="C24" s="193">
        <f t="shared" si="1"/>
        <v>1073.8961043191855</v>
      </c>
      <c r="D24" s="194">
        <f t="shared" si="0"/>
        <v>2155.3524372127786</v>
      </c>
      <c r="E24" s="195">
        <f t="shared" si="2"/>
        <v>2852</v>
      </c>
      <c r="F24" s="196">
        <v>2</v>
      </c>
      <c r="G24" s="197">
        <f t="shared" si="3"/>
        <v>16048754.247486349</v>
      </c>
      <c r="H24" s="193">
        <f t="shared" si="4"/>
        <v>10078617.667421427</v>
      </c>
      <c r="I24" s="176"/>
    </row>
    <row r="25" spans="1:9" x14ac:dyDescent="0.25">
      <c r="A25" s="192">
        <f>+'LFG generation and capture'!B24</f>
        <v>2031</v>
      </c>
      <c r="B25" s="193">
        <f>+'LFG generation and capture'!C24</f>
        <v>2193.0712659199698</v>
      </c>
      <c r="C25" s="193">
        <f t="shared" si="1"/>
        <v>1096.5356329599849</v>
      </c>
      <c r="D25" s="194">
        <f t="shared" si="0"/>
        <v>2200.7908767760086</v>
      </c>
      <c r="E25" s="195">
        <f t="shared" si="2"/>
        <v>2852</v>
      </c>
      <c r="F25" s="196">
        <v>2</v>
      </c>
      <c r="G25" s="197">
        <f t="shared" si="3"/>
        <v>16387088.868474158</v>
      </c>
      <c r="H25" s="193">
        <f t="shared" si="4"/>
        <v>10291091.809401771</v>
      </c>
      <c r="I25" s="176"/>
    </row>
    <row r="26" spans="1:9" x14ac:dyDescent="0.25">
      <c r="A26" s="192">
        <f>+'LFG generation and capture'!B25</f>
        <v>2032</v>
      </c>
      <c r="B26" s="193">
        <f>+'LFG generation and capture'!C25</f>
        <v>2236.6320270217216</v>
      </c>
      <c r="C26" s="193">
        <f t="shared" si="1"/>
        <v>1118.3160135108608</v>
      </c>
      <c r="D26" s="194">
        <f t="shared" si="0"/>
        <v>2244.5049717568386</v>
      </c>
      <c r="E26" s="195">
        <f t="shared" si="2"/>
        <v>2852</v>
      </c>
      <c r="F26" s="196">
        <v>2</v>
      </c>
      <c r="G26" s="197">
        <f t="shared" si="3"/>
        <v>16712584.019701419</v>
      </c>
      <c r="H26" s="193">
        <f t="shared" si="4"/>
        <v>10495502.764372492</v>
      </c>
      <c r="I26" s="176"/>
    </row>
    <row r="27" spans="1:9" x14ac:dyDescent="0.25">
      <c r="A27" s="192">
        <f>+'LFG generation and capture'!B26</f>
        <v>2033</v>
      </c>
      <c r="B27" s="193">
        <f>+'LFG generation and capture'!C26</f>
        <v>2278.767312537464</v>
      </c>
      <c r="C27" s="193">
        <f t="shared" si="1"/>
        <v>1139.383656268732</v>
      </c>
      <c r="D27" s="194">
        <f t="shared" si="0"/>
        <v>2286.7885734775964</v>
      </c>
      <c r="E27" s="195">
        <f t="shared" si="2"/>
        <v>2852</v>
      </c>
      <c r="F27" s="196">
        <v>2</v>
      </c>
      <c r="G27" s="197">
        <f t="shared" si="3"/>
        <v>17027427.718114182</v>
      </c>
      <c r="H27" s="193">
        <f t="shared" si="4"/>
        <v>10693224.606975706</v>
      </c>
      <c r="I27" s="176"/>
    </row>
    <row r="28" spans="1:9" x14ac:dyDescent="0.25">
      <c r="A28" s="192">
        <f>+'LFG generation and capture'!B27</f>
        <v>2034</v>
      </c>
      <c r="B28" s="193">
        <f>+'LFG generation and capture'!C27</f>
        <v>2319.7015483720324</v>
      </c>
      <c r="C28" s="193">
        <f t="shared" si="1"/>
        <v>1159.8507741860162</v>
      </c>
      <c r="D28" s="194">
        <f t="shared" si="0"/>
        <v>2327.8668978223022</v>
      </c>
      <c r="E28" s="195">
        <f t="shared" si="2"/>
        <v>2852</v>
      </c>
      <c r="F28" s="196">
        <v>2</v>
      </c>
      <c r="G28" s="197">
        <f t="shared" si="3"/>
        <v>17333296.921184864</v>
      </c>
      <c r="H28" s="193">
        <f t="shared" si="4"/>
        <v>10885310.466504095</v>
      </c>
      <c r="I28" s="176"/>
    </row>
    <row r="29" spans="1:9" x14ac:dyDescent="0.25">
      <c r="A29" s="192">
        <f>+'LFG generation and capture'!B28</f>
        <v>2035</v>
      </c>
      <c r="B29" s="193">
        <f>+'LFG generation and capture'!C28</f>
        <v>2359.6109689945501</v>
      </c>
      <c r="C29" s="193">
        <f t="shared" si="1"/>
        <v>1179.8054844972751</v>
      </c>
      <c r="D29" s="194">
        <f t="shared" si="0"/>
        <v>2367.9167996054116</v>
      </c>
      <c r="E29" s="195">
        <f t="shared" si="2"/>
        <v>2852</v>
      </c>
      <c r="F29" s="196">
        <v>2</v>
      </c>
      <c r="G29" s="197">
        <f t="shared" si="3"/>
        <v>17631508.489861894</v>
      </c>
      <c r="H29" s="193">
        <f t="shared" si="4"/>
        <v>11072587.33163327</v>
      </c>
      <c r="I29" s="176"/>
    </row>
    <row r="30" spans="1:9" x14ac:dyDescent="0.25">
      <c r="A30" s="192">
        <f>+'LFG generation and capture'!B29</f>
        <v>2036</v>
      </c>
      <c r="B30" s="193">
        <f>+'LFG generation and capture'!C29</f>
        <v>2398.6373984536945</v>
      </c>
      <c r="C30" s="193">
        <f t="shared" si="1"/>
        <v>1199.3186992268472</v>
      </c>
      <c r="D30" s="194">
        <f t="shared" si="0"/>
        <v>2407.0806020962518</v>
      </c>
      <c r="E30" s="195">
        <f t="shared" si="2"/>
        <v>2852</v>
      </c>
      <c r="F30" s="196">
        <v>2</v>
      </c>
      <c r="G30" s="197">
        <f t="shared" si="3"/>
        <v>17923122.16320869</v>
      </c>
      <c r="H30" s="193">
        <f t="shared" si="4"/>
        <v>11255720.718495056</v>
      </c>
      <c r="I30" s="176"/>
    </row>
    <row r="31" spans="1:9" x14ac:dyDescent="0.25">
      <c r="A31" s="192">
        <f>+'LFG generation and capture'!B30</f>
        <v>2037</v>
      </c>
      <c r="B31" s="193">
        <f>+'LFG generation and capture'!C30</f>
        <v>2436.8976979496633</v>
      </c>
      <c r="C31" s="193">
        <f t="shared" si="1"/>
        <v>1218.4488489748317</v>
      </c>
      <c r="D31" s="194">
        <f t="shared" si="0"/>
        <v>2445.4755778464464</v>
      </c>
      <c r="E31" s="195">
        <f t="shared" si="2"/>
        <v>2852</v>
      </c>
      <c r="F31" s="196">
        <v>2</v>
      </c>
      <c r="G31" s="197">
        <f t="shared" si="3"/>
        <v>18209011.152644642</v>
      </c>
      <c r="H31" s="193">
        <f t="shared" si="4"/>
        <v>11435259.003860835</v>
      </c>
      <c r="I31" s="176"/>
    </row>
    <row r="32" spans="1:9" x14ac:dyDescent="0.25">
      <c r="A32" s="192">
        <f>+'LFG generation and capture'!B31</f>
        <v>2038</v>
      </c>
      <c r="B32" s="193">
        <f>+'LFG generation and capture'!C31</f>
        <v>2474.4902839852434</v>
      </c>
      <c r="C32" s="193">
        <f t="shared" si="1"/>
        <v>1237.2451419926217</v>
      </c>
      <c r="D32" s="194">
        <f t="shared" si="0"/>
        <v>2483.2004897848719</v>
      </c>
      <c r="E32" s="195">
        <f t="shared" si="2"/>
        <v>2852</v>
      </c>
      <c r="F32" s="196">
        <v>2</v>
      </c>
      <c r="G32" s="197">
        <f t="shared" si="3"/>
        <v>18489910.846938156</v>
      </c>
      <c r="H32" s="193">
        <f t="shared" si="4"/>
        <v>11611664.011877161</v>
      </c>
      <c r="I32" s="176"/>
    </row>
    <row r="33" spans="1:9" x14ac:dyDescent="0.25">
      <c r="A33" s="192">
        <f>+'LFG generation and capture'!B32</f>
        <v>2039</v>
      </c>
      <c r="B33" s="193">
        <f>+'LFG generation and capture'!C32</f>
        <v>2511.4996615381324</v>
      </c>
      <c r="C33" s="193">
        <f t="shared" si="1"/>
        <v>1255.7498307690662</v>
      </c>
      <c r="D33" s="194">
        <f t="shared" si="0"/>
        <v>2520.3401403467469</v>
      </c>
      <c r="E33" s="195">
        <f t="shared" si="2"/>
        <v>2852</v>
      </c>
      <c r="F33" s="196">
        <v>2</v>
      </c>
      <c r="G33" s="197">
        <f t="shared" si="3"/>
        <v>18766452.685021877</v>
      </c>
      <c r="H33" s="193">
        <f t="shared" si="4"/>
        <v>11785332.28619374</v>
      </c>
      <c r="I33" s="176"/>
    </row>
    <row r="34" spans="1:9" x14ac:dyDescent="0.25">
      <c r="A34" s="192">
        <f>+'LFG generation and capture'!B33</f>
        <v>2040</v>
      </c>
      <c r="B34" s="193">
        <f>+'LFG generation and capture'!C33</f>
        <v>2547.9996081526106</v>
      </c>
      <c r="C34" s="193">
        <f t="shared" si="1"/>
        <v>1273.9998040763053</v>
      </c>
      <c r="D34" s="194">
        <f t="shared" si="0"/>
        <v>2556.9685667733083</v>
      </c>
      <c r="E34" s="195">
        <f t="shared" si="2"/>
        <v>2852</v>
      </c>
      <c r="F34" s="196">
        <v>2</v>
      </c>
      <c r="G34" s="197">
        <f t="shared" si="3"/>
        <v>19039187.948194053</v>
      </c>
      <c r="H34" s="193">
        <f t="shared" si="4"/>
        <v>11956610.031465866</v>
      </c>
      <c r="I34" s="176"/>
    </row>
    <row r="35" spans="1:9" x14ac:dyDescent="0.25">
      <c r="A35" s="192">
        <f>+'LFG generation and capture'!B34</f>
        <v>2041</v>
      </c>
      <c r="B35" s="193">
        <f>+'LFG generation and capture'!C34</f>
        <v>2584.0554376193932</v>
      </c>
      <c r="C35" s="193">
        <f t="shared" si="1"/>
        <v>1292.0277188096966</v>
      </c>
      <c r="D35" s="194">
        <f t="shared" si="0"/>
        <v>2593.1513127598141</v>
      </c>
      <c r="E35" s="195">
        <f t="shared" si="2"/>
        <v>2852</v>
      </c>
      <c r="F35" s="196">
        <v>2</v>
      </c>
      <c r="G35" s="197">
        <f t="shared" si="3"/>
        <v>19308604.674809579</v>
      </c>
      <c r="H35" s="193">
        <f t="shared" si="4"/>
        <v>12125803.735780414</v>
      </c>
      <c r="I35" s="176"/>
    </row>
    <row r="36" spans="1:9" x14ac:dyDescent="0.25">
      <c r="A36" s="192">
        <f>+'LFG generation and capture'!B35</f>
        <v>2042</v>
      </c>
      <c r="B36" s="193">
        <f>+'LFG generation and capture'!C35</f>
        <v>2619.7256326577317</v>
      </c>
      <c r="C36" s="193">
        <f t="shared" si="1"/>
        <v>1309.8628163288658</v>
      </c>
      <c r="D36" s="194">
        <f t="shared" si="0"/>
        <v>2628.9470668846875</v>
      </c>
      <c r="E36" s="195">
        <f t="shared" si="2"/>
        <v>2852</v>
      </c>
      <c r="F36" s="196">
        <v>2</v>
      </c>
      <c r="G36" s="197">
        <f t="shared" si="3"/>
        <v>19575139.860023383</v>
      </c>
      <c r="H36" s="193">
        <f t="shared" si="4"/>
        <v>12293187.832094684</v>
      </c>
      <c r="I36" s="176"/>
    </row>
    <row r="37" spans="1:9" x14ac:dyDescent="0.25">
      <c r="A37" s="192">
        <f>+'LFG generation and capture'!B36</f>
        <v>2043</v>
      </c>
      <c r="B37" s="193">
        <f>+'LFG generation and capture'!C36</f>
        <v>2655.0630423754064</v>
      </c>
      <c r="C37" s="193">
        <f t="shared" si="1"/>
        <v>1327.5315211877032</v>
      </c>
      <c r="D37" s="194">
        <f t="shared" si="0"/>
        <v>2664.4088642845682</v>
      </c>
      <c r="E37" s="195">
        <f t="shared" si="2"/>
        <v>2852</v>
      </c>
      <c r="F37" s="196">
        <v>2</v>
      </c>
      <c r="G37" s="197">
        <f t="shared" si="3"/>
        <v>19839188.403462891</v>
      </c>
      <c r="H37" s="193">
        <f t="shared" si="4"/>
        <v>12459010.317374695</v>
      </c>
      <c r="I37" s="176"/>
    </row>
    <row r="38" spans="1:9" x14ac:dyDescent="0.25">
      <c r="A38" s="192">
        <f>+'LFG generation and capture'!B37</f>
        <v>2044</v>
      </c>
      <c r="B38" s="193">
        <f>+'LFG generation and capture'!C37</f>
        <v>2690.1157772651763</v>
      </c>
      <c r="C38" s="193">
        <f t="shared" si="1"/>
        <v>1345.0578886325882</v>
      </c>
      <c r="D38" s="194">
        <f t="shared" si="0"/>
        <v>2699.5849848011503</v>
      </c>
      <c r="E38" s="195">
        <f t="shared" si="2"/>
        <v>2852</v>
      </c>
      <c r="F38" s="196">
        <v>2</v>
      </c>
      <c r="G38" s="197">
        <f t="shared" si="3"/>
        <v>20101109.796829365</v>
      </c>
      <c r="H38" s="193">
        <f t="shared" si="4"/>
        <v>12623496.952408843</v>
      </c>
      <c r="I38" s="176"/>
    </row>
    <row r="39" spans="1:9" x14ac:dyDescent="0.25">
      <c r="A39" s="192">
        <f>+'LFG generation and capture'!B38</f>
        <v>2045</v>
      </c>
      <c r="B39" s="193">
        <f>+'LFG generation and capture'!C38</f>
        <v>2724.9278920423858</v>
      </c>
      <c r="C39" s="193">
        <f t="shared" si="1"/>
        <v>1362.4639460211929</v>
      </c>
      <c r="D39" s="194">
        <f t="shared" si="0"/>
        <v>2734.5196382223753</v>
      </c>
      <c r="E39" s="195">
        <f t="shared" si="2"/>
        <v>2852</v>
      </c>
      <c r="F39" s="196">
        <v>2</v>
      </c>
      <c r="G39" s="197">
        <f t="shared" si="3"/>
        <v>20361233.226203807</v>
      </c>
      <c r="H39" s="193">
        <f t="shared" si="4"/>
        <v>12786854.466055991</v>
      </c>
      <c r="I39" s="176"/>
    </row>
    <row r="40" spans="1:9" x14ac:dyDescent="0.25">
      <c r="A40" s="192">
        <f>+'LFG generation and capture'!B39</f>
        <v>2046</v>
      </c>
      <c r="B40" s="193">
        <f>+'LFG generation and capture'!C39</f>
        <v>2759.5399179898363</v>
      </c>
      <c r="C40" s="193">
        <f t="shared" si="1"/>
        <v>1379.7699589949182</v>
      </c>
      <c r="D40" s="194">
        <f t="shared" si="0"/>
        <v>2769.2534985011612</v>
      </c>
      <c r="E40" s="195">
        <f t="shared" si="2"/>
        <v>2852</v>
      </c>
      <c r="F40" s="196">
        <v>2</v>
      </c>
      <c r="G40" s="197">
        <f>MIN(E40,D40)*$B$47*24*365</f>
        <v>20619861.549839646</v>
      </c>
      <c r="H40" s="193">
        <f t="shared" si="4"/>
        <v>12949273.053299297</v>
      </c>
      <c r="I40" s="176"/>
    </row>
    <row r="41" spans="1:9" x14ac:dyDescent="0.25">
      <c r="A41" s="198" t="s">
        <v>4</v>
      </c>
      <c r="B41" s="199">
        <f>SUM(B7:B40)</f>
        <v>63976.641392897058</v>
      </c>
      <c r="C41" s="199">
        <f>SUM(C7:C40)</f>
        <v>31988.320696448529</v>
      </c>
      <c r="D41" s="199">
        <f>SUM(D7:D40)</f>
        <v>64201.839170600062</v>
      </c>
      <c r="E41" s="199"/>
      <c r="F41" s="200"/>
      <c r="G41" s="199">
        <f>SUM(G7:G40)</f>
        <v>409049347.77734613</v>
      </c>
      <c r="H41" s="199"/>
      <c r="I41" s="176"/>
    </row>
    <row r="42" spans="1:9" x14ac:dyDescent="0.25">
      <c r="A42" s="198" t="s">
        <v>124</v>
      </c>
      <c r="B42" s="199">
        <f>AVERAGE(B7:B40)</f>
        <v>1881.6659233205016</v>
      </c>
      <c r="C42" s="199">
        <f t="shared" ref="C42:H42" si="5">AVERAGE(C7:C40)</f>
        <v>940.83296166025082</v>
      </c>
      <c r="D42" s="199">
        <f t="shared" si="5"/>
        <v>1888.28938737059</v>
      </c>
      <c r="E42" s="199">
        <f t="shared" si="5"/>
        <v>1929.2941176470588</v>
      </c>
      <c r="F42" s="199">
        <f t="shared" si="5"/>
        <v>1.3529411764705883</v>
      </c>
      <c r="G42" s="199">
        <f t="shared" si="5"/>
        <v>12030863.169921946</v>
      </c>
      <c r="H42" s="199">
        <f t="shared" si="5"/>
        <v>7555382.0707109831</v>
      </c>
      <c r="I42" s="176"/>
    </row>
    <row r="43" spans="1:9" x14ac:dyDescent="0.25">
      <c r="A43" s="177"/>
      <c r="B43" s="201"/>
      <c r="C43" s="201"/>
      <c r="D43" s="201"/>
      <c r="E43" s="176"/>
      <c r="F43" s="176"/>
      <c r="G43" s="176"/>
      <c r="H43" s="176"/>
      <c r="I43" s="176"/>
    </row>
    <row r="44" spans="1:9" x14ac:dyDescent="0.25">
      <c r="A44" s="202"/>
      <c r="B44" s="176"/>
      <c r="C44" s="176"/>
      <c r="D44" s="176"/>
      <c r="E44" s="176"/>
      <c r="F44" s="176"/>
      <c r="G44" s="176"/>
      <c r="H44" s="176"/>
      <c r="I44" s="176"/>
    </row>
    <row r="45" spans="1:9" x14ac:dyDescent="0.25">
      <c r="A45" s="203" t="s">
        <v>141</v>
      </c>
      <c r="B45" s="204"/>
      <c r="C45" s="204"/>
      <c r="D45" s="201"/>
      <c r="E45" s="201"/>
      <c r="F45" s="201"/>
      <c r="G45" s="205"/>
      <c r="H45" s="205"/>
      <c r="I45" s="176"/>
    </row>
    <row r="46" spans="1:9" x14ac:dyDescent="0.25">
      <c r="A46" s="203"/>
      <c r="B46" s="204"/>
      <c r="C46" s="204"/>
      <c r="D46" s="201"/>
      <c r="E46" s="201"/>
      <c r="F46" s="201"/>
      <c r="G46" s="205"/>
      <c r="H46" s="205"/>
      <c r="I46" s="176"/>
    </row>
    <row r="47" spans="1:9" x14ac:dyDescent="0.25">
      <c r="A47" s="206" t="s">
        <v>142</v>
      </c>
      <c r="B47" s="207">
        <v>0.85</v>
      </c>
      <c r="C47" s="332" t="s">
        <v>143</v>
      </c>
      <c r="D47" s="333"/>
      <c r="E47" s="333"/>
      <c r="F47" s="334"/>
      <c r="G47" s="208"/>
      <c r="H47" s="177"/>
      <c r="I47" s="177"/>
    </row>
    <row r="48" spans="1:9" x14ac:dyDescent="0.25">
      <c r="A48" s="335"/>
      <c r="B48" s="335"/>
      <c r="C48" s="335"/>
      <c r="D48" s="335"/>
      <c r="E48" s="335"/>
      <c r="F48" s="335"/>
      <c r="G48" s="209"/>
      <c r="H48" s="177"/>
      <c r="I48" s="177"/>
    </row>
    <row r="49" spans="1:9" x14ac:dyDescent="0.25">
      <c r="A49" s="210"/>
      <c r="B49" s="211"/>
      <c r="C49" s="176"/>
      <c r="D49" s="176"/>
      <c r="E49" s="176"/>
      <c r="F49" s="176"/>
      <c r="G49" s="176"/>
      <c r="H49" s="176"/>
      <c r="I49" s="176"/>
    </row>
    <row r="50" spans="1:9" x14ac:dyDescent="0.25">
      <c r="A50" s="336" t="s">
        <v>144</v>
      </c>
      <c r="B50" s="216"/>
      <c r="C50" s="338"/>
      <c r="D50" s="339"/>
      <c r="E50" s="339"/>
      <c r="F50" s="339"/>
      <c r="G50" s="339"/>
      <c r="H50" s="339"/>
      <c r="I50" s="176"/>
    </row>
    <row r="51" spans="1:9" x14ac:dyDescent="0.25">
      <c r="A51" s="337"/>
      <c r="B51" s="213"/>
      <c r="C51" s="340"/>
      <c r="D51" s="340"/>
      <c r="E51" s="340"/>
      <c r="F51" s="340"/>
      <c r="G51" s="340"/>
      <c r="H51" s="340"/>
      <c r="I51" s="176"/>
    </row>
    <row r="52" spans="1:9" x14ac:dyDescent="0.25">
      <c r="A52" s="337"/>
      <c r="B52" s="213"/>
      <c r="C52" s="213"/>
      <c r="D52" s="213"/>
      <c r="E52" s="213"/>
      <c r="F52" s="213"/>
      <c r="G52" s="213"/>
      <c r="H52" s="213"/>
      <c r="I52" s="176"/>
    </row>
    <row r="53" spans="1:9" x14ac:dyDescent="0.25">
      <c r="A53" s="337"/>
      <c r="B53" s="217">
        <v>0.5</v>
      </c>
      <c r="C53" s="218" t="s">
        <v>145</v>
      </c>
      <c r="D53" s="219"/>
      <c r="E53" s="219"/>
      <c r="F53" s="219"/>
      <c r="G53" s="219"/>
      <c r="H53" s="219"/>
      <c r="I53" s="176"/>
    </row>
    <row r="54" spans="1:9" x14ac:dyDescent="0.25">
      <c r="A54" s="337"/>
      <c r="B54" s="220"/>
      <c r="C54" s="221"/>
      <c r="D54" s="213"/>
      <c r="E54" s="213"/>
      <c r="F54" s="213"/>
      <c r="G54" s="213"/>
      <c r="H54" s="213"/>
      <c r="I54" s="176"/>
    </row>
    <row r="55" spans="1:9" x14ac:dyDescent="0.25">
      <c r="A55" s="337"/>
      <c r="B55" s="222">
        <v>50400</v>
      </c>
      <c r="C55" s="223" t="s">
        <v>146</v>
      </c>
      <c r="D55" s="219"/>
      <c r="E55" s="219"/>
      <c r="F55" s="219"/>
      <c r="G55" s="224"/>
      <c r="H55" s="213"/>
      <c r="I55" s="176"/>
    </row>
    <row r="56" spans="1:9" x14ac:dyDescent="0.25">
      <c r="A56" s="337"/>
      <c r="B56" s="225"/>
      <c r="C56" s="226"/>
      <c r="D56" s="213"/>
      <c r="E56" s="213"/>
      <c r="F56" s="213"/>
      <c r="G56" s="213"/>
      <c r="H56" s="213"/>
      <c r="I56" s="176"/>
    </row>
    <row r="57" spans="1:9" x14ac:dyDescent="0.25">
      <c r="A57" s="337"/>
      <c r="B57" s="227">
        <v>0.71679999999999999</v>
      </c>
      <c r="C57" s="223" t="s">
        <v>147</v>
      </c>
      <c r="D57" s="219"/>
      <c r="E57" s="219"/>
      <c r="F57" s="219"/>
      <c r="G57" s="224"/>
      <c r="H57" s="213"/>
      <c r="I57" s="176"/>
    </row>
    <row r="58" spans="1:9" x14ac:dyDescent="0.25">
      <c r="A58" s="337"/>
      <c r="B58" s="228"/>
      <c r="C58" s="226"/>
      <c r="D58" s="213"/>
      <c r="E58" s="213"/>
      <c r="F58" s="213"/>
      <c r="G58" s="213"/>
      <c r="H58" s="213"/>
      <c r="I58" s="176"/>
    </row>
    <row r="59" spans="1:9" x14ac:dyDescent="0.25">
      <c r="A59" s="337"/>
      <c r="B59" s="229">
        <v>0.4</v>
      </c>
      <c r="C59" s="230" t="s">
        <v>148</v>
      </c>
      <c r="D59" s="215"/>
      <c r="E59" s="215"/>
      <c r="F59" s="215"/>
      <c r="G59" s="215"/>
      <c r="H59" s="215"/>
      <c r="I59" s="176"/>
    </row>
    <row r="60" spans="1:9" x14ac:dyDescent="0.25">
      <c r="A60" s="231"/>
      <c r="B60" s="213"/>
      <c r="C60" s="232" t="s">
        <v>149</v>
      </c>
      <c r="D60" s="212"/>
      <c r="E60" s="212"/>
      <c r="F60" s="212"/>
      <c r="G60" s="212"/>
      <c r="H60" s="212"/>
      <c r="I60" s="176"/>
    </row>
    <row r="61" spans="1:9" x14ac:dyDescent="0.25">
      <c r="A61" s="231"/>
      <c r="B61" s="213"/>
      <c r="C61" s="213"/>
      <c r="D61" s="213"/>
      <c r="E61" s="213"/>
      <c r="F61" s="213"/>
      <c r="G61" s="213"/>
      <c r="H61" s="213"/>
      <c r="I61" s="176"/>
    </row>
    <row r="62" spans="1:9" x14ac:dyDescent="0.25">
      <c r="A62" s="231"/>
      <c r="B62" s="233">
        <v>1426</v>
      </c>
      <c r="C62" s="234" t="s">
        <v>150</v>
      </c>
      <c r="D62" s="212"/>
      <c r="E62" s="212"/>
      <c r="F62" s="212"/>
      <c r="G62" s="212"/>
      <c r="H62" s="212"/>
      <c r="I62" s="176"/>
    </row>
    <row r="63" spans="1:9" x14ac:dyDescent="0.25">
      <c r="A63" s="231"/>
      <c r="B63" s="213"/>
      <c r="C63" s="213"/>
      <c r="D63" s="213"/>
      <c r="E63" s="213"/>
      <c r="F63" s="213"/>
      <c r="G63" s="213"/>
      <c r="H63" s="213"/>
      <c r="I63" s="176"/>
    </row>
    <row r="64" spans="1:9" x14ac:dyDescent="0.25">
      <c r="A64" s="231"/>
      <c r="B64" s="235">
        <v>628</v>
      </c>
      <c r="C64" s="236" t="s">
        <v>151</v>
      </c>
      <c r="D64" s="219"/>
      <c r="E64" s="219"/>
      <c r="F64" s="219"/>
      <c r="G64" s="219"/>
      <c r="H64" s="219"/>
      <c r="I64" s="176"/>
    </row>
    <row r="65" spans="1:9" x14ac:dyDescent="0.25">
      <c r="A65" s="231"/>
      <c r="B65" s="213"/>
      <c r="C65" s="213"/>
      <c r="D65" s="213"/>
      <c r="E65" s="213"/>
      <c r="F65" s="213"/>
      <c r="G65" s="213"/>
      <c r="H65" s="213"/>
      <c r="I65" s="176"/>
    </row>
    <row r="66" spans="1:9" x14ac:dyDescent="0.25">
      <c r="A66" s="214"/>
      <c r="B66" s="214"/>
      <c r="C66" s="214"/>
      <c r="D66" s="214"/>
      <c r="E66" s="214"/>
      <c r="F66" s="214"/>
      <c r="G66" s="214"/>
      <c r="H66" s="214"/>
      <c r="I66" s="176"/>
    </row>
  </sheetData>
  <mergeCells count="5">
    <mergeCell ref="A2:I2"/>
    <mergeCell ref="C47:F47"/>
    <mergeCell ref="A48:F48"/>
    <mergeCell ref="A50:A59"/>
    <mergeCell ref="C50:H5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75A28-EC43-4E8B-82AA-791B781160D5}">
  <sheetPr>
    <tabColor theme="0" tint="-0.14999847407452621"/>
    <pageSetUpPr fitToPage="1"/>
  </sheetPr>
  <dimension ref="A1:R20"/>
  <sheetViews>
    <sheetView showGridLines="0" tabSelected="1" topLeftCell="A4" zoomScale="104" zoomScaleNormal="100" workbookViewId="0">
      <selection activeCell="I23" sqref="I23"/>
    </sheetView>
  </sheetViews>
  <sheetFormatPr defaultColWidth="10" defaultRowHeight="12.75" x14ac:dyDescent="0.2"/>
  <cols>
    <col min="1" max="1" width="2.625" style="25" customWidth="1"/>
    <col min="2" max="2" width="8.125" style="25" customWidth="1"/>
    <col min="3" max="3" width="18.25" style="25" customWidth="1"/>
    <col min="4" max="4" width="12.25" style="25" customWidth="1"/>
    <col min="5" max="5" width="11.625" style="24" customWidth="1"/>
    <col min="6" max="6" width="12.5" style="24" customWidth="1"/>
    <col min="7" max="7" width="17.125" style="24" customWidth="1"/>
    <col min="8" max="8" width="13.5" style="24" customWidth="1"/>
    <col min="9" max="9" width="12.375" style="24" customWidth="1"/>
    <col min="10" max="10" width="2.625" style="24" customWidth="1"/>
    <col min="11" max="11" width="8.125" style="24" customWidth="1"/>
    <col min="12" max="12" width="13.625" style="171" customWidth="1"/>
    <col min="13" max="13" width="25.75" style="171" customWidth="1"/>
    <col min="14" max="14" width="14.125" style="171" customWidth="1"/>
    <col min="15" max="15" width="2.625" style="24" customWidth="1"/>
    <col min="16" max="16" width="8.125" style="24" customWidth="1"/>
    <col min="17" max="17" width="13.375" style="24" customWidth="1"/>
    <col min="18" max="256" width="10" style="24"/>
    <col min="257" max="257" width="2.625" style="24" customWidth="1"/>
    <col min="258" max="258" width="8.125" style="24" customWidth="1"/>
    <col min="259" max="259" width="18.25" style="24" customWidth="1"/>
    <col min="260" max="260" width="12.25" style="24" customWidth="1"/>
    <col min="261" max="262" width="11.625" style="24" customWidth="1"/>
    <col min="263" max="264" width="10.75" style="24" customWidth="1"/>
    <col min="265" max="265" width="12.375" style="24" customWidth="1"/>
    <col min="266" max="266" width="2.625" style="24" customWidth="1"/>
    <col min="267" max="267" width="8.125" style="24" customWidth="1"/>
    <col min="268" max="268" width="13.625" style="24" customWidth="1"/>
    <col min="269" max="269" width="14.625" style="24" customWidth="1"/>
    <col min="270" max="270" width="14.125" style="24" customWidth="1"/>
    <col min="271" max="271" width="2.625" style="24" customWidth="1"/>
    <col min="272" max="272" width="8.125" style="24" customWidth="1"/>
    <col min="273" max="273" width="13.375" style="24" customWidth="1"/>
    <col min="274" max="512" width="10" style="24"/>
    <col min="513" max="513" width="2.625" style="24" customWidth="1"/>
    <col min="514" max="514" width="8.125" style="24" customWidth="1"/>
    <col min="515" max="515" width="18.25" style="24" customWidth="1"/>
    <col min="516" max="516" width="12.25" style="24" customWidth="1"/>
    <col min="517" max="518" width="11.625" style="24" customWidth="1"/>
    <col min="519" max="520" width="10.75" style="24" customWidth="1"/>
    <col min="521" max="521" width="12.375" style="24" customWidth="1"/>
    <col min="522" max="522" width="2.625" style="24" customWidth="1"/>
    <col min="523" max="523" width="8.125" style="24" customWidth="1"/>
    <col min="524" max="524" width="13.625" style="24" customWidth="1"/>
    <col min="525" max="525" width="14.625" style="24" customWidth="1"/>
    <col min="526" max="526" width="14.125" style="24" customWidth="1"/>
    <col min="527" max="527" width="2.625" style="24" customWidth="1"/>
    <col min="528" max="528" width="8.125" style="24" customWidth="1"/>
    <col min="529" max="529" width="13.375" style="24" customWidth="1"/>
    <col min="530" max="768" width="10" style="24"/>
    <col min="769" max="769" width="2.625" style="24" customWidth="1"/>
    <col min="770" max="770" width="8.125" style="24" customWidth="1"/>
    <col min="771" max="771" width="18.25" style="24" customWidth="1"/>
    <col min="772" max="772" width="12.25" style="24" customWidth="1"/>
    <col min="773" max="774" width="11.625" style="24" customWidth="1"/>
    <col min="775" max="776" width="10.75" style="24" customWidth="1"/>
    <col min="777" max="777" width="12.375" style="24" customWidth="1"/>
    <col min="778" max="778" width="2.625" style="24" customWidth="1"/>
    <col min="779" max="779" width="8.125" style="24" customWidth="1"/>
    <col min="780" max="780" width="13.625" style="24" customWidth="1"/>
    <col min="781" max="781" width="14.625" style="24" customWidth="1"/>
    <col min="782" max="782" width="14.125" style="24" customWidth="1"/>
    <col min="783" max="783" width="2.625" style="24" customWidth="1"/>
    <col min="784" max="784" width="8.125" style="24" customWidth="1"/>
    <col min="785" max="785" width="13.375" style="24" customWidth="1"/>
    <col min="786" max="1024" width="10" style="24"/>
    <col min="1025" max="1025" width="2.625" style="24" customWidth="1"/>
    <col min="1026" max="1026" width="8.125" style="24" customWidth="1"/>
    <col min="1027" max="1027" width="18.25" style="24" customWidth="1"/>
    <col min="1028" max="1028" width="12.25" style="24" customWidth="1"/>
    <col min="1029" max="1030" width="11.625" style="24" customWidth="1"/>
    <col min="1031" max="1032" width="10.75" style="24" customWidth="1"/>
    <col min="1033" max="1033" width="12.375" style="24" customWidth="1"/>
    <col min="1034" max="1034" width="2.625" style="24" customWidth="1"/>
    <col min="1035" max="1035" width="8.125" style="24" customWidth="1"/>
    <col min="1036" max="1036" width="13.625" style="24" customWidth="1"/>
    <col min="1037" max="1037" width="14.625" style="24" customWidth="1"/>
    <col min="1038" max="1038" width="14.125" style="24" customWidth="1"/>
    <col min="1039" max="1039" width="2.625" style="24" customWidth="1"/>
    <col min="1040" max="1040" width="8.125" style="24" customWidth="1"/>
    <col min="1041" max="1041" width="13.375" style="24" customWidth="1"/>
    <col min="1042" max="1280" width="10" style="24"/>
    <col min="1281" max="1281" width="2.625" style="24" customWidth="1"/>
    <col min="1282" max="1282" width="8.125" style="24" customWidth="1"/>
    <col min="1283" max="1283" width="18.25" style="24" customWidth="1"/>
    <col min="1284" max="1284" width="12.25" style="24" customWidth="1"/>
    <col min="1285" max="1286" width="11.625" style="24" customWidth="1"/>
    <col min="1287" max="1288" width="10.75" style="24" customWidth="1"/>
    <col min="1289" max="1289" width="12.375" style="24" customWidth="1"/>
    <col min="1290" max="1290" width="2.625" style="24" customWidth="1"/>
    <col min="1291" max="1291" width="8.125" style="24" customWidth="1"/>
    <col min="1292" max="1292" width="13.625" style="24" customWidth="1"/>
    <col min="1293" max="1293" width="14.625" style="24" customWidth="1"/>
    <col min="1294" max="1294" width="14.125" style="24" customWidth="1"/>
    <col min="1295" max="1295" width="2.625" style="24" customWidth="1"/>
    <col min="1296" max="1296" width="8.125" style="24" customWidth="1"/>
    <col min="1297" max="1297" width="13.375" style="24" customWidth="1"/>
    <col min="1298" max="1536" width="10" style="24"/>
    <col min="1537" max="1537" width="2.625" style="24" customWidth="1"/>
    <col min="1538" max="1538" width="8.125" style="24" customWidth="1"/>
    <col min="1539" max="1539" width="18.25" style="24" customWidth="1"/>
    <col min="1540" max="1540" width="12.25" style="24" customWidth="1"/>
    <col min="1541" max="1542" width="11.625" style="24" customWidth="1"/>
    <col min="1543" max="1544" width="10.75" style="24" customWidth="1"/>
    <col min="1545" max="1545" width="12.375" style="24" customWidth="1"/>
    <col min="1546" max="1546" width="2.625" style="24" customWidth="1"/>
    <col min="1547" max="1547" width="8.125" style="24" customWidth="1"/>
    <col min="1548" max="1548" width="13.625" style="24" customWidth="1"/>
    <col min="1549" max="1549" width="14.625" style="24" customWidth="1"/>
    <col min="1550" max="1550" width="14.125" style="24" customWidth="1"/>
    <col min="1551" max="1551" width="2.625" style="24" customWidth="1"/>
    <col min="1552" max="1552" width="8.125" style="24" customWidth="1"/>
    <col min="1553" max="1553" width="13.375" style="24" customWidth="1"/>
    <col min="1554" max="1792" width="10" style="24"/>
    <col min="1793" max="1793" width="2.625" style="24" customWidth="1"/>
    <col min="1794" max="1794" width="8.125" style="24" customWidth="1"/>
    <col min="1795" max="1795" width="18.25" style="24" customWidth="1"/>
    <col min="1796" max="1796" width="12.25" style="24" customWidth="1"/>
    <col min="1797" max="1798" width="11.625" style="24" customWidth="1"/>
    <col min="1799" max="1800" width="10.75" style="24" customWidth="1"/>
    <col min="1801" max="1801" width="12.375" style="24" customWidth="1"/>
    <col min="1802" max="1802" width="2.625" style="24" customWidth="1"/>
    <col min="1803" max="1803" width="8.125" style="24" customWidth="1"/>
    <col min="1804" max="1804" width="13.625" style="24" customWidth="1"/>
    <col min="1805" max="1805" width="14.625" style="24" customWidth="1"/>
    <col min="1806" max="1806" width="14.125" style="24" customWidth="1"/>
    <col min="1807" max="1807" width="2.625" style="24" customWidth="1"/>
    <col min="1808" max="1808" width="8.125" style="24" customWidth="1"/>
    <col min="1809" max="1809" width="13.375" style="24" customWidth="1"/>
    <col min="1810" max="2048" width="10" style="24"/>
    <col min="2049" max="2049" width="2.625" style="24" customWidth="1"/>
    <col min="2050" max="2050" width="8.125" style="24" customWidth="1"/>
    <col min="2051" max="2051" width="18.25" style="24" customWidth="1"/>
    <col min="2052" max="2052" width="12.25" style="24" customWidth="1"/>
    <col min="2053" max="2054" width="11.625" style="24" customWidth="1"/>
    <col min="2055" max="2056" width="10.75" style="24" customWidth="1"/>
    <col min="2057" max="2057" width="12.375" style="24" customWidth="1"/>
    <col min="2058" max="2058" width="2.625" style="24" customWidth="1"/>
    <col min="2059" max="2059" width="8.125" style="24" customWidth="1"/>
    <col min="2060" max="2060" width="13.625" style="24" customWidth="1"/>
    <col min="2061" max="2061" width="14.625" style="24" customWidth="1"/>
    <col min="2062" max="2062" width="14.125" style="24" customWidth="1"/>
    <col min="2063" max="2063" width="2.625" style="24" customWidth="1"/>
    <col min="2064" max="2064" width="8.125" style="24" customWidth="1"/>
    <col min="2065" max="2065" width="13.375" style="24" customWidth="1"/>
    <col min="2066" max="2304" width="10" style="24"/>
    <col min="2305" max="2305" width="2.625" style="24" customWidth="1"/>
    <col min="2306" max="2306" width="8.125" style="24" customWidth="1"/>
    <col min="2307" max="2307" width="18.25" style="24" customWidth="1"/>
    <col min="2308" max="2308" width="12.25" style="24" customWidth="1"/>
    <col min="2309" max="2310" width="11.625" style="24" customWidth="1"/>
    <col min="2311" max="2312" width="10.75" style="24" customWidth="1"/>
    <col min="2313" max="2313" width="12.375" style="24" customWidth="1"/>
    <col min="2314" max="2314" width="2.625" style="24" customWidth="1"/>
    <col min="2315" max="2315" width="8.125" style="24" customWidth="1"/>
    <col min="2316" max="2316" width="13.625" style="24" customWidth="1"/>
    <col min="2317" max="2317" width="14.625" style="24" customWidth="1"/>
    <col min="2318" max="2318" width="14.125" style="24" customWidth="1"/>
    <col min="2319" max="2319" width="2.625" style="24" customWidth="1"/>
    <col min="2320" max="2320" width="8.125" style="24" customWidth="1"/>
    <col min="2321" max="2321" width="13.375" style="24" customWidth="1"/>
    <col min="2322" max="2560" width="10" style="24"/>
    <col min="2561" max="2561" width="2.625" style="24" customWidth="1"/>
    <col min="2562" max="2562" width="8.125" style="24" customWidth="1"/>
    <col min="2563" max="2563" width="18.25" style="24" customWidth="1"/>
    <col min="2564" max="2564" width="12.25" style="24" customWidth="1"/>
    <col min="2565" max="2566" width="11.625" style="24" customWidth="1"/>
    <col min="2567" max="2568" width="10.75" style="24" customWidth="1"/>
    <col min="2569" max="2569" width="12.375" style="24" customWidth="1"/>
    <col min="2570" max="2570" width="2.625" style="24" customWidth="1"/>
    <col min="2571" max="2571" width="8.125" style="24" customWidth="1"/>
    <col min="2572" max="2572" width="13.625" style="24" customWidth="1"/>
    <col min="2573" max="2573" width="14.625" style="24" customWidth="1"/>
    <col min="2574" max="2574" width="14.125" style="24" customWidth="1"/>
    <col min="2575" max="2575" width="2.625" style="24" customWidth="1"/>
    <col min="2576" max="2576" width="8.125" style="24" customWidth="1"/>
    <col min="2577" max="2577" width="13.375" style="24" customWidth="1"/>
    <col min="2578" max="2816" width="10" style="24"/>
    <col min="2817" max="2817" width="2.625" style="24" customWidth="1"/>
    <col min="2818" max="2818" width="8.125" style="24" customWidth="1"/>
    <col min="2819" max="2819" width="18.25" style="24" customWidth="1"/>
    <col min="2820" max="2820" width="12.25" style="24" customWidth="1"/>
    <col min="2821" max="2822" width="11.625" style="24" customWidth="1"/>
    <col min="2823" max="2824" width="10.75" style="24" customWidth="1"/>
    <col min="2825" max="2825" width="12.375" style="24" customWidth="1"/>
    <col min="2826" max="2826" width="2.625" style="24" customWidth="1"/>
    <col min="2827" max="2827" width="8.125" style="24" customWidth="1"/>
    <col min="2828" max="2828" width="13.625" style="24" customWidth="1"/>
    <col min="2829" max="2829" width="14.625" style="24" customWidth="1"/>
    <col min="2830" max="2830" width="14.125" style="24" customWidth="1"/>
    <col min="2831" max="2831" width="2.625" style="24" customWidth="1"/>
    <col min="2832" max="2832" width="8.125" style="24" customWidth="1"/>
    <col min="2833" max="2833" width="13.375" style="24" customWidth="1"/>
    <col min="2834" max="3072" width="10" style="24"/>
    <col min="3073" max="3073" width="2.625" style="24" customWidth="1"/>
    <col min="3074" max="3074" width="8.125" style="24" customWidth="1"/>
    <col min="3075" max="3075" width="18.25" style="24" customWidth="1"/>
    <col min="3076" max="3076" width="12.25" style="24" customWidth="1"/>
    <col min="3077" max="3078" width="11.625" style="24" customWidth="1"/>
    <col min="3079" max="3080" width="10.75" style="24" customWidth="1"/>
    <col min="3081" max="3081" width="12.375" style="24" customWidth="1"/>
    <col min="3082" max="3082" width="2.625" style="24" customWidth="1"/>
    <col min="3083" max="3083" width="8.125" style="24" customWidth="1"/>
    <col min="3084" max="3084" width="13.625" style="24" customWidth="1"/>
    <col min="3085" max="3085" width="14.625" style="24" customWidth="1"/>
    <col min="3086" max="3086" width="14.125" style="24" customWidth="1"/>
    <col min="3087" max="3087" width="2.625" style="24" customWidth="1"/>
    <col min="3088" max="3088" width="8.125" style="24" customWidth="1"/>
    <col min="3089" max="3089" width="13.375" style="24" customWidth="1"/>
    <col min="3090" max="3328" width="10" style="24"/>
    <col min="3329" max="3329" width="2.625" style="24" customWidth="1"/>
    <col min="3330" max="3330" width="8.125" style="24" customWidth="1"/>
    <col min="3331" max="3331" width="18.25" style="24" customWidth="1"/>
    <col min="3332" max="3332" width="12.25" style="24" customWidth="1"/>
    <col min="3333" max="3334" width="11.625" style="24" customWidth="1"/>
    <col min="3335" max="3336" width="10.75" style="24" customWidth="1"/>
    <col min="3337" max="3337" width="12.375" style="24" customWidth="1"/>
    <col min="3338" max="3338" width="2.625" style="24" customWidth="1"/>
    <col min="3339" max="3339" width="8.125" style="24" customWidth="1"/>
    <col min="3340" max="3340" width="13.625" style="24" customWidth="1"/>
    <col min="3341" max="3341" width="14.625" style="24" customWidth="1"/>
    <col min="3342" max="3342" width="14.125" style="24" customWidth="1"/>
    <col min="3343" max="3343" width="2.625" style="24" customWidth="1"/>
    <col min="3344" max="3344" width="8.125" style="24" customWidth="1"/>
    <col min="3345" max="3345" width="13.375" style="24" customWidth="1"/>
    <col min="3346" max="3584" width="10" style="24"/>
    <col min="3585" max="3585" width="2.625" style="24" customWidth="1"/>
    <col min="3586" max="3586" width="8.125" style="24" customWidth="1"/>
    <col min="3587" max="3587" width="18.25" style="24" customWidth="1"/>
    <col min="3588" max="3588" width="12.25" style="24" customWidth="1"/>
    <col min="3589" max="3590" width="11.625" style="24" customWidth="1"/>
    <col min="3591" max="3592" width="10.75" style="24" customWidth="1"/>
    <col min="3593" max="3593" width="12.375" style="24" customWidth="1"/>
    <col min="3594" max="3594" width="2.625" style="24" customWidth="1"/>
    <col min="3595" max="3595" width="8.125" style="24" customWidth="1"/>
    <col min="3596" max="3596" width="13.625" style="24" customWidth="1"/>
    <col min="3597" max="3597" width="14.625" style="24" customWidth="1"/>
    <col min="3598" max="3598" width="14.125" style="24" customWidth="1"/>
    <col min="3599" max="3599" width="2.625" style="24" customWidth="1"/>
    <col min="3600" max="3600" width="8.125" style="24" customWidth="1"/>
    <col min="3601" max="3601" width="13.375" style="24" customWidth="1"/>
    <col min="3602" max="3840" width="10" style="24"/>
    <col min="3841" max="3841" width="2.625" style="24" customWidth="1"/>
    <col min="3842" max="3842" width="8.125" style="24" customWidth="1"/>
    <col min="3843" max="3843" width="18.25" style="24" customWidth="1"/>
    <col min="3844" max="3844" width="12.25" style="24" customWidth="1"/>
    <col min="3845" max="3846" width="11.625" style="24" customWidth="1"/>
    <col min="3847" max="3848" width="10.75" style="24" customWidth="1"/>
    <col min="3849" max="3849" width="12.375" style="24" customWidth="1"/>
    <col min="3850" max="3850" width="2.625" style="24" customWidth="1"/>
    <col min="3851" max="3851" width="8.125" style="24" customWidth="1"/>
    <col min="3852" max="3852" width="13.625" style="24" customWidth="1"/>
    <col min="3853" max="3853" width="14.625" style="24" customWidth="1"/>
    <col min="3854" max="3854" width="14.125" style="24" customWidth="1"/>
    <col min="3855" max="3855" width="2.625" style="24" customWidth="1"/>
    <col min="3856" max="3856" width="8.125" style="24" customWidth="1"/>
    <col min="3857" max="3857" width="13.375" style="24" customWidth="1"/>
    <col min="3858" max="4096" width="10" style="24"/>
    <col min="4097" max="4097" width="2.625" style="24" customWidth="1"/>
    <col min="4098" max="4098" width="8.125" style="24" customWidth="1"/>
    <col min="4099" max="4099" width="18.25" style="24" customWidth="1"/>
    <col min="4100" max="4100" width="12.25" style="24" customWidth="1"/>
    <col min="4101" max="4102" width="11.625" style="24" customWidth="1"/>
    <col min="4103" max="4104" width="10.75" style="24" customWidth="1"/>
    <col min="4105" max="4105" width="12.375" style="24" customWidth="1"/>
    <col min="4106" max="4106" width="2.625" style="24" customWidth="1"/>
    <col min="4107" max="4107" width="8.125" style="24" customWidth="1"/>
    <col min="4108" max="4108" width="13.625" style="24" customWidth="1"/>
    <col min="4109" max="4109" width="14.625" style="24" customWidth="1"/>
    <col min="4110" max="4110" width="14.125" style="24" customWidth="1"/>
    <col min="4111" max="4111" width="2.625" style="24" customWidth="1"/>
    <col min="4112" max="4112" width="8.125" style="24" customWidth="1"/>
    <col min="4113" max="4113" width="13.375" style="24" customWidth="1"/>
    <col min="4114" max="4352" width="10" style="24"/>
    <col min="4353" max="4353" width="2.625" style="24" customWidth="1"/>
    <col min="4354" max="4354" width="8.125" style="24" customWidth="1"/>
    <col min="4355" max="4355" width="18.25" style="24" customWidth="1"/>
    <col min="4356" max="4356" width="12.25" style="24" customWidth="1"/>
    <col min="4357" max="4358" width="11.625" style="24" customWidth="1"/>
    <col min="4359" max="4360" width="10.75" style="24" customWidth="1"/>
    <col min="4361" max="4361" width="12.375" style="24" customWidth="1"/>
    <col min="4362" max="4362" width="2.625" style="24" customWidth="1"/>
    <col min="4363" max="4363" width="8.125" style="24" customWidth="1"/>
    <col min="4364" max="4364" width="13.625" style="24" customWidth="1"/>
    <col min="4365" max="4365" width="14.625" style="24" customWidth="1"/>
    <col min="4366" max="4366" width="14.125" style="24" customWidth="1"/>
    <col min="4367" max="4367" width="2.625" style="24" customWidth="1"/>
    <col min="4368" max="4368" width="8.125" style="24" customWidth="1"/>
    <col min="4369" max="4369" width="13.375" style="24" customWidth="1"/>
    <col min="4370" max="4608" width="10" style="24"/>
    <col min="4609" max="4609" width="2.625" style="24" customWidth="1"/>
    <col min="4610" max="4610" width="8.125" style="24" customWidth="1"/>
    <col min="4611" max="4611" width="18.25" style="24" customWidth="1"/>
    <col min="4612" max="4612" width="12.25" style="24" customWidth="1"/>
    <col min="4613" max="4614" width="11.625" style="24" customWidth="1"/>
    <col min="4615" max="4616" width="10.75" style="24" customWidth="1"/>
    <col min="4617" max="4617" width="12.375" style="24" customWidth="1"/>
    <col min="4618" max="4618" width="2.625" style="24" customWidth="1"/>
    <col min="4619" max="4619" width="8.125" style="24" customWidth="1"/>
    <col min="4620" max="4620" width="13.625" style="24" customWidth="1"/>
    <col min="4621" max="4621" width="14.625" style="24" customWidth="1"/>
    <col min="4622" max="4622" width="14.125" style="24" customWidth="1"/>
    <col min="4623" max="4623" width="2.625" style="24" customWidth="1"/>
    <col min="4624" max="4624" width="8.125" style="24" customWidth="1"/>
    <col min="4625" max="4625" width="13.375" style="24" customWidth="1"/>
    <col min="4626" max="4864" width="10" style="24"/>
    <col min="4865" max="4865" width="2.625" style="24" customWidth="1"/>
    <col min="4866" max="4866" width="8.125" style="24" customWidth="1"/>
    <col min="4867" max="4867" width="18.25" style="24" customWidth="1"/>
    <col min="4868" max="4868" width="12.25" style="24" customWidth="1"/>
    <col min="4869" max="4870" width="11.625" style="24" customWidth="1"/>
    <col min="4871" max="4872" width="10.75" style="24" customWidth="1"/>
    <col min="4873" max="4873" width="12.375" style="24" customWidth="1"/>
    <col min="4874" max="4874" width="2.625" style="24" customWidth="1"/>
    <col min="4875" max="4875" width="8.125" style="24" customWidth="1"/>
    <col min="4876" max="4876" width="13.625" style="24" customWidth="1"/>
    <col min="4877" max="4877" width="14.625" style="24" customWidth="1"/>
    <col min="4878" max="4878" width="14.125" style="24" customWidth="1"/>
    <col min="4879" max="4879" width="2.625" style="24" customWidth="1"/>
    <col min="4880" max="4880" width="8.125" style="24" customWidth="1"/>
    <col min="4881" max="4881" width="13.375" style="24" customWidth="1"/>
    <col min="4882" max="5120" width="10" style="24"/>
    <col min="5121" max="5121" width="2.625" style="24" customWidth="1"/>
    <col min="5122" max="5122" width="8.125" style="24" customWidth="1"/>
    <col min="5123" max="5123" width="18.25" style="24" customWidth="1"/>
    <col min="5124" max="5124" width="12.25" style="24" customWidth="1"/>
    <col min="5125" max="5126" width="11.625" style="24" customWidth="1"/>
    <col min="5127" max="5128" width="10.75" style="24" customWidth="1"/>
    <col min="5129" max="5129" width="12.375" style="24" customWidth="1"/>
    <col min="5130" max="5130" width="2.625" style="24" customWidth="1"/>
    <col min="5131" max="5131" width="8.125" style="24" customWidth="1"/>
    <col min="5132" max="5132" width="13.625" style="24" customWidth="1"/>
    <col min="5133" max="5133" width="14.625" style="24" customWidth="1"/>
    <col min="5134" max="5134" width="14.125" style="24" customWidth="1"/>
    <col min="5135" max="5135" width="2.625" style="24" customWidth="1"/>
    <col min="5136" max="5136" width="8.125" style="24" customWidth="1"/>
    <col min="5137" max="5137" width="13.375" style="24" customWidth="1"/>
    <col min="5138" max="5376" width="10" style="24"/>
    <col min="5377" max="5377" width="2.625" style="24" customWidth="1"/>
    <col min="5378" max="5378" width="8.125" style="24" customWidth="1"/>
    <col min="5379" max="5379" width="18.25" style="24" customWidth="1"/>
    <col min="5380" max="5380" width="12.25" style="24" customWidth="1"/>
    <col min="5381" max="5382" width="11.625" style="24" customWidth="1"/>
    <col min="5383" max="5384" width="10.75" style="24" customWidth="1"/>
    <col min="5385" max="5385" width="12.375" style="24" customWidth="1"/>
    <col min="5386" max="5386" width="2.625" style="24" customWidth="1"/>
    <col min="5387" max="5387" width="8.125" style="24" customWidth="1"/>
    <col min="5388" max="5388" width="13.625" style="24" customWidth="1"/>
    <col min="5389" max="5389" width="14.625" style="24" customWidth="1"/>
    <col min="5390" max="5390" width="14.125" style="24" customWidth="1"/>
    <col min="5391" max="5391" width="2.625" style="24" customWidth="1"/>
    <col min="5392" max="5392" width="8.125" style="24" customWidth="1"/>
    <col min="5393" max="5393" width="13.375" style="24" customWidth="1"/>
    <col min="5394" max="5632" width="10" style="24"/>
    <col min="5633" max="5633" width="2.625" style="24" customWidth="1"/>
    <col min="5634" max="5634" width="8.125" style="24" customWidth="1"/>
    <col min="5635" max="5635" width="18.25" style="24" customWidth="1"/>
    <col min="5636" max="5636" width="12.25" style="24" customWidth="1"/>
    <col min="5637" max="5638" width="11.625" style="24" customWidth="1"/>
    <col min="5639" max="5640" width="10.75" style="24" customWidth="1"/>
    <col min="5641" max="5641" width="12.375" style="24" customWidth="1"/>
    <col min="5642" max="5642" width="2.625" style="24" customWidth="1"/>
    <col min="5643" max="5643" width="8.125" style="24" customWidth="1"/>
    <col min="5644" max="5644" width="13.625" style="24" customWidth="1"/>
    <col min="5645" max="5645" width="14.625" style="24" customWidth="1"/>
    <col min="5646" max="5646" width="14.125" style="24" customWidth="1"/>
    <col min="5647" max="5647" width="2.625" style="24" customWidth="1"/>
    <col min="5648" max="5648" width="8.125" style="24" customWidth="1"/>
    <col min="5649" max="5649" width="13.375" style="24" customWidth="1"/>
    <col min="5650" max="5888" width="10" style="24"/>
    <col min="5889" max="5889" width="2.625" style="24" customWidth="1"/>
    <col min="5890" max="5890" width="8.125" style="24" customWidth="1"/>
    <col min="5891" max="5891" width="18.25" style="24" customWidth="1"/>
    <col min="5892" max="5892" width="12.25" style="24" customWidth="1"/>
    <col min="5893" max="5894" width="11.625" style="24" customWidth="1"/>
    <col min="5895" max="5896" width="10.75" style="24" customWidth="1"/>
    <col min="5897" max="5897" width="12.375" style="24" customWidth="1"/>
    <col min="5898" max="5898" width="2.625" style="24" customWidth="1"/>
    <col min="5899" max="5899" width="8.125" style="24" customWidth="1"/>
    <col min="5900" max="5900" width="13.625" style="24" customWidth="1"/>
    <col min="5901" max="5901" width="14.625" style="24" customWidth="1"/>
    <col min="5902" max="5902" width="14.125" style="24" customWidth="1"/>
    <col min="5903" max="5903" width="2.625" style="24" customWidth="1"/>
    <col min="5904" max="5904" width="8.125" style="24" customWidth="1"/>
    <col min="5905" max="5905" width="13.375" style="24" customWidth="1"/>
    <col min="5906" max="6144" width="10" style="24"/>
    <col min="6145" max="6145" width="2.625" style="24" customWidth="1"/>
    <col min="6146" max="6146" width="8.125" style="24" customWidth="1"/>
    <col min="6147" max="6147" width="18.25" style="24" customWidth="1"/>
    <col min="6148" max="6148" width="12.25" style="24" customWidth="1"/>
    <col min="6149" max="6150" width="11.625" style="24" customWidth="1"/>
    <col min="6151" max="6152" width="10.75" style="24" customWidth="1"/>
    <col min="6153" max="6153" width="12.375" style="24" customWidth="1"/>
    <col min="6154" max="6154" width="2.625" style="24" customWidth="1"/>
    <col min="6155" max="6155" width="8.125" style="24" customWidth="1"/>
    <col min="6156" max="6156" width="13.625" style="24" customWidth="1"/>
    <col min="6157" max="6157" width="14.625" style="24" customWidth="1"/>
    <col min="6158" max="6158" width="14.125" style="24" customWidth="1"/>
    <col min="6159" max="6159" width="2.625" style="24" customWidth="1"/>
    <col min="6160" max="6160" width="8.125" style="24" customWidth="1"/>
    <col min="6161" max="6161" width="13.375" style="24" customWidth="1"/>
    <col min="6162" max="6400" width="10" style="24"/>
    <col min="6401" max="6401" width="2.625" style="24" customWidth="1"/>
    <col min="6402" max="6402" width="8.125" style="24" customWidth="1"/>
    <col min="6403" max="6403" width="18.25" style="24" customWidth="1"/>
    <col min="6404" max="6404" width="12.25" style="24" customWidth="1"/>
    <col min="6405" max="6406" width="11.625" style="24" customWidth="1"/>
    <col min="6407" max="6408" width="10.75" style="24" customWidth="1"/>
    <col min="6409" max="6409" width="12.375" style="24" customWidth="1"/>
    <col min="6410" max="6410" width="2.625" style="24" customWidth="1"/>
    <col min="6411" max="6411" width="8.125" style="24" customWidth="1"/>
    <col min="6412" max="6412" width="13.625" style="24" customWidth="1"/>
    <col min="6413" max="6413" width="14.625" style="24" customWidth="1"/>
    <col min="6414" max="6414" width="14.125" style="24" customWidth="1"/>
    <col min="6415" max="6415" width="2.625" style="24" customWidth="1"/>
    <col min="6416" max="6416" width="8.125" style="24" customWidth="1"/>
    <col min="6417" max="6417" width="13.375" style="24" customWidth="1"/>
    <col min="6418" max="6656" width="10" style="24"/>
    <col min="6657" max="6657" width="2.625" style="24" customWidth="1"/>
    <col min="6658" max="6658" width="8.125" style="24" customWidth="1"/>
    <col min="6659" max="6659" width="18.25" style="24" customWidth="1"/>
    <col min="6660" max="6660" width="12.25" style="24" customWidth="1"/>
    <col min="6661" max="6662" width="11.625" style="24" customWidth="1"/>
    <col min="6663" max="6664" width="10.75" style="24" customWidth="1"/>
    <col min="6665" max="6665" width="12.375" style="24" customWidth="1"/>
    <col min="6666" max="6666" width="2.625" style="24" customWidth="1"/>
    <col min="6667" max="6667" width="8.125" style="24" customWidth="1"/>
    <col min="6668" max="6668" width="13.625" style="24" customWidth="1"/>
    <col min="6669" max="6669" width="14.625" style="24" customWidth="1"/>
    <col min="6670" max="6670" width="14.125" style="24" customWidth="1"/>
    <col min="6671" max="6671" width="2.625" style="24" customWidth="1"/>
    <col min="6672" max="6672" width="8.125" style="24" customWidth="1"/>
    <col min="6673" max="6673" width="13.375" style="24" customWidth="1"/>
    <col min="6674" max="6912" width="10" style="24"/>
    <col min="6913" max="6913" width="2.625" style="24" customWidth="1"/>
    <col min="6914" max="6914" width="8.125" style="24" customWidth="1"/>
    <col min="6915" max="6915" width="18.25" style="24" customWidth="1"/>
    <col min="6916" max="6916" width="12.25" style="24" customWidth="1"/>
    <col min="6917" max="6918" width="11.625" style="24" customWidth="1"/>
    <col min="6919" max="6920" width="10.75" style="24" customWidth="1"/>
    <col min="6921" max="6921" width="12.375" style="24" customWidth="1"/>
    <col min="6922" max="6922" width="2.625" style="24" customWidth="1"/>
    <col min="6923" max="6923" width="8.125" style="24" customWidth="1"/>
    <col min="6924" max="6924" width="13.625" style="24" customWidth="1"/>
    <col min="6925" max="6925" width="14.625" style="24" customWidth="1"/>
    <col min="6926" max="6926" width="14.125" style="24" customWidth="1"/>
    <col min="6927" max="6927" width="2.625" style="24" customWidth="1"/>
    <col min="6928" max="6928" width="8.125" style="24" customWidth="1"/>
    <col min="6929" max="6929" width="13.375" style="24" customWidth="1"/>
    <col min="6930" max="7168" width="10" style="24"/>
    <col min="7169" max="7169" width="2.625" style="24" customWidth="1"/>
    <col min="7170" max="7170" width="8.125" style="24" customWidth="1"/>
    <col min="7171" max="7171" width="18.25" style="24" customWidth="1"/>
    <col min="7172" max="7172" width="12.25" style="24" customWidth="1"/>
    <col min="7173" max="7174" width="11.625" style="24" customWidth="1"/>
    <col min="7175" max="7176" width="10.75" style="24" customWidth="1"/>
    <col min="7177" max="7177" width="12.375" style="24" customWidth="1"/>
    <col min="7178" max="7178" width="2.625" style="24" customWidth="1"/>
    <col min="7179" max="7179" width="8.125" style="24" customWidth="1"/>
    <col min="7180" max="7180" width="13.625" style="24" customWidth="1"/>
    <col min="7181" max="7181" width="14.625" style="24" customWidth="1"/>
    <col min="7182" max="7182" width="14.125" style="24" customWidth="1"/>
    <col min="7183" max="7183" width="2.625" style="24" customWidth="1"/>
    <col min="7184" max="7184" width="8.125" style="24" customWidth="1"/>
    <col min="7185" max="7185" width="13.375" style="24" customWidth="1"/>
    <col min="7186" max="7424" width="10" style="24"/>
    <col min="7425" max="7425" width="2.625" style="24" customWidth="1"/>
    <col min="7426" max="7426" width="8.125" style="24" customWidth="1"/>
    <col min="7427" max="7427" width="18.25" style="24" customWidth="1"/>
    <col min="7428" max="7428" width="12.25" style="24" customWidth="1"/>
    <col min="7429" max="7430" width="11.625" style="24" customWidth="1"/>
    <col min="7431" max="7432" width="10.75" style="24" customWidth="1"/>
    <col min="7433" max="7433" width="12.375" style="24" customWidth="1"/>
    <col min="7434" max="7434" width="2.625" style="24" customWidth="1"/>
    <col min="7435" max="7435" width="8.125" style="24" customWidth="1"/>
    <col min="7436" max="7436" width="13.625" style="24" customWidth="1"/>
    <col min="7437" max="7437" width="14.625" style="24" customWidth="1"/>
    <col min="7438" max="7438" width="14.125" style="24" customWidth="1"/>
    <col min="7439" max="7439" width="2.625" style="24" customWidth="1"/>
    <col min="7440" max="7440" width="8.125" style="24" customWidth="1"/>
    <col min="7441" max="7441" width="13.375" style="24" customWidth="1"/>
    <col min="7442" max="7680" width="10" style="24"/>
    <col min="7681" max="7681" width="2.625" style="24" customWidth="1"/>
    <col min="7682" max="7682" width="8.125" style="24" customWidth="1"/>
    <col min="7683" max="7683" width="18.25" style="24" customWidth="1"/>
    <col min="7684" max="7684" width="12.25" style="24" customWidth="1"/>
    <col min="7685" max="7686" width="11.625" style="24" customWidth="1"/>
    <col min="7687" max="7688" width="10.75" style="24" customWidth="1"/>
    <col min="7689" max="7689" width="12.375" style="24" customWidth="1"/>
    <col min="7690" max="7690" width="2.625" style="24" customWidth="1"/>
    <col min="7691" max="7691" width="8.125" style="24" customWidth="1"/>
    <col min="7692" max="7692" width="13.625" style="24" customWidth="1"/>
    <col min="7693" max="7693" width="14.625" style="24" customWidth="1"/>
    <col min="7694" max="7694" width="14.125" style="24" customWidth="1"/>
    <col min="7695" max="7695" width="2.625" style="24" customWidth="1"/>
    <col min="7696" max="7696" width="8.125" style="24" customWidth="1"/>
    <col min="7697" max="7697" width="13.375" style="24" customWidth="1"/>
    <col min="7698" max="7936" width="10" style="24"/>
    <col min="7937" max="7937" width="2.625" style="24" customWidth="1"/>
    <col min="7938" max="7938" width="8.125" style="24" customWidth="1"/>
    <col min="7939" max="7939" width="18.25" style="24" customWidth="1"/>
    <col min="7940" max="7940" width="12.25" style="24" customWidth="1"/>
    <col min="7941" max="7942" width="11.625" style="24" customWidth="1"/>
    <col min="7943" max="7944" width="10.75" style="24" customWidth="1"/>
    <col min="7945" max="7945" width="12.375" style="24" customWidth="1"/>
    <col min="7946" max="7946" width="2.625" style="24" customWidth="1"/>
    <col min="7947" max="7947" width="8.125" style="24" customWidth="1"/>
    <col min="7948" max="7948" width="13.625" style="24" customWidth="1"/>
    <col min="7949" max="7949" width="14.625" style="24" customWidth="1"/>
    <col min="7950" max="7950" width="14.125" style="24" customWidth="1"/>
    <col min="7951" max="7951" width="2.625" style="24" customWidth="1"/>
    <col min="7952" max="7952" width="8.125" style="24" customWidth="1"/>
    <col min="7953" max="7953" width="13.375" style="24" customWidth="1"/>
    <col min="7954" max="8192" width="10" style="24"/>
    <col min="8193" max="8193" width="2.625" style="24" customWidth="1"/>
    <col min="8194" max="8194" width="8.125" style="24" customWidth="1"/>
    <col min="8195" max="8195" width="18.25" style="24" customWidth="1"/>
    <col min="8196" max="8196" width="12.25" style="24" customWidth="1"/>
    <col min="8197" max="8198" width="11.625" style="24" customWidth="1"/>
    <col min="8199" max="8200" width="10.75" style="24" customWidth="1"/>
    <col min="8201" max="8201" width="12.375" style="24" customWidth="1"/>
    <col min="8202" max="8202" width="2.625" style="24" customWidth="1"/>
    <col min="8203" max="8203" width="8.125" style="24" customWidth="1"/>
    <col min="8204" max="8204" width="13.625" style="24" customWidth="1"/>
    <col min="8205" max="8205" width="14.625" style="24" customWidth="1"/>
    <col min="8206" max="8206" width="14.125" style="24" customWidth="1"/>
    <col min="8207" max="8207" width="2.625" style="24" customWidth="1"/>
    <col min="8208" max="8208" width="8.125" style="24" customWidth="1"/>
    <col min="8209" max="8209" width="13.375" style="24" customWidth="1"/>
    <col min="8210" max="8448" width="10" style="24"/>
    <col min="8449" max="8449" width="2.625" style="24" customWidth="1"/>
    <col min="8450" max="8450" width="8.125" style="24" customWidth="1"/>
    <col min="8451" max="8451" width="18.25" style="24" customWidth="1"/>
    <col min="8452" max="8452" width="12.25" style="24" customWidth="1"/>
    <col min="8453" max="8454" width="11.625" style="24" customWidth="1"/>
    <col min="8455" max="8456" width="10.75" style="24" customWidth="1"/>
    <col min="8457" max="8457" width="12.375" style="24" customWidth="1"/>
    <col min="8458" max="8458" width="2.625" style="24" customWidth="1"/>
    <col min="8459" max="8459" width="8.125" style="24" customWidth="1"/>
    <col min="8460" max="8460" width="13.625" style="24" customWidth="1"/>
    <col min="8461" max="8461" width="14.625" style="24" customWidth="1"/>
    <col min="8462" max="8462" width="14.125" style="24" customWidth="1"/>
    <col min="8463" max="8463" width="2.625" style="24" customWidth="1"/>
    <col min="8464" max="8464" width="8.125" style="24" customWidth="1"/>
    <col min="8465" max="8465" width="13.375" style="24" customWidth="1"/>
    <col min="8466" max="8704" width="10" style="24"/>
    <col min="8705" max="8705" width="2.625" style="24" customWidth="1"/>
    <col min="8706" max="8706" width="8.125" style="24" customWidth="1"/>
    <col min="8707" max="8707" width="18.25" style="24" customWidth="1"/>
    <col min="8708" max="8708" width="12.25" style="24" customWidth="1"/>
    <col min="8709" max="8710" width="11.625" style="24" customWidth="1"/>
    <col min="8711" max="8712" width="10.75" style="24" customWidth="1"/>
    <col min="8713" max="8713" width="12.375" style="24" customWidth="1"/>
    <col min="8714" max="8714" width="2.625" style="24" customWidth="1"/>
    <col min="8715" max="8715" width="8.125" style="24" customWidth="1"/>
    <col min="8716" max="8716" width="13.625" style="24" customWidth="1"/>
    <col min="8717" max="8717" width="14.625" style="24" customWidth="1"/>
    <col min="8718" max="8718" width="14.125" style="24" customWidth="1"/>
    <col min="8719" max="8719" width="2.625" style="24" customWidth="1"/>
    <col min="8720" max="8720" width="8.125" style="24" customWidth="1"/>
    <col min="8721" max="8721" width="13.375" style="24" customWidth="1"/>
    <col min="8722" max="8960" width="10" style="24"/>
    <col min="8961" max="8961" width="2.625" style="24" customWidth="1"/>
    <col min="8962" max="8962" width="8.125" style="24" customWidth="1"/>
    <col min="8963" max="8963" width="18.25" style="24" customWidth="1"/>
    <col min="8964" max="8964" width="12.25" style="24" customWidth="1"/>
    <col min="8965" max="8966" width="11.625" style="24" customWidth="1"/>
    <col min="8967" max="8968" width="10.75" style="24" customWidth="1"/>
    <col min="8969" max="8969" width="12.375" style="24" customWidth="1"/>
    <col min="8970" max="8970" width="2.625" style="24" customWidth="1"/>
    <col min="8971" max="8971" width="8.125" style="24" customWidth="1"/>
    <col min="8972" max="8972" width="13.625" style="24" customWidth="1"/>
    <col min="8973" max="8973" width="14.625" style="24" customWidth="1"/>
    <col min="8974" max="8974" width="14.125" style="24" customWidth="1"/>
    <col min="8975" max="8975" width="2.625" style="24" customWidth="1"/>
    <col min="8976" max="8976" width="8.125" style="24" customWidth="1"/>
    <col min="8977" max="8977" width="13.375" style="24" customWidth="1"/>
    <col min="8978" max="9216" width="10" style="24"/>
    <col min="9217" max="9217" width="2.625" style="24" customWidth="1"/>
    <col min="9218" max="9218" width="8.125" style="24" customWidth="1"/>
    <col min="9219" max="9219" width="18.25" style="24" customWidth="1"/>
    <col min="9220" max="9220" width="12.25" style="24" customWidth="1"/>
    <col min="9221" max="9222" width="11.625" style="24" customWidth="1"/>
    <col min="9223" max="9224" width="10.75" style="24" customWidth="1"/>
    <col min="9225" max="9225" width="12.375" style="24" customWidth="1"/>
    <col min="9226" max="9226" width="2.625" style="24" customWidth="1"/>
    <col min="9227" max="9227" width="8.125" style="24" customWidth="1"/>
    <col min="9228" max="9228" width="13.625" style="24" customWidth="1"/>
    <col min="9229" max="9229" width="14.625" style="24" customWidth="1"/>
    <col min="9230" max="9230" width="14.125" style="24" customWidth="1"/>
    <col min="9231" max="9231" width="2.625" style="24" customWidth="1"/>
    <col min="9232" max="9232" width="8.125" style="24" customWidth="1"/>
    <col min="9233" max="9233" width="13.375" style="24" customWidth="1"/>
    <col min="9234" max="9472" width="10" style="24"/>
    <col min="9473" max="9473" width="2.625" style="24" customWidth="1"/>
    <col min="9474" max="9474" width="8.125" style="24" customWidth="1"/>
    <col min="9475" max="9475" width="18.25" style="24" customWidth="1"/>
    <col min="9476" max="9476" width="12.25" style="24" customWidth="1"/>
    <col min="9477" max="9478" width="11.625" style="24" customWidth="1"/>
    <col min="9479" max="9480" width="10.75" style="24" customWidth="1"/>
    <col min="9481" max="9481" width="12.375" style="24" customWidth="1"/>
    <col min="9482" max="9482" width="2.625" style="24" customWidth="1"/>
    <col min="9483" max="9483" width="8.125" style="24" customWidth="1"/>
    <col min="9484" max="9484" width="13.625" style="24" customWidth="1"/>
    <col min="9485" max="9485" width="14.625" style="24" customWidth="1"/>
    <col min="9486" max="9486" width="14.125" style="24" customWidth="1"/>
    <col min="9487" max="9487" width="2.625" style="24" customWidth="1"/>
    <col min="9488" max="9488" width="8.125" style="24" customWidth="1"/>
    <col min="9489" max="9489" width="13.375" style="24" customWidth="1"/>
    <col min="9490" max="9728" width="10" style="24"/>
    <col min="9729" max="9729" width="2.625" style="24" customWidth="1"/>
    <col min="9730" max="9730" width="8.125" style="24" customWidth="1"/>
    <col min="9731" max="9731" width="18.25" style="24" customWidth="1"/>
    <col min="9732" max="9732" width="12.25" style="24" customWidth="1"/>
    <col min="9733" max="9734" width="11.625" style="24" customWidth="1"/>
    <col min="9735" max="9736" width="10.75" style="24" customWidth="1"/>
    <col min="9737" max="9737" width="12.375" style="24" customWidth="1"/>
    <col min="9738" max="9738" width="2.625" style="24" customWidth="1"/>
    <col min="9739" max="9739" width="8.125" style="24" customWidth="1"/>
    <col min="9740" max="9740" width="13.625" style="24" customWidth="1"/>
    <col min="9741" max="9741" width="14.625" style="24" customWidth="1"/>
    <col min="9742" max="9742" width="14.125" style="24" customWidth="1"/>
    <col min="9743" max="9743" width="2.625" style="24" customWidth="1"/>
    <col min="9744" max="9744" width="8.125" style="24" customWidth="1"/>
    <col min="9745" max="9745" width="13.375" style="24" customWidth="1"/>
    <col min="9746" max="9984" width="10" style="24"/>
    <col min="9985" max="9985" width="2.625" style="24" customWidth="1"/>
    <col min="9986" max="9986" width="8.125" style="24" customWidth="1"/>
    <col min="9987" max="9987" width="18.25" style="24" customWidth="1"/>
    <col min="9988" max="9988" width="12.25" style="24" customWidth="1"/>
    <col min="9989" max="9990" width="11.625" style="24" customWidth="1"/>
    <col min="9991" max="9992" width="10.75" style="24" customWidth="1"/>
    <col min="9993" max="9993" width="12.375" style="24" customWidth="1"/>
    <col min="9994" max="9994" width="2.625" style="24" customWidth="1"/>
    <col min="9995" max="9995" width="8.125" style="24" customWidth="1"/>
    <col min="9996" max="9996" width="13.625" style="24" customWidth="1"/>
    <col min="9997" max="9997" width="14.625" style="24" customWidth="1"/>
    <col min="9998" max="9998" width="14.125" style="24" customWidth="1"/>
    <col min="9999" max="9999" width="2.625" style="24" customWidth="1"/>
    <col min="10000" max="10000" width="8.125" style="24" customWidth="1"/>
    <col min="10001" max="10001" width="13.375" style="24" customWidth="1"/>
    <col min="10002" max="10240" width="10" style="24"/>
    <col min="10241" max="10241" width="2.625" style="24" customWidth="1"/>
    <col min="10242" max="10242" width="8.125" style="24" customWidth="1"/>
    <col min="10243" max="10243" width="18.25" style="24" customWidth="1"/>
    <col min="10244" max="10244" width="12.25" style="24" customWidth="1"/>
    <col min="10245" max="10246" width="11.625" style="24" customWidth="1"/>
    <col min="10247" max="10248" width="10.75" style="24" customWidth="1"/>
    <col min="10249" max="10249" width="12.375" style="24" customWidth="1"/>
    <col min="10250" max="10250" width="2.625" style="24" customWidth="1"/>
    <col min="10251" max="10251" width="8.125" style="24" customWidth="1"/>
    <col min="10252" max="10252" width="13.625" style="24" customWidth="1"/>
    <col min="10253" max="10253" width="14.625" style="24" customWidth="1"/>
    <col min="10254" max="10254" width="14.125" style="24" customWidth="1"/>
    <col min="10255" max="10255" width="2.625" style="24" customWidth="1"/>
    <col min="10256" max="10256" width="8.125" style="24" customWidth="1"/>
    <col min="10257" max="10257" width="13.375" style="24" customWidth="1"/>
    <col min="10258" max="10496" width="10" style="24"/>
    <col min="10497" max="10497" width="2.625" style="24" customWidth="1"/>
    <col min="10498" max="10498" width="8.125" style="24" customWidth="1"/>
    <col min="10499" max="10499" width="18.25" style="24" customWidth="1"/>
    <col min="10500" max="10500" width="12.25" style="24" customWidth="1"/>
    <col min="10501" max="10502" width="11.625" style="24" customWidth="1"/>
    <col min="10503" max="10504" width="10.75" style="24" customWidth="1"/>
    <col min="10505" max="10505" width="12.375" style="24" customWidth="1"/>
    <col min="10506" max="10506" width="2.625" style="24" customWidth="1"/>
    <col min="10507" max="10507" width="8.125" style="24" customWidth="1"/>
    <col min="10508" max="10508" width="13.625" style="24" customWidth="1"/>
    <col min="10509" max="10509" width="14.625" style="24" customWidth="1"/>
    <col min="10510" max="10510" width="14.125" style="24" customWidth="1"/>
    <col min="10511" max="10511" width="2.625" style="24" customWidth="1"/>
    <col min="10512" max="10512" width="8.125" style="24" customWidth="1"/>
    <col min="10513" max="10513" width="13.375" style="24" customWidth="1"/>
    <col min="10514" max="10752" width="10" style="24"/>
    <col min="10753" max="10753" width="2.625" style="24" customWidth="1"/>
    <col min="10754" max="10754" width="8.125" style="24" customWidth="1"/>
    <col min="10755" max="10755" width="18.25" style="24" customWidth="1"/>
    <col min="10756" max="10756" width="12.25" style="24" customWidth="1"/>
    <col min="10757" max="10758" width="11.625" style="24" customWidth="1"/>
    <col min="10759" max="10760" width="10.75" style="24" customWidth="1"/>
    <col min="10761" max="10761" width="12.375" style="24" customWidth="1"/>
    <col min="10762" max="10762" width="2.625" style="24" customWidth="1"/>
    <col min="10763" max="10763" width="8.125" style="24" customWidth="1"/>
    <col min="10764" max="10764" width="13.625" style="24" customWidth="1"/>
    <col min="10765" max="10765" width="14.625" style="24" customWidth="1"/>
    <col min="10766" max="10766" width="14.125" style="24" customWidth="1"/>
    <col min="10767" max="10767" width="2.625" style="24" customWidth="1"/>
    <col min="10768" max="10768" width="8.125" style="24" customWidth="1"/>
    <col min="10769" max="10769" width="13.375" style="24" customWidth="1"/>
    <col min="10770" max="11008" width="10" style="24"/>
    <col min="11009" max="11009" width="2.625" style="24" customWidth="1"/>
    <col min="11010" max="11010" width="8.125" style="24" customWidth="1"/>
    <col min="11011" max="11011" width="18.25" style="24" customWidth="1"/>
    <col min="11012" max="11012" width="12.25" style="24" customWidth="1"/>
    <col min="11013" max="11014" width="11.625" style="24" customWidth="1"/>
    <col min="11015" max="11016" width="10.75" style="24" customWidth="1"/>
    <col min="11017" max="11017" width="12.375" style="24" customWidth="1"/>
    <col min="11018" max="11018" width="2.625" style="24" customWidth="1"/>
    <col min="11019" max="11019" width="8.125" style="24" customWidth="1"/>
    <col min="11020" max="11020" width="13.625" style="24" customWidth="1"/>
    <col min="11021" max="11021" width="14.625" style="24" customWidth="1"/>
    <col min="11022" max="11022" width="14.125" style="24" customWidth="1"/>
    <col min="11023" max="11023" width="2.625" style="24" customWidth="1"/>
    <col min="11024" max="11024" width="8.125" style="24" customWidth="1"/>
    <col min="11025" max="11025" width="13.375" style="24" customWidth="1"/>
    <col min="11026" max="11264" width="10" style="24"/>
    <col min="11265" max="11265" width="2.625" style="24" customWidth="1"/>
    <col min="11266" max="11266" width="8.125" style="24" customWidth="1"/>
    <col min="11267" max="11267" width="18.25" style="24" customWidth="1"/>
    <col min="11268" max="11268" width="12.25" style="24" customWidth="1"/>
    <col min="11269" max="11270" width="11.625" style="24" customWidth="1"/>
    <col min="11271" max="11272" width="10.75" style="24" customWidth="1"/>
    <col min="11273" max="11273" width="12.375" style="24" customWidth="1"/>
    <col min="11274" max="11274" width="2.625" style="24" customWidth="1"/>
    <col min="11275" max="11275" width="8.125" style="24" customWidth="1"/>
    <col min="11276" max="11276" width="13.625" style="24" customWidth="1"/>
    <col min="11277" max="11277" width="14.625" style="24" customWidth="1"/>
    <col min="11278" max="11278" width="14.125" style="24" customWidth="1"/>
    <col min="11279" max="11279" width="2.625" style="24" customWidth="1"/>
    <col min="11280" max="11280" width="8.125" style="24" customWidth="1"/>
    <col min="11281" max="11281" width="13.375" style="24" customWidth="1"/>
    <col min="11282" max="11520" width="10" style="24"/>
    <col min="11521" max="11521" width="2.625" style="24" customWidth="1"/>
    <col min="11522" max="11522" width="8.125" style="24" customWidth="1"/>
    <col min="11523" max="11523" width="18.25" style="24" customWidth="1"/>
    <col min="11524" max="11524" width="12.25" style="24" customWidth="1"/>
    <col min="11525" max="11526" width="11.625" style="24" customWidth="1"/>
    <col min="11527" max="11528" width="10.75" style="24" customWidth="1"/>
    <col min="11529" max="11529" width="12.375" style="24" customWidth="1"/>
    <col min="11530" max="11530" width="2.625" style="24" customWidth="1"/>
    <col min="11531" max="11531" width="8.125" style="24" customWidth="1"/>
    <col min="11532" max="11532" width="13.625" style="24" customWidth="1"/>
    <col min="11533" max="11533" width="14.625" style="24" customWidth="1"/>
    <col min="11534" max="11534" width="14.125" style="24" customWidth="1"/>
    <col min="11535" max="11535" width="2.625" style="24" customWidth="1"/>
    <col min="11536" max="11536" width="8.125" style="24" customWidth="1"/>
    <col min="11537" max="11537" width="13.375" style="24" customWidth="1"/>
    <col min="11538" max="11776" width="10" style="24"/>
    <col min="11777" max="11777" width="2.625" style="24" customWidth="1"/>
    <col min="11778" max="11778" width="8.125" style="24" customWidth="1"/>
    <col min="11779" max="11779" width="18.25" style="24" customWidth="1"/>
    <col min="11780" max="11780" width="12.25" style="24" customWidth="1"/>
    <col min="11781" max="11782" width="11.625" style="24" customWidth="1"/>
    <col min="11783" max="11784" width="10.75" style="24" customWidth="1"/>
    <col min="11785" max="11785" width="12.375" style="24" customWidth="1"/>
    <col min="11786" max="11786" width="2.625" style="24" customWidth="1"/>
    <col min="11787" max="11787" width="8.125" style="24" customWidth="1"/>
    <col min="11788" max="11788" width="13.625" style="24" customWidth="1"/>
    <col min="11789" max="11789" width="14.625" style="24" customWidth="1"/>
    <col min="11790" max="11790" width="14.125" style="24" customWidth="1"/>
    <col min="11791" max="11791" width="2.625" style="24" customWidth="1"/>
    <col min="11792" max="11792" width="8.125" style="24" customWidth="1"/>
    <col min="11793" max="11793" width="13.375" style="24" customWidth="1"/>
    <col min="11794" max="12032" width="10" style="24"/>
    <col min="12033" max="12033" width="2.625" style="24" customWidth="1"/>
    <col min="12034" max="12034" width="8.125" style="24" customWidth="1"/>
    <col min="12035" max="12035" width="18.25" style="24" customWidth="1"/>
    <col min="12036" max="12036" width="12.25" style="24" customWidth="1"/>
    <col min="12037" max="12038" width="11.625" style="24" customWidth="1"/>
    <col min="12039" max="12040" width="10.75" style="24" customWidth="1"/>
    <col min="12041" max="12041" width="12.375" style="24" customWidth="1"/>
    <col min="12042" max="12042" width="2.625" style="24" customWidth="1"/>
    <col min="12043" max="12043" width="8.125" style="24" customWidth="1"/>
    <col min="12044" max="12044" width="13.625" style="24" customWidth="1"/>
    <col min="12045" max="12045" width="14.625" style="24" customWidth="1"/>
    <col min="12046" max="12046" width="14.125" style="24" customWidth="1"/>
    <col min="12047" max="12047" width="2.625" style="24" customWidth="1"/>
    <col min="12048" max="12048" width="8.125" style="24" customWidth="1"/>
    <col min="12049" max="12049" width="13.375" style="24" customWidth="1"/>
    <col min="12050" max="12288" width="10" style="24"/>
    <col min="12289" max="12289" width="2.625" style="24" customWidth="1"/>
    <col min="12290" max="12290" width="8.125" style="24" customWidth="1"/>
    <col min="12291" max="12291" width="18.25" style="24" customWidth="1"/>
    <col min="12292" max="12292" width="12.25" style="24" customWidth="1"/>
    <col min="12293" max="12294" width="11.625" style="24" customWidth="1"/>
    <col min="12295" max="12296" width="10.75" style="24" customWidth="1"/>
    <col min="12297" max="12297" width="12.375" style="24" customWidth="1"/>
    <col min="12298" max="12298" width="2.625" style="24" customWidth="1"/>
    <col min="12299" max="12299" width="8.125" style="24" customWidth="1"/>
    <col min="12300" max="12300" width="13.625" style="24" customWidth="1"/>
    <col min="12301" max="12301" width="14.625" style="24" customWidth="1"/>
    <col min="12302" max="12302" width="14.125" style="24" customWidth="1"/>
    <col min="12303" max="12303" width="2.625" style="24" customWidth="1"/>
    <col min="12304" max="12304" width="8.125" style="24" customWidth="1"/>
    <col min="12305" max="12305" width="13.375" style="24" customWidth="1"/>
    <col min="12306" max="12544" width="10" style="24"/>
    <col min="12545" max="12545" width="2.625" style="24" customWidth="1"/>
    <col min="12546" max="12546" width="8.125" style="24" customWidth="1"/>
    <col min="12547" max="12547" width="18.25" style="24" customWidth="1"/>
    <col min="12548" max="12548" width="12.25" style="24" customWidth="1"/>
    <col min="12549" max="12550" width="11.625" style="24" customWidth="1"/>
    <col min="12551" max="12552" width="10.75" style="24" customWidth="1"/>
    <col min="12553" max="12553" width="12.375" style="24" customWidth="1"/>
    <col min="12554" max="12554" width="2.625" style="24" customWidth="1"/>
    <col min="12555" max="12555" width="8.125" style="24" customWidth="1"/>
    <col min="12556" max="12556" width="13.625" style="24" customWidth="1"/>
    <col min="12557" max="12557" width="14.625" style="24" customWidth="1"/>
    <col min="12558" max="12558" width="14.125" style="24" customWidth="1"/>
    <col min="12559" max="12559" width="2.625" style="24" customWidth="1"/>
    <col min="12560" max="12560" width="8.125" style="24" customWidth="1"/>
    <col min="12561" max="12561" width="13.375" style="24" customWidth="1"/>
    <col min="12562" max="12800" width="10" style="24"/>
    <col min="12801" max="12801" width="2.625" style="24" customWidth="1"/>
    <col min="12802" max="12802" width="8.125" style="24" customWidth="1"/>
    <col min="12803" max="12803" width="18.25" style="24" customWidth="1"/>
    <col min="12804" max="12804" width="12.25" style="24" customWidth="1"/>
    <col min="12805" max="12806" width="11.625" style="24" customWidth="1"/>
    <col min="12807" max="12808" width="10.75" style="24" customWidth="1"/>
    <col min="12809" max="12809" width="12.375" style="24" customWidth="1"/>
    <col min="12810" max="12810" width="2.625" style="24" customWidth="1"/>
    <col min="12811" max="12811" width="8.125" style="24" customWidth="1"/>
    <col min="12812" max="12812" width="13.625" style="24" customWidth="1"/>
    <col min="12813" max="12813" width="14.625" style="24" customWidth="1"/>
    <col min="12814" max="12814" width="14.125" style="24" customWidth="1"/>
    <col min="12815" max="12815" width="2.625" style="24" customWidth="1"/>
    <col min="12816" max="12816" width="8.125" style="24" customWidth="1"/>
    <col min="12817" max="12817" width="13.375" style="24" customWidth="1"/>
    <col min="12818" max="13056" width="10" style="24"/>
    <col min="13057" max="13057" width="2.625" style="24" customWidth="1"/>
    <col min="13058" max="13058" width="8.125" style="24" customWidth="1"/>
    <col min="13059" max="13059" width="18.25" style="24" customWidth="1"/>
    <col min="13060" max="13060" width="12.25" style="24" customWidth="1"/>
    <col min="13061" max="13062" width="11.625" style="24" customWidth="1"/>
    <col min="13063" max="13064" width="10.75" style="24" customWidth="1"/>
    <col min="13065" max="13065" width="12.375" style="24" customWidth="1"/>
    <col min="13066" max="13066" width="2.625" style="24" customWidth="1"/>
    <col min="13067" max="13067" width="8.125" style="24" customWidth="1"/>
    <col min="13068" max="13068" width="13.625" style="24" customWidth="1"/>
    <col min="13069" max="13069" width="14.625" style="24" customWidth="1"/>
    <col min="13070" max="13070" width="14.125" style="24" customWidth="1"/>
    <col min="13071" max="13071" width="2.625" style="24" customWidth="1"/>
    <col min="13072" max="13072" width="8.125" style="24" customWidth="1"/>
    <col min="13073" max="13073" width="13.375" style="24" customWidth="1"/>
    <col min="13074" max="13312" width="10" style="24"/>
    <col min="13313" max="13313" width="2.625" style="24" customWidth="1"/>
    <col min="13314" max="13314" width="8.125" style="24" customWidth="1"/>
    <col min="13315" max="13315" width="18.25" style="24" customWidth="1"/>
    <col min="13316" max="13316" width="12.25" style="24" customWidth="1"/>
    <col min="13317" max="13318" width="11.625" style="24" customWidth="1"/>
    <col min="13319" max="13320" width="10.75" style="24" customWidth="1"/>
    <col min="13321" max="13321" width="12.375" style="24" customWidth="1"/>
    <col min="13322" max="13322" width="2.625" style="24" customWidth="1"/>
    <col min="13323" max="13323" width="8.125" style="24" customWidth="1"/>
    <col min="13324" max="13324" width="13.625" style="24" customWidth="1"/>
    <col min="13325" max="13325" width="14.625" style="24" customWidth="1"/>
    <col min="13326" max="13326" width="14.125" style="24" customWidth="1"/>
    <col min="13327" max="13327" width="2.625" style="24" customWidth="1"/>
    <col min="13328" max="13328" width="8.125" style="24" customWidth="1"/>
    <col min="13329" max="13329" width="13.375" style="24" customWidth="1"/>
    <col min="13330" max="13568" width="10" style="24"/>
    <col min="13569" max="13569" width="2.625" style="24" customWidth="1"/>
    <col min="13570" max="13570" width="8.125" style="24" customWidth="1"/>
    <col min="13571" max="13571" width="18.25" style="24" customWidth="1"/>
    <col min="13572" max="13572" width="12.25" style="24" customWidth="1"/>
    <col min="13573" max="13574" width="11.625" style="24" customWidth="1"/>
    <col min="13575" max="13576" width="10.75" style="24" customWidth="1"/>
    <col min="13577" max="13577" width="12.375" style="24" customWidth="1"/>
    <col min="13578" max="13578" width="2.625" style="24" customWidth="1"/>
    <col min="13579" max="13579" width="8.125" style="24" customWidth="1"/>
    <col min="13580" max="13580" width="13.625" style="24" customWidth="1"/>
    <col min="13581" max="13581" width="14.625" style="24" customWidth="1"/>
    <col min="13582" max="13582" width="14.125" style="24" customWidth="1"/>
    <col min="13583" max="13583" width="2.625" style="24" customWidth="1"/>
    <col min="13584" max="13584" width="8.125" style="24" customWidth="1"/>
    <col min="13585" max="13585" width="13.375" style="24" customWidth="1"/>
    <col min="13586" max="13824" width="10" style="24"/>
    <col min="13825" max="13825" width="2.625" style="24" customWidth="1"/>
    <col min="13826" max="13826" width="8.125" style="24" customWidth="1"/>
    <col min="13827" max="13827" width="18.25" style="24" customWidth="1"/>
    <col min="13828" max="13828" width="12.25" style="24" customWidth="1"/>
    <col min="13829" max="13830" width="11.625" style="24" customWidth="1"/>
    <col min="13831" max="13832" width="10.75" style="24" customWidth="1"/>
    <col min="13833" max="13833" width="12.375" style="24" customWidth="1"/>
    <col min="13834" max="13834" width="2.625" style="24" customWidth="1"/>
    <col min="13835" max="13835" width="8.125" style="24" customWidth="1"/>
    <col min="13836" max="13836" width="13.625" style="24" customWidth="1"/>
    <col min="13837" max="13837" width="14.625" style="24" customWidth="1"/>
    <col min="13838" max="13838" width="14.125" style="24" customWidth="1"/>
    <col min="13839" max="13839" width="2.625" style="24" customWidth="1"/>
    <col min="13840" max="13840" width="8.125" style="24" customWidth="1"/>
    <col min="13841" max="13841" width="13.375" style="24" customWidth="1"/>
    <col min="13842" max="14080" width="10" style="24"/>
    <col min="14081" max="14081" width="2.625" style="24" customWidth="1"/>
    <col min="14082" max="14082" width="8.125" style="24" customWidth="1"/>
    <col min="14083" max="14083" width="18.25" style="24" customWidth="1"/>
    <col min="14084" max="14084" width="12.25" style="24" customWidth="1"/>
    <col min="14085" max="14086" width="11.625" style="24" customWidth="1"/>
    <col min="14087" max="14088" width="10.75" style="24" customWidth="1"/>
    <col min="14089" max="14089" width="12.375" style="24" customWidth="1"/>
    <col min="14090" max="14090" width="2.625" style="24" customWidth="1"/>
    <col min="14091" max="14091" width="8.125" style="24" customWidth="1"/>
    <col min="14092" max="14092" width="13.625" style="24" customWidth="1"/>
    <col min="14093" max="14093" width="14.625" style="24" customWidth="1"/>
    <col min="14094" max="14094" width="14.125" style="24" customWidth="1"/>
    <col min="14095" max="14095" width="2.625" style="24" customWidth="1"/>
    <col min="14096" max="14096" width="8.125" style="24" customWidth="1"/>
    <col min="14097" max="14097" width="13.375" style="24" customWidth="1"/>
    <col min="14098" max="14336" width="10" style="24"/>
    <col min="14337" max="14337" width="2.625" style="24" customWidth="1"/>
    <col min="14338" max="14338" width="8.125" style="24" customWidth="1"/>
    <col min="14339" max="14339" width="18.25" style="24" customWidth="1"/>
    <col min="14340" max="14340" width="12.25" style="24" customWidth="1"/>
    <col min="14341" max="14342" width="11.625" style="24" customWidth="1"/>
    <col min="14343" max="14344" width="10.75" style="24" customWidth="1"/>
    <col min="14345" max="14345" width="12.375" style="24" customWidth="1"/>
    <col min="14346" max="14346" width="2.625" style="24" customWidth="1"/>
    <col min="14347" max="14347" width="8.125" style="24" customWidth="1"/>
    <col min="14348" max="14348" width="13.625" style="24" customWidth="1"/>
    <col min="14349" max="14349" width="14.625" style="24" customWidth="1"/>
    <col min="14350" max="14350" width="14.125" style="24" customWidth="1"/>
    <col min="14351" max="14351" width="2.625" style="24" customWidth="1"/>
    <col min="14352" max="14352" width="8.125" style="24" customWidth="1"/>
    <col min="14353" max="14353" width="13.375" style="24" customWidth="1"/>
    <col min="14354" max="14592" width="10" style="24"/>
    <col min="14593" max="14593" width="2.625" style="24" customWidth="1"/>
    <col min="14594" max="14594" width="8.125" style="24" customWidth="1"/>
    <col min="14595" max="14595" width="18.25" style="24" customWidth="1"/>
    <col min="14596" max="14596" width="12.25" style="24" customWidth="1"/>
    <col min="14597" max="14598" width="11.625" style="24" customWidth="1"/>
    <col min="14599" max="14600" width="10.75" style="24" customWidth="1"/>
    <col min="14601" max="14601" width="12.375" style="24" customWidth="1"/>
    <col min="14602" max="14602" width="2.625" style="24" customWidth="1"/>
    <col min="14603" max="14603" width="8.125" style="24" customWidth="1"/>
    <col min="14604" max="14604" width="13.625" style="24" customWidth="1"/>
    <col min="14605" max="14605" width="14.625" style="24" customWidth="1"/>
    <col min="14606" max="14606" width="14.125" style="24" customWidth="1"/>
    <col min="14607" max="14607" width="2.625" style="24" customWidth="1"/>
    <col min="14608" max="14608" width="8.125" style="24" customWidth="1"/>
    <col min="14609" max="14609" width="13.375" style="24" customWidth="1"/>
    <col min="14610" max="14848" width="10" style="24"/>
    <col min="14849" max="14849" width="2.625" style="24" customWidth="1"/>
    <col min="14850" max="14850" width="8.125" style="24" customWidth="1"/>
    <col min="14851" max="14851" width="18.25" style="24" customWidth="1"/>
    <col min="14852" max="14852" width="12.25" style="24" customWidth="1"/>
    <col min="14853" max="14854" width="11.625" style="24" customWidth="1"/>
    <col min="14855" max="14856" width="10.75" style="24" customWidth="1"/>
    <col min="14857" max="14857" width="12.375" style="24" customWidth="1"/>
    <col min="14858" max="14858" width="2.625" style="24" customWidth="1"/>
    <col min="14859" max="14859" width="8.125" style="24" customWidth="1"/>
    <col min="14860" max="14860" width="13.625" style="24" customWidth="1"/>
    <col min="14861" max="14861" width="14.625" style="24" customWidth="1"/>
    <col min="14862" max="14862" width="14.125" style="24" customWidth="1"/>
    <col min="14863" max="14863" width="2.625" style="24" customWidth="1"/>
    <col min="14864" max="14864" width="8.125" style="24" customWidth="1"/>
    <col min="14865" max="14865" width="13.375" style="24" customWidth="1"/>
    <col min="14866" max="15104" width="10" style="24"/>
    <col min="15105" max="15105" width="2.625" style="24" customWidth="1"/>
    <col min="15106" max="15106" width="8.125" style="24" customWidth="1"/>
    <col min="15107" max="15107" width="18.25" style="24" customWidth="1"/>
    <col min="15108" max="15108" width="12.25" style="24" customWidth="1"/>
    <col min="15109" max="15110" width="11.625" style="24" customWidth="1"/>
    <col min="15111" max="15112" width="10.75" style="24" customWidth="1"/>
    <col min="15113" max="15113" width="12.375" style="24" customWidth="1"/>
    <col min="15114" max="15114" width="2.625" style="24" customWidth="1"/>
    <col min="15115" max="15115" width="8.125" style="24" customWidth="1"/>
    <col min="15116" max="15116" width="13.625" style="24" customWidth="1"/>
    <col min="15117" max="15117" width="14.625" style="24" customWidth="1"/>
    <col min="15118" max="15118" width="14.125" style="24" customWidth="1"/>
    <col min="15119" max="15119" width="2.625" style="24" customWidth="1"/>
    <col min="15120" max="15120" width="8.125" style="24" customWidth="1"/>
    <col min="15121" max="15121" width="13.375" style="24" customWidth="1"/>
    <col min="15122" max="15360" width="10" style="24"/>
    <col min="15361" max="15361" width="2.625" style="24" customWidth="1"/>
    <col min="15362" max="15362" width="8.125" style="24" customWidth="1"/>
    <col min="15363" max="15363" width="18.25" style="24" customWidth="1"/>
    <col min="15364" max="15364" width="12.25" style="24" customWidth="1"/>
    <col min="15365" max="15366" width="11.625" style="24" customWidth="1"/>
    <col min="15367" max="15368" width="10.75" style="24" customWidth="1"/>
    <col min="15369" max="15369" width="12.375" style="24" customWidth="1"/>
    <col min="15370" max="15370" width="2.625" style="24" customWidth="1"/>
    <col min="15371" max="15371" width="8.125" style="24" customWidth="1"/>
    <col min="15372" max="15372" width="13.625" style="24" customWidth="1"/>
    <col min="15373" max="15373" width="14.625" style="24" customWidth="1"/>
    <col min="15374" max="15374" width="14.125" style="24" customWidth="1"/>
    <col min="15375" max="15375" width="2.625" style="24" customWidth="1"/>
    <col min="15376" max="15376" width="8.125" style="24" customWidth="1"/>
    <col min="15377" max="15377" width="13.375" style="24" customWidth="1"/>
    <col min="15378" max="15616" width="10" style="24"/>
    <col min="15617" max="15617" width="2.625" style="24" customWidth="1"/>
    <col min="15618" max="15618" width="8.125" style="24" customWidth="1"/>
    <col min="15619" max="15619" width="18.25" style="24" customWidth="1"/>
    <col min="15620" max="15620" width="12.25" style="24" customWidth="1"/>
    <col min="15621" max="15622" width="11.625" style="24" customWidth="1"/>
    <col min="15623" max="15624" width="10.75" style="24" customWidth="1"/>
    <col min="15625" max="15625" width="12.375" style="24" customWidth="1"/>
    <col min="15626" max="15626" width="2.625" style="24" customWidth="1"/>
    <col min="15627" max="15627" width="8.125" style="24" customWidth="1"/>
    <col min="15628" max="15628" width="13.625" style="24" customWidth="1"/>
    <col min="15629" max="15629" width="14.625" style="24" customWidth="1"/>
    <col min="15630" max="15630" width="14.125" style="24" customWidth="1"/>
    <col min="15631" max="15631" width="2.625" style="24" customWidth="1"/>
    <col min="15632" max="15632" width="8.125" style="24" customWidth="1"/>
    <col min="15633" max="15633" width="13.375" style="24" customWidth="1"/>
    <col min="15634" max="15872" width="10" style="24"/>
    <col min="15873" max="15873" width="2.625" style="24" customWidth="1"/>
    <col min="15874" max="15874" width="8.125" style="24" customWidth="1"/>
    <col min="15875" max="15875" width="18.25" style="24" customWidth="1"/>
    <col min="15876" max="15876" width="12.25" style="24" customWidth="1"/>
    <col min="15877" max="15878" width="11.625" style="24" customWidth="1"/>
    <col min="15879" max="15880" width="10.75" style="24" customWidth="1"/>
    <col min="15881" max="15881" width="12.375" style="24" customWidth="1"/>
    <col min="15882" max="15882" width="2.625" style="24" customWidth="1"/>
    <col min="15883" max="15883" width="8.125" style="24" customWidth="1"/>
    <col min="15884" max="15884" width="13.625" style="24" customWidth="1"/>
    <col min="15885" max="15885" width="14.625" style="24" customWidth="1"/>
    <col min="15886" max="15886" width="14.125" style="24" customWidth="1"/>
    <col min="15887" max="15887" width="2.625" style="24" customWidth="1"/>
    <col min="15888" max="15888" width="8.125" style="24" customWidth="1"/>
    <col min="15889" max="15889" width="13.375" style="24" customWidth="1"/>
    <col min="15890" max="16128" width="10" style="24"/>
    <col min="16129" max="16129" width="2.625" style="24" customWidth="1"/>
    <col min="16130" max="16130" width="8.125" style="24" customWidth="1"/>
    <col min="16131" max="16131" width="18.25" style="24" customWidth="1"/>
    <col min="16132" max="16132" width="12.25" style="24" customWidth="1"/>
    <col min="16133" max="16134" width="11.625" style="24" customWidth="1"/>
    <col min="16135" max="16136" width="10.75" style="24" customWidth="1"/>
    <col min="16137" max="16137" width="12.375" style="24" customWidth="1"/>
    <col min="16138" max="16138" width="2.625" style="24" customWidth="1"/>
    <col min="16139" max="16139" width="8.125" style="24" customWidth="1"/>
    <col min="16140" max="16140" width="13.625" style="24" customWidth="1"/>
    <col min="16141" max="16141" width="14.625" style="24" customWidth="1"/>
    <col min="16142" max="16142" width="14.125" style="24" customWidth="1"/>
    <col min="16143" max="16143" width="2.625" style="24" customWidth="1"/>
    <col min="16144" max="16144" width="8.125" style="24" customWidth="1"/>
    <col min="16145" max="16145" width="13.375" style="24" customWidth="1"/>
    <col min="16146" max="16384" width="10" style="24"/>
  </cols>
  <sheetData>
    <row r="1" spans="1:18" s="1" customFormat="1" ht="12" x14ac:dyDescent="0.2">
      <c r="D1" s="21"/>
    </row>
    <row r="2" spans="1:18" s="1" customFormat="1" ht="15" x14ac:dyDescent="0.2">
      <c r="A2" s="329" t="s">
        <v>165</v>
      </c>
      <c r="B2" s="329"/>
      <c r="C2" s="329"/>
      <c r="D2" s="329"/>
      <c r="E2" s="329"/>
      <c r="F2" s="329"/>
      <c r="G2" s="329"/>
      <c r="H2" s="329"/>
      <c r="I2" s="329"/>
      <c r="J2" s="329"/>
      <c r="K2" s="329"/>
      <c r="L2" s="329"/>
      <c r="M2" s="329"/>
      <c r="N2" s="329"/>
      <c r="O2" s="329"/>
      <c r="P2" s="329"/>
      <c r="Q2" s="329"/>
    </row>
    <row r="3" spans="1:18" s="35" customFormat="1" ht="12" x14ac:dyDescent="0.2">
      <c r="A3" s="34"/>
      <c r="B3" s="22"/>
      <c r="C3" s="37"/>
      <c r="D3" s="37"/>
      <c r="F3" s="37"/>
      <c r="G3" s="37"/>
      <c r="H3" s="37"/>
      <c r="I3" s="37"/>
      <c r="J3" s="34"/>
      <c r="M3" s="36"/>
      <c r="N3" s="36"/>
      <c r="O3" s="36"/>
      <c r="P3" s="36"/>
      <c r="Q3" s="36"/>
    </row>
    <row r="4" spans="1:18" ht="66" customHeight="1" x14ac:dyDescent="0.2">
      <c r="B4" s="88" t="s">
        <v>86</v>
      </c>
      <c r="C4" s="170" t="s">
        <v>87</v>
      </c>
      <c r="D4" s="91" t="s">
        <v>88</v>
      </c>
      <c r="E4" s="92" t="s">
        <v>89</v>
      </c>
      <c r="F4" s="170" t="s">
        <v>159</v>
      </c>
      <c r="G4" s="170" t="s">
        <v>90</v>
      </c>
      <c r="H4" s="170" t="s">
        <v>160</v>
      </c>
      <c r="I4" s="170" t="s">
        <v>91</v>
      </c>
      <c r="J4" s="35"/>
      <c r="K4" s="88" t="s">
        <v>92</v>
      </c>
      <c r="L4" s="170" t="s">
        <v>83</v>
      </c>
      <c r="M4" s="170" t="s">
        <v>93</v>
      </c>
      <c r="N4" s="170" t="s">
        <v>81</v>
      </c>
      <c r="O4" s="35"/>
      <c r="P4" s="88" t="s">
        <v>94</v>
      </c>
      <c r="Q4" s="170" t="s">
        <v>95</v>
      </c>
    </row>
    <row r="5" spans="1:18" s="126" customFormat="1" ht="51.75" x14ac:dyDescent="0.2">
      <c r="A5" s="247"/>
      <c r="B5" s="140" t="s">
        <v>0</v>
      </c>
      <c r="C5" s="239" t="s">
        <v>100</v>
      </c>
      <c r="D5" s="141" t="s">
        <v>101</v>
      </c>
      <c r="E5" s="142" t="s">
        <v>179</v>
      </c>
      <c r="F5" s="142" t="s">
        <v>161</v>
      </c>
      <c r="G5" s="142" t="s">
        <v>162</v>
      </c>
      <c r="H5" s="142" t="s">
        <v>163</v>
      </c>
      <c r="I5" s="142" t="s">
        <v>166</v>
      </c>
      <c r="J5" s="26"/>
      <c r="K5" s="143" t="s">
        <v>0</v>
      </c>
      <c r="L5" s="172" t="s">
        <v>84</v>
      </c>
      <c r="M5" s="172" t="s">
        <v>169</v>
      </c>
      <c r="N5" s="144" t="s">
        <v>123</v>
      </c>
      <c r="O5" s="26"/>
      <c r="P5" s="143" t="s">
        <v>0</v>
      </c>
      <c r="Q5" s="172" t="s">
        <v>85</v>
      </c>
    </row>
    <row r="6" spans="1:18" s="126" customFormat="1" ht="14.25" x14ac:dyDescent="0.2">
      <c r="A6" s="247"/>
      <c r="B6" s="143" t="s">
        <v>2</v>
      </c>
      <c r="C6" s="172" t="s">
        <v>96</v>
      </c>
      <c r="D6" s="172" t="s">
        <v>97</v>
      </c>
      <c r="E6" s="172" t="s">
        <v>97</v>
      </c>
      <c r="F6" s="172" t="s">
        <v>98</v>
      </c>
      <c r="G6" s="172" t="s">
        <v>99</v>
      </c>
      <c r="H6" s="172" t="s">
        <v>99</v>
      </c>
      <c r="I6" s="172" t="s">
        <v>96</v>
      </c>
      <c r="J6" s="26"/>
      <c r="K6" s="143"/>
      <c r="L6" s="172" t="s">
        <v>98</v>
      </c>
      <c r="M6" s="172" t="s">
        <v>99</v>
      </c>
      <c r="N6" s="172" t="s">
        <v>99</v>
      </c>
      <c r="O6" s="26"/>
      <c r="P6" s="143"/>
      <c r="Q6" s="172" t="s">
        <v>96</v>
      </c>
    </row>
    <row r="7" spans="1:18" s="25" customFormat="1" x14ac:dyDescent="0.2">
      <c r="A7" s="277" t="s">
        <v>72</v>
      </c>
      <c r="B7" s="240">
        <v>2023</v>
      </c>
      <c r="C7" s="241">
        <f>ROUNDDOWN(HLOOKUP(B7,'FOD Calculations'!$C$6:$AZ$8,2)*E17/365,0)</f>
        <v>88678</v>
      </c>
      <c r="D7" s="115">
        <f>(C7*'Input data'!$F$8/'FOD Basics'!$C$11)</f>
        <v>1583.5357142857142</v>
      </c>
      <c r="E7" s="241">
        <f>D7*0.2</f>
        <v>316.70714285714286</v>
      </c>
      <c r="F7" s="115">
        <f>+VLOOKUP(B7,Calculations!$A$7:$H$40,7)/1000*E17/365</f>
        <v>6225.3455999999996</v>
      </c>
      <c r="G7" s="115">
        <f>ROUNDDOWN('FOD Basics'!$C$11*((1-'FOD Basics'!$C$12)*D7-E7),0)</f>
        <v>31037</v>
      </c>
      <c r="H7" s="241">
        <f>ROUNDDOWN(F7*'Input data'!$F$22*(1+'Input data'!$F$25),0)</f>
        <v>1603</v>
      </c>
      <c r="I7" s="115">
        <f>ROUNDDOWN(G7+H7,0)</f>
        <v>32640</v>
      </c>
      <c r="J7" s="34" t="str">
        <f>+A7</f>
        <v>(1)</v>
      </c>
      <c r="K7" s="240">
        <f t="shared" ref="K7:K14" si="0">B7</f>
        <v>2023</v>
      </c>
      <c r="L7" s="115">
        <f>+'Input data'!$F$21/365*E17</f>
        <v>128.4</v>
      </c>
      <c r="M7" s="241">
        <f>ROUNDUP((L7*'Input data'!$F$23*(1+'Input data'!$F$24)),0)</f>
        <v>201</v>
      </c>
      <c r="N7" s="115">
        <f>ROUNDUP(M7,0)</f>
        <v>201</v>
      </c>
      <c r="O7" s="34" t="str">
        <f>J7</f>
        <v>(1)</v>
      </c>
      <c r="P7" s="240">
        <f>K7</f>
        <v>2023</v>
      </c>
      <c r="Q7" s="241">
        <f t="shared" ref="Q7:Q14" si="1">I7-N7</f>
        <v>32439</v>
      </c>
      <c r="R7" s="34" t="str">
        <f>+A7</f>
        <v>(1)</v>
      </c>
    </row>
    <row r="8" spans="1:18" s="25" customFormat="1" x14ac:dyDescent="0.2">
      <c r="A8" s="276"/>
      <c r="B8" s="240">
        <f t="shared" ref="B8:B14" si="2">B7+1</f>
        <v>2024</v>
      </c>
      <c r="C8" s="241">
        <f>ROUNDDOWN(HLOOKUP(B8,'FOD Calculations'!$C$6:$AZ$8,2),0)</f>
        <v>158547</v>
      </c>
      <c r="D8" s="115">
        <f>(C8*'Input data'!$F$8/'FOD Basics'!$C$11)</f>
        <v>2831.1964285714284</v>
      </c>
      <c r="E8" s="241">
        <f t="shared" ref="E8:E14" si="3">D8*0.2</f>
        <v>566.23928571428576</v>
      </c>
      <c r="F8" s="115">
        <f>+VLOOKUP(B8,Calculations!$A$7:$H$40,7)/1000</f>
        <v>10617.995999999999</v>
      </c>
      <c r="G8" s="115">
        <f>ROUNDDOWN('FOD Basics'!$C$11*((1-'FOD Basics'!$C$12)*D8-E8),0)</f>
        <v>55491</v>
      </c>
      <c r="H8" s="241">
        <f>ROUNDDOWN(F8*'Input data'!$F$22*(1+'Input data'!$F$25),0)</f>
        <v>2734</v>
      </c>
      <c r="I8" s="115">
        <f t="shared" ref="I8:I14" si="4">ROUNDDOWN(G8+H8,0)</f>
        <v>58225</v>
      </c>
      <c r="J8" s="34"/>
      <c r="K8" s="240">
        <f t="shared" si="0"/>
        <v>2024</v>
      </c>
      <c r="L8" s="115">
        <f>+'Input data'!$F$21</f>
        <v>219</v>
      </c>
      <c r="M8" s="241">
        <f>ROUNDUP((L8*'Input data'!$F$23*(1+'Input data'!$F$24)),0)</f>
        <v>342</v>
      </c>
      <c r="N8" s="115">
        <f t="shared" ref="N8:N14" si="5">ROUNDUP(M8,0)</f>
        <v>342</v>
      </c>
      <c r="O8" s="34"/>
      <c r="P8" s="240">
        <f t="shared" ref="P8:P14" si="6">K8</f>
        <v>2024</v>
      </c>
      <c r="Q8" s="241">
        <f t="shared" si="1"/>
        <v>57883</v>
      </c>
      <c r="R8" s="34"/>
    </row>
    <row r="9" spans="1:18" s="25" customFormat="1" x14ac:dyDescent="0.2">
      <c r="A9" s="276"/>
      <c r="B9" s="240">
        <f t="shared" si="2"/>
        <v>2025</v>
      </c>
      <c r="C9" s="241">
        <f>ROUNDDOWN(HLOOKUP(B9,'FOD Calculations'!$C$6:$AZ$8,2),0)</f>
        <v>164860</v>
      </c>
      <c r="D9" s="115">
        <f>(C9*'Input data'!$F$8/'FOD Basics'!$C$11)</f>
        <v>2943.9285714285716</v>
      </c>
      <c r="E9" s="241">
        <f t="shared" si="3"/>
        <v>588.78571428571433</v>
      </c>
      <c r="F9" s="115">
        <f>+VLOOKUP(B9,Calculations!$A$7:$H$40,7)/1000</f>
        <v>14013.15416626717</v>
      </c>
      <c r="G9" s="115">
        <f>ROUNDDOWN('FOD Basics'!$C$11*((1-'FOD Basics'!$C$12)*D9-E9),0)</f>
        <v>57701</v>
      </c>
      <c r="H9" s="241">
        <f>ROUNDDOWN(F9*'Input data'!$F$22*(1+'Input data'!$F$25),0)</f>
        <v>3608</v>
      </c>
      <c r="I9" s="115">
        <f t="shared" si="4"/>
        <v>61309</v>
      </c>
      <c r="J9" s="34"/>
      <c r="K9" s="240">
        <f t="shared" si="0"/>
        <v>2025</v>
      </c>
      <c r="L9" s="115">
        <f>+'Input data'!$F$21</f>
        <v>219</v>
      </c>
      <c r="M9" s="241">
        <f>ROUNDUP((L9*'Input data'!$F$23*(1+'Input data'!$F$24)),0)</f>
        <v>342</v>
      </c>
      <c r="N9" s="115">
        <f t="shared" si="5"/>
        <v>342</v>
      </c>
      <c r="O9" s="34"/>
      <c r="P9" s="240">
        <f t="shared" si="6"/>
        <v>2025</v>
      </c>
      <c r="Q9" s="241">
        <f t="shared" si="1"/>
        <v>60967</v>
      </c>
      <c r="R9" s="34"/>
    </row>
    <row r="10" spans="1:18" s="25" customFormat="1" x14ac:dyDescent="0.2">
      <c r="A10" s="276"/>
      <c r="B10" s="240">
        <f t="shared" si="2"/>
        <v>2026</v>
      </c>
      <c r="C10" s="241">
        <f>ROUNDDOWN(HLOOKUP(B10,'FOD Calculations'!$C$6:$AZ$8,2),0)</f>
        <v>170465</v>
      </c>
      <c r="D10" s="115">
        <f>(C10*'Input data'!$F$8/'FOD Basics'!$C$11)</f>
        <v>3044.0178571428573</v>
      </c>
      <c r="E10" s="241">
        <f t="shared" si="3"/>
        <v>608.80357142857144</v>
      </c>
      <c r="F10" s="115">
        <f>+VLOOKUP(B10,Calculations!$A$7:$H$40,7)/1000</f>
        <v>14489.530545188332</v>
      </c>
      <c r="G10" s="115">
        <f>ROUNDDOWN('FOD Basics'!$C$11*((1-'FOD Basics'!$C$12)*D10-E10),0)</f>
        <v>59662</v>
      </c>
      <c r="H10" s="241">
        <f>ROUNDDOWN(F10*'Input data'!$F$22*(1+'Input data'!$F$25),0)</f>
        <v>3731</v>
      </c>
      <c r="I10" s="115">
        <f t="shared" si="4"/>
        <v>63393</v>
      </c>
      <c r="J10" s="34"/>
      <c r="K10" s="240">
        <f t="shared" si="0"/>
        <v>2026</v>
      </c>
      <c r="L10" s="115">
        <f>+'Input data'!$F$21</f>
        <v>219</v>
      </c>
      <c r="M10" s="241">
        <f>ROUNDUP((L10*'Input data'!$F$23*(1+'Input data'!$F$24)),0)</f>
        <v>342</v>
      </c>
      <c r="N10" s="115">
        <f t="shared" si="5"/>
        <v>342</v>
      </c>
      <c r="O10" s="34"/>
      <c r="P10" s="240">
        <f t="shared" si="6"/>
        <v>2026</v>
      </c>
      <c r="Q10" s="241">
        <f t="shared" si="1"/>
        <v>63051</v>
      </c>
      <c r="R10" s="34"/>
    </row>
    <row r="11" spans="1:18" s="25" customFormat="1" x14ac:dyDescent="0.2">
      <c r="A11" s="276"/>
      <c r="B11" s="240">
        <f t="shared" si="2"/>
        <v>2027</v>
      </c>
      <c r="C11" s="241">
        <f>ROUNDDOWN(HLOOKUP(B11,'FOD Calculations'!$C$6:$AZ$8,2),0)</f>
        <v>175549</v>
      </c>
      <c r="D11" s="115">
        <f>(C11*'Input data'!$F$8/'FOD Basics'!$C$11)</f>
        <v>3134.8035714285716</v>
      </c>
      <c r="E11" s="241">
        <f t="shared" si="3"/>
        <v>626.9607142857144</v>
      </c>
      <c r="F11" s="115">
        <f>+VLOOKUP(B11,Calculations!$A$7:$H$40,7)/1000</f>
        <v>14921.709301755654</v>
      </c>
      <c r="G11" s="115">
        <f>ROUNDDOWN('FOD Basics'!$C$11*((1-'FOD Basics'!$C$12)*D11-E11),0)</f>
        <v>61442</v>
      </c>
      <c r="H11" s="241">
        <f>ROUNDDOWN(F11*'Input data'!$F$22*(1+'Input data'!$F$25),0)</f>
        <v>3842</v>
      </c>
      <c r="I11" s="115">
        <f t="shared" si="4"/>
        <v>65284</v>
      </c>
      <c r="J11" s="34"/>
      <c r="K11" s="240">
        <f t="shared" si="0"/>
        <v>2027</v>
      </c>
      <c r="L11" s="115">
        <f>+'Input data'!$F$21</f>
        <v>219</v>
      </c>
      <c r="M11" s="241">
        <f>ROUNDUP((L11*'Input data'!$F$23*(1+'Input data'!$F$24)),0)</f>
        <v>342</v>
      </c>
      <c r="N11" s="115">
        <f t="shared" si="5"/>
        <v>342</v>
      </c>
      <c r="O11" s="34"/>
      <c r="P11" s="240">
        <f t="shared" si="6"/>
        <v>2027</v>
      </c>
      <c r="Q11" s="241">
        <f t="shared" si="1"/>
        <v>64942</v>
      </c>
      <c r="R11" s="34"/>
    </row>
    <row r="12" spans="1:18" s="25" customFormat="1" x14ac:dyDescent="0.2">
      <c r="A12" s="276"/>
      <c r="B12" s="240">
        <f t="shared" si="2"/>
        <v>2028</v>
      </c>
      <c r="C12" s="241">
        <f>ROUNDDOWN(HLOOKUP(B12,'FOD Calculations'!$C$6:$AZ$8,2),0)</f>
        <v>180244</v>
      </c>
      <c r="D12" s="115">
        <f>(C12*'Input data'!$F$8/'FOD Basics'!$C$11)</f>
        <v>3218.6428571428573</v>
      </c>
      <c r="E12" s="241">
        <f t="shared" si="3"/>
        <v>643.72857142857151</v>
      </c>
      <c r="F12" s="115">
        <f>+VLOOKUP(B12,Calculations!$A$7:$H$40,7)/1000</f>
        <v>15320.820296895312</v>
      </c>
      <c r="G12" s="115">
        <f>ROUNDDOWN('FOD Basics'!$C$11*((1-'FOD Basics'!$C$12)*D12-E12),0)</f>
        <v>63085</v>
      </c>
      <c r="H12" s="241">
        <f>ROUNDDOWN(F12*'Input data'!$F$22*(1+'Input data'!$F$25),0)</f>
        <v>3945</v>
      </c>
      <c r="I12" s="115">
        <f t="shared" si="4"/>
        <v>67030</v>
      </c>
      <c r="J12" s="34"/>
      <c r="K12" s="240">
        <f t="shared" si="0"/>
        <v>2028</v>
      </c>
      <c r="L12" s="115">
        <f>+'Input data'!$F$21</f>
        <v>219</v>
      </c>
      <c r="M12" s="241">
        <f>ROUNDUP((L12*'Input data'!$F$23*(1+'Input data'!$F$24)),0)</f>
        <v>342</v>
      </c>
      <c r="N12" s="115">
        <f t="shared" si="5"/>
        <v>342</v>
      </c>
      <c r="O12" s="34"/>
      <c r="P12" s="240">
        <f t="shared" si="6"/>
        <v>2028</v>
      </c>
      <c r="Q12" s="241">
        <f t="shared" si="1"/>
        <v>66688</v>
      </c>
      <c r="R12" s="34"/>
    </row>
    <row r="13" spans="1:18" s="25" customFormat="1" x14ac:dyDescent="0.2">
      <c r="A13" s="276"/>
      <c r="B13" s="240">
        <f t="shared" si="2"/>
        <v>2029</v>
      </c>
      <c r="C13" s="241">
        <f>ROUNDDOWN(HLOOKUP(B13,'FOD Calculations'!$C$6:$AZ$8,2),0)</f>
        <v>184643</v>
      </c>
      <c r="D13" s="115">
        <f>(C13*'Input data'!$F$8/'FOD Basics'!$C$11)</f>
        <v>3297.1964285714284</v>
      </c>
      <c r="E13" s="241">
        <f t="shared" si="3"/>
        <v>659.43928571428569</v>
      </c>
      <c r="F13" s="115">
        <f>+VLOOKUP(B13,Calculations!$A$7:$H$40,7)/1000</f>
        <v>15694.658895240829</v>
      </c>
      <c r="G13" s="115">
        <f>ROUNDDOWN('FOD Basics'!$C$11*((1-'FOD Basics'!$C$12)*D13-E13),0)</f>
        <v>64625</v>
      </c>
      <c r="H13" s="241">
        <f>ROUNDDOWN(F13*'Input data'!$F$22*(1+'Input data'!$F$25),0)</f>
        <v>4041</v>
      </c>
      <c r="I13" s="115">
        <f t="shared" si="4"/>
        <v>68666</v>
      </c>
      <c r="J13" s="34"/>
      <c r="K13" s="240">
        <f t="shared" si="0"/>
        <v>2029</v>
      </c>
      <c r="L13" s="115">
        <f>+'Input data'!$F$21</f>
        <v>219</v>
      </c>
      <c r="M13" s="241">
        <f>ROUNDUP((L13*'Input data'!$F$23*(1+'Input data'!$F$24)),0)</f>
        <v>342</v>
      </c>
      <c r="N13" s="115">
        <f t="shared" si="5"/>
        <v>342</v>
      </c>
      <c r="O13" s="34"/>
      <c r="P13" s="240">
        <f t="shared" si="6"/>
        <v>2029</v>
      </c>
      <c r="Q13" s="241">
        <f t="shared" si="1"/>
        <v>68324</v>
      </c>
      <c r="R13" s="34"/>
    </row>
    <row r="14" spans="1:18" s="25" customFormat="1" x14ac:dyDescent="0.2">
      <c r="A14" s="277" t="s">
        <v>37</v>
      </c>
      <c r="B14" s="240">
        <f t="shared" si="2"/>
        <v>2030</v>
      </c>
      <c r="C14" s="241">
        <f>ROUNDDOWN(HLOOKUP(B14,'FOD Calculations'!$C$6:$AZ$8,2)*E18/365,0)</f>
        <v>78109</v>
      </c>
      <c r="D14" s="115">
        <f>(C14*'Input data'!$F$8/'FOD Basics'!$C$11)</f>
        <v>1394.8035714285713</v>
      </c>
      <c r="E14" s="241">
        <f t="shared" si="3"/>
        <v>278.96071428571429</v>
      </c>
      <c r="F14" s="115">
        <f>+VLOOKUP(B14,Calculations!$A$7:$H$40,7)/1000*E18/365</f>
        <v>6639.3476475902435</v>
      </c>
      <c r="G14" s="115">
        <f>ROUNDDOWN('FOD Basics'!$C$11*((1-'FOD Basics'!$C$12)*D14-E14),0)</f>
        <v>27338</v>
      </c>
      <c r="H14" s="241">
        <f>ROUNDDOWN(F14*'Input data'!$F$22*(1+'Input data'!$F$25),0)</f>
        <v>1709</v>
      </c>
      <c r="I14" s="115">
        <f t="shared" si="4"/>
        <v>29047</v>
      </c>
      <c r="J14" s="34" t="str">
        <f>+A14</f>
        <v>(2)</v>
      </c>
      <c r="K14" s="240">
        <f t="shared" si="0"/>
        <v>2030</v>
      </c>
      <c r="L14" s="115">
        <f>+'Input data'!$F$21/365*E18</f>
        <v>90.6</v>
      </c>
      <c r="M14" s="241">
        <f>ROUNDUP((L14*'Input data'!$F$23*(1+'Input data'!$F$24)),0)</f>
        <v>142</v>
      </c>
      <c r="N14" s="115">
        <f t="shared" si="5"/>
        <v>142</v>
      </c>
      <c r="O14" s="34" t="str">
        <f>J14</f>
        <v>(2)</v>
      </c>
      <c r="P14" s="240">
        <f t="shared" si="6"/>
        <v>2030</v>
      </c>
      <c r="Q14" s="241">
        <f t="shared" si="1"/>
        <v>28905</v>
      </c>
      <c r="R14" s="34" t="str">
        <f>+A14</f>
        <v>(2)</v>
      </c>
    </row>
    <row r="15" spans="1:18" s="25" customFormat="1" x14ac:dyDescent="0.2">
      <c r="B15" s="242" t="s">
        <v>4</v>
      </c>
      <c r="C15" s="243">
        <f t="shared" ref="C15:H15" si="7">ROUNDDOWN(SUM(C7:C14),0)</f>
        <v>1201095</v>
      </c>
      <c r="D15" s="243">
        <f t="shared" si="7"/>
        <v>21448</v>
      </c>
      <c r="E15" s="243">
        <f t="shared" si="7"/>
        <v>4289</v>
      </c>
      <c r="F15" s="132">
        <f>ROUNDDOWN(SUM(F7:F14),0)</f>
        <v>97922</v>
      </c>
      <c r="G15" s="132">
        <f t="shared" si="7"/>
        <v>420381</v>
      </c>
      <c r="H15" s="132">
        <f t="shared" si="7"/>
        <v>25213</v>
      </c>
      <c r="I15" s="132">
        <f>SUM(I7:I14)</f>
        <v>445594</v>
      </c>
      <c r="J15" s="34"/>
      <c r="K15" s="242" t="s">
        <v>4</v>
      </c>
      <c r="L15" s="243">
        <f>ROUNDUP(SUM(L7:L14),0)</f>
        <v>1533</v>
      </c>
      <c r="M15" s="243">
        <f>ROUNDUP(SUM(M7:M14),0)</f>
        <v>2395</v>
      </c>
      <c r="N15" s="243">
        <f>SUM(N7:N14)</f>
        <v>2395</v>
      </c>
      <c r="O15" s="34"/>
      <c r="P15" s="242" t="s">
        <v>4</v>
      </c>
      <c r="Q15" s="243">
        <f>SUM(Q7:Q14)</f>
        <v>443199</v>
      </c>
    </row>
    <row r="16" spans="1:18" x14ac:dyDescent="0.2">
      <c r="F16" s="250"/>
      <c r="Q16" s="261"/>
    </row>
    <row r="17" spans="2:13" x14ac:dyDescent="0.2">
      <c r="B17" s="275" t="s">
        <v>72</v>
      </c>
      <c r="C17" s="274">
        <f>+'Input data'!F12</f>
        <v>45078</v>
      </c>
      <c r="D17" s="274">
        <v>45291</v>
      </c>
      <c r="E17" s="245">
        <f>+D17-C17+1</f>
        <v>214</v>
      </c>
      <c r="F17" s="24" t="s">
        <v>164</v>
      </c>
      <c r="G17" s="246"/>
      <c r="I17" s="261"/>
    </row>
    <row r="18" spans="2:13" x14ac:dyDescent="0.2">
      <c r="B18" s="275" t="s">
        <v>37</v>
      </c>
      <c r="C18" s="274">
        <v>47484</v>
      </c>
      <c r="D18" s="274">
        <f>+C17+7*365+1</f>
        <v>47634</v>
      </c>
      <c r="E18" s="245">
        <f>+D18-C18+1</f>
        <v>151</v>
      </c>
      <c r="F18" s="24" t="s">
        <v>164</v>
      </c>
      <c r="G18" s="24" t="s">
        <v>180</v>
      </c>
    </row>
    <row r="19" spans="2:13" ht="13.9" customHeight="1" x14ac:dyDescent="0.2">
      <c r="B19" s="244"/>
      <c r="C19" s="271"/>
      <c r="D19" s="271"/>
      <c r="E19" s="271"/>
      <c r="F19" s="271"/>
      <c r="G19" s="271"/>
      <c r="H19" s="271"/>
      <c r="I19" s="271"/>
      <c r="J19" s="271"/>
      <c r="K19" s="271"/>
      <c r="L19" s="271"/>
      <c r="M19" s="271"/>
    </row>
    <row r="20" spans="2:13" x14ac:dyDescent="0.2">
      <c r="C20" s="271"/>
      <c r="D20" s="271"/>
      <c r="E20" s="271"/>
      <c r="F20" s="271"/>
      <c r="G20" s="271"/>
      <c r="H20" s="271"/>
      <c r="I20" s="271"/>
      <c r="J20" s="271"/>
      <c r="K20" s="271"/>
      <c r="L20" s="271"/>
      <c r="M20" s="271"/>
    </row>
  </sheetData>
  <mergeCells count="1">
    <mergeCell ref="A2:Q2"/>
  </mergeCells>
  <pageMargins left="0.74803149606299213" right="0.74803149606299213" top="0.98425196850393704" bottom="0.98425196850393704" header="0.51181102362204722" footer="0.51181102362204722"/>
  <pageSetup paperSize="9" scale="76" orientation="landscape" r:id="rId1"/>
  <headerFooter alignWithMargins="0"/>
  <ignoredErrors>
    <ignoredError sqref="A7:A14 B17: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K27"/>
  <sheetViews>
    <sheetView showGridLines="0" zoomScaleNormal="100" workbookViewId="0">
      <selection activeCell="F6" sqref="F6:F14"/>
    </sheetView>
  </sheetViews>
  <sheetFormatPr defaultColWidth="10" defaultRowHeight="12" x14ac:dyDescent="0.2"/>
  <cols>
    <col min="1" max="1" width="3.125" style="34" customWidth="1"/>
    <col min="2" max="2" width="12.75" style="34" customWidth="1"/>
    <col min="3" max="4" width="13.625" style="34" customWidth="1"/>
    <col min="5" max="5" width="12.75" style="34" customWidth="1"/>
    <col min="6" max="6" width="13.625" style="34" customWidth="1"/>
    <col min="7" max="7" width="2.625" style="34" bestFit="1" customWidth="1"/>
    <col min="8" max="8" width="10" style="35" customWidth="1"/>
    <col min="9" max="9" width="10" style="35"/>
    <col min="10" max="10" width="4.375" style="35" customWidth="1"/>
    <col min="11" max="16384" width="10" style="35"/>
  </cols>
  <sheetData>
    <row r="1" spans="1:11" s="1" customFormat="1" x14ac:dyDescent="0.2">
      <c r="D1" s="21"/>
    </row>
    <row r="2" spans="1:11" s="1" customFormat="1" ht="15" x14ac:dyDescent="0.2">
      <c r="A2" s="341" t="s">
        <v>165</v>
      </c>
      <c r="B2" s="331"/>
      <c r="C2" s="331"/>
      <c r="D2" s="331"/>
      <c r="E2" s="331"/>
      <c r="F2" s="331"/>
      <c r="G2" s="331"/>
      <c r="H2" s="331"/>
      <c r="I2" s="331"/>
      <c r="J2" s="331"/>
      <c r="K2" s="331"/>
    </row>
    <row r="3" spans="1:11" x14ac:dyDescent="0.2">
      <c r="B3" s="37"/>
    </row>
    <row r="4" spans="1:11" ht="24" x14ac:dyDescent="0.2">
      <c r="B4" s="88" t="s">
        <v>0</v>
      </c>
      <c r="C4" s="89" t="s">
        <v>107</v>
      </c>
      <c r="D4" s="90" t="s">
        <v>106</v>
      </c>
      <c r="E4" s="90" t="s">
        <v>105</v>
      </c>
      <c r="F4" s="90" t="s">
        <v>104</v>
      </c>
      <c r="G4" s="38"/>
    </row>
    <row r="5" spans="1:11" ht="13.5" x14ac:dyDescent="0.2">
      <c r="B5" s="149"/>
      <c r="C5" s="150" t="s">
        <v>103</v>
      </c>
      <c r="D5" s="150" t="s">
        <v>103</v>
      </c>
      <c r="E5" s="150" t="s">
        <v>103</v>
      </c>
      <c r="F5" s="161" t="s">
        <v>103</v>
      </c>
      <c r="G5" s="38"/>
    </row>
    <row r="6" spans="1:11" x14ac:dyDescent="0.2">
      <c r="B6" s="133">
        <f>+'PD Ex-Ante calculation'!B7</f>
        <v>2023</v>
      </c>
      <c r="C6" s="115">
        <f>+'PD Ex-Ante calculation'!N7</f>
        <v>201</v>
      </c>
      <c r="D6" s="134">
        <f>+'PD Ex-Ante calculation'!I7</f>
        <v>32640</v>
      </c>
      <c r="E6" s="115">
        <v>0</v>
      </c>
      <c r="F6" s="115">
        <f>+D6-E6-C6</f>
        <v>32439</v>
      </c>
      <c r="G6" s="248" t="str">
        <f>+'PD Ex-Ante calculation'!B17</f>
        <v>(1)</v>
      </c>
      <c r="H6" s="273">
        <f>+'PD Ex-Ante calculation'!C17</f>
        <v>45078</v>
      </c>
      <c r="I6" s="273">
        <f>+'PD Ex-Ante calculation'!D17</f>
        <v>45291</v>
      </c>
      <c r="J6" s="249">
        <f>+I6-H6+1</f>
        <v>214</v>
      </c>
      <c r="K6" s="35" t="s">
        <v>164</v>
      </c>
    </row>
    <row r="7" spans="1:11" ht="12.75" x14ac:dyDescent="0.2">
      <c r="B7" s="133">
        <f>+'PD Ex-Ante calculation'!B8</f>
        <v>2024</v>
      </c>
      <c r="C7" s="115">
        <f>+'PD Ex-Ante calculation'!N8</f>
        <v>342</v>
      </c>
      <c r="D7" s="134">
        <f>+'PD Ex-Ante calculation'!I8</f>
        <v>58225</v>
      </c>
      <c r="E7" s="115">
        <v>0</v>
      </c>
      <c r="F7" s="115">
        <f t="shared" ref="F7:F13" si="0">+D7-E7-C7</f>
        <v>57883</v>
      </c>
      <c r="G7" s="244"/>
      <c r="H7" s="274"/>
      <c r="I7" s="274"/>
      <c r="J7" s="245"/>
      <c r="K7" s="24"/>
    </row>
    <row r="8" spans="1:11" x14ac:dyDescent="0.2">
      <c r="B8" s="133">
        <f>+'PD Ex-Ante calculation'!B9</f>
        <v>2025</v>
      </c>
      <c r="C8" s="115">
        <f>+'PD Ex-Ante calculation'!N9</f>
        <v>342</v>
      </c>
      <c r="D8" s="134">
        <f>+'PD Ex-Ante calculation'!I9</f>
        <v>61309</v>
      </c>
      <c r="E8" s="115">
        <v>0</v>
      </c>
      <c r="F8" s="115">
        <f t="shared" si="0"/>
        <v>60967</v>
      </c>
      <c r="G8" s="1"/>
      <c r="H8" s="248"/>
      <c r="I8" s="248"/>
    </row>
    <row r="9" spans="1:11" x14ac:dyDescent="0.2">
      <c r="B9" s="133">
        <f>+'PD Ex-Ante calculation'!B10</f>
        <v>2026</v>
      </c>
      <c r="C9" s="115">
        <f>+'PD Ex-Ante calculation'!N10</f>
        <v>342</v>
      </c>
      <c r="D9" s="134">
        <f>+'PD Ex-Ante calculation'!I10</f>
        <v>63393</v>
      </c>
      <c r="E9" s="115">
        <v>0</v>
      </c>
      <c r="F9" s="115">
        <f t="shared" si="0"/>
        <v>63051</v>
      </c>
      <c r="G9" s="1"/>
      <c r="H9" s="248"/>
      <c r="I9" s="248"/>
    </row>
    <row r="10" spans="1:11" x14ac:dyDescent="0.2">
      <c r="B10" s="133">
        <f>+'PD Ex-Ante calculation'!B11</f>
        <v>2027</v>
      </c>
      <c r="C10" s="115">
        <f>+'PD Ex-Ante calculation'!N11</f>
        <v>342</v>
      </c>
      <c r="D10" s="134">
        <f>+'PD Ex-Ante calculation'!I11</f>
        <v>65284</v>
      </c>
      <c r="E10" s="115">
        <v>0</v>
      </c>
      <c r="F10" s="115">
        <f t="shared" si="0"/>
        <v>64942</v>
      </c>
      <c r="G10" s="1"/>
      <c r="H10" s="248"/>
      <c r="I10" s="248"/>
    </row>
    <row r="11" spans="1:11" x14ac:dyDescent="0.2">
      <c r="B11" s="133">
        <f>+'PD Ex-Ante calculation'!B12</f>
        <v>2028</v>
      </c>
      <c r="C11" s="115">
        <f>+'PD Ex-Ante calculation'!N12</f>
        <v>342</v>
      </c>
      <c r="D11" s="134">
        <f>+'PD Ex-Ante calculation'!I12</f>
        <v>67030</v>
      </c>
      <c r="E11" s="115">
        <v>0</v>
      </c>
      <c r="F11" s="115">
        <f t="shared" si="0"/>
        <v>66688</v>
      </c>
      <c r="G11" s="1"/>
      <c r="H11" s="248"/>
      <c r="I11" s="248"/>
    </row>
    <row r="12" spans="1:11" x14ac:dyDescent="0.2">
      <c r="B12" s="133">
        <f>+'PD Ex-Ante calculation'!B13</f>
        <v>2029</v>
      </c>
      <c r="C12" s="115">
        <f>+'PD Ex-Ante calculation'!N13</f>
        <v>342</v>
      </c>
      <c r="D12" s="134">
        <f>+'PD Ex-Ante calculation'!I13</f>
        <v>68666</v>
      </c>
      <c r="E12" s="115">
        <v>0</v>
      </c>
      <c r="F12" s="115">
        <f t="shared" si="0"/>
        <v>68324</v>
      </c>
      <c r="G12" s="1"/>
      <c r="H12" s="248"/>
      <c r="I12" s="248"/>
    </row>
    <row r="13" spans="1:11" x14ac:dyDescent="0.2">
      <c r="B13" s="133">
        <f>+'PD Ex-Ante calculation'!B14</f>
        <v>2030</v>
      </c>
      <c r="C13" s="115">
        <f>+'PD Ex-Ante calculation'!N14</f>
        <v>142</v>
      </c>
      <c r="D13" s="134">
        <f>+'PD Ex-Ante calculation'!I14</f>
        <v>29047</v>
      </c>
      <c r="E13" s="115">
        <v>0</v>
      </c>
      <c r="F13" s="115">
        <f t="shared" si="0"/>
        <v>28905</v>
      </c>
      <c r="G13" s="248" t="str">
        <f>+'PD Ex-Ante calculation'!B18</f>
        <v>(2)</v>
      </c>
      <c r="H13" s="273">
        <f>+'PD Ex-Ante calculation'!C18</f>
        <v>47484</v>
      </c>
      <c r="I13" s="273">
        <f>+'PD Ex-Ante calculation'!D18</f>
        <v>47634</v>
      </c>
      <c r="J13" s="249">
        <f>+I13-H13+1</f>
        <v>151</v>
      </c>
      <c r="K13" s="35" t="s">
        <v>164</v>
      </c>
    </row>
    <row r="14" spans="1:11" ht="25.5" x14ac:dyDescent="0.25">
      <c r="B14" s="135" t="s">
        <v>46</v>
      </c>
      <c r="C14" s="132">
        <f>+SUM(C6:C13)</f>
        <v>2395</v>
      </c>
      <c r="D14" s="132">
        <f>+SUM(D6:D13)</f>
        <v>445594</v>
      </c>
      <c r="E14" s="132">
        <f>+SUM(E6:E13)</f>
        <v>0</v>
      </c>
      <c r="F14" s="132">
        <f>+SUM(F6:F13)</f>
        <v>443199</v>
      </c>
      <c r="G14" s="39"/>
    </row>
    <row r="15" spans="1:11" ht="36" x14ac:dyDescent="0.2">
      <c r="B15" s="136" t="s">
        <v>181</v>
      </c>
      <c r="C15" s="137">
        <v>7</v>
      </c>
      <c r="D15" s="137">
        <v>7</v>
      </c>
      <c r="E15" s="137">
        <v>7</v>
      </c>
      <c r="F15" s="137">
        <v>7</v>
      </c>
    </row>
    <row r="16" spans="1:11" ht="61.5" x14ac:dyDescent="0.2">
      <c r="B16" s="138" t="s">
        <v>182</v>
      </c>
      <c r="C16" s="115">
        <f>C14/C15</f>
        <v>342.14285714285717</v>
      </c>
      <c r="D16" s="115">
        <f t="shared" ref="D16:F16" si="1">D14/D15</f>
        <v>63656.285714285717</v>
      </c>
      <c r="E16" s="115">
        <f t="shared" si="1"/>
        <v>0</v>
      </c>
      <c r="F16" s="115">
        <f t="shared" si="1"/>
        <v>63314.142857142855</v>
      </c>
    </row>
    <row r="18" spans="2:11" ht="12" customHeight="1" x14ac:dyDescent="0.2"/>
    <row r="19" spans="2:11" ht="12" customHeight="1" x14ac:dyDescent="0.2">
      <c r="B19" s="25"/>
    </row>
    <row r="20" spans="2:11" ht="42.95" customHeight="1" x14ac:dyDescent="0.25">
      <c r="B20" s="164"/>
      <c r="C20"/>
      <c r="D20"/>
      <c r="E20"/>
      <c r="F20"/>
      <c r="G20"/>
      <c r="H20"/>
      <c r="I20"/>
      <c r="J20"/>
    </row>
    <row r="21" spans="2:11" ht="12" customHeight="1" x14ac:dyDescent="0.2"/>
    <row r="22" spans="2:11" ht="12" customHeight="1" x14ac:dyDescent="0.25">
      <c r="B22" s="162"/>
      <c r="C22" s="163"/>
      <c r="D22" s="163"/>
      <c r="E22" s="163"/>
      <c r="F22" s="163"/>
      <c r="G22" s="163"/>
      <c r="H22" s="163"/>
      <c r="I22" s="163"/>
      <c r="J22"/>
      <c r="K22"/>
    </row>
    <row r="23" spans="2:11" ht="12" customHeight="1" x14ac:dyDescent="0.25">
      <c r="B23" s="163"/>
      <c r="C23" s="163"/>
      <c r="D23" s="163"/>
      <c r="E23" s="163"/>
      <c r="F23" s="163"/>
      <c r="G23" s="163"/>
      <c r="H23" s="163"/>
      <c r="I23" s="163"/>
      <c r="J23"/>
      <c r="K23"/>
    </row>
    <row r="24" spans="2:11" ht="12" customHeight="1" x14ac:dyDescent="0.25">
      <c r="B24" s="163"/>
      <c r="C24" s="163"/>
      <c r="D24" s="163"/>
      <c r="E24" s="163"/>
      <c r="F24" s="163"/>
      <c r="G24" s="163"/>
      <c r="H24" s="163"/>
      <c r="I24" s="163"/>
      <c r="J24"/>
      <c r="K24"/>
    </row>
    <row r="25" spans="2:11" ht="50.25" customHeight="1" x14ac:dyDescent="0.25">
      <c r="B25" s="163"/>
      <c r="C25" s="163"/>
      <c r="D25" s="163"/>
      <c r="E25" s="163"/>
      <c r="F25" s="163"/>
      <c r="G25" s="163"/>
      <c r="H25" s="163"/>
      <c r="I25" s="163"/>
      <c r="J25"/>
      <c r="K25"/>
    </row>
    <row r="26" spans="2:11" ht="12" customHeight="1" x14ac:dyDescent="0.25">
      <c r="B26" s="163"/>
      <c r="C26" s="163"/>
      <c r="D26" s="163"/>
      <c r="E26" s="163"/>
      <c r="F26" s="163"/>
      <c r="G26" s="163"/>
      <c r="H26" s="163"/>
      <c r="I26" s="163"/>
      <c r="J26"/>
      <c r="K26"/>
    </row>
    <row r="27" spans="2:11" ht="12" customHeight="1" x14ac:dyDescent="0.25">
      <c r="B27" s="163"/>
      <c r="C27" s="163"/>
      <c r="D27" s="163"/>
      <c r="E27" s="163"/>
      <c r="F27" s="163"/>
      <c r="G27" s="163"/>
      <c r="H27" s="163"/>
      <c r="I27" s="163"/>
      <c r="J27"/>
      <c r="K27"/>
    </row>
  </sheetData>
  <mergeCells count="1">
    <mergeCell ref="A2:K2"/>
  </mergeCells>
  <phoneticPr fontId="5" type="noConversion"/>
  <pageMargins left="0.78740157499999996" right="0.78740157499999996" top="0.984251969" bottom="0.984251969" header="0.4921259845" footer="0.492125984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2">
    <tabColor indexed="47"/>
    <pageSetUpPr fitToPage="1"/>
  </sheetPr>
  <dimension ref="A1:BC173"/>
  <sheetViews>
    <sheetView topLeftCell="A22" zoomScaleNormal="100" workbookViewId="0">
      <selection activeCell="D34" sqref="D34"/>
    </sheetView>
  </sheetViews>
  <sheetFormatPr defaultColWidth="9" defaultRowHeight="12" x14ac:dyDescent="0.25"/>
  <cols>
    <col min="1" max="1" width="57.875" style="40" customWidth="1"/>
    <col min="2" max="2" width="13" style="40" customWidth="1"/>
    <col min="3" max="3" width="10.875" style="40" customWidth="1"/>
    <col min="4" max="4" width="14.5" style="40" customWidth="1"/>
    <col min="5" max="5" width="16.25" style="40" customWidth="1"/>
    <col min="6" max="7" width="9.75" style="40" customWidth="1"/>
    <col min="8" max="8" width="12.5" style="40" customWidth="1"/>
    <col min="9" max="13" width="8.375" style="40" customWidth="1"/>
    <col min="14" max="16384" width="9" style="40"/>
  </cols>
  <sheetData>
    <row r="1" spans="1:15" s="59" customFormat="1" x14ac:dyDescent="0.2">
      <c r="D1" s="74"/>
    </row>
    <row r="2" spans="1:15" s="59" customFormat="1" ht="18" x14ac:dyDescent="0.2">
      <c r="A2" s="342" t="s">
        <v>158</v>
      </c>
      <c r="B2" s="343"/>
      <c r="C2" s="343"/>
      <c r="D2" s="343"/>
      <c r="E2" s="343"/>
      <c r="F2" s="343"/>
      <c r="G2" s="343"/>
      <c r="H2" s="343"/>
      <c r="I2" s="343"/>
      <c r="J2" s="343"/>
      <c r="K2" s="343"/>
      <c r="L2" s="343"/>
      <c r="M2" s="343"/>
      <c r="N2" s="343"/>
      <c r="O2" s="344"/>
    </row>
    <row r="4" spans="1:15" ht="14.25" x14ac:dyDescent="0.25">
      <c r="A4" s="121" t="s">
        <v>68</v>
      </c>
    </row>
    <row r="6" spans="1:15" x14ac:dyDescent="0.25">
      <c r="A6" s="41" t="s">
        <v>74</v>
      </c>
    </row>
    <row r="7" spans="1:15" x14ac:dyDescent="0.25">
      <c r="A7" s="122"/>
    </row>
    <row r="8" spans="1:15" ht="13.5" x14ac:dyDescent="0.25">
      <c r="A8" s="81" t="s">
        <v>69</v>
      </c>
      <c r="B8" s="151" t="s">
        <v>26</v>
      </c>
      <c r="C8" s="151" t="s">
        <v>1</v>
      </c>
      <c r="D8" s="151" t="s">
        <v>2</v>
      </c>
    </row>
    <row r="9" spans="1:15" x14ac:dyDescent="0.25">
      <c r="A9" s="43" t="s">
        <v>8</v>
      </c>
      <c r="B9" s="153" t="s">
        <v>21</v>
      </c>
      <c r="C9" s="154">
        <v>0.75</v>
      </c>
      <c r="D9" s="42" t="s">
        <v>44</v>
      </c>
    </row>
    <row r="10" spans="1:15" ht="24" x14ac:dyDescent="0.25">
      <c r="A10" s="123" t="s">
        <v>24</v>
      </c>
      <c r="B10" s="153" t="s">
        <v>5</v>
      </c>
      <c r="C10" s="155">
        <v>0</v>
      </c>
      <c r="D10" s="42" t="s">
        <v>44</v>
      </c>
    </row>
    <row r="11" spans="1:15" ht="13.5" x14ac:dyDescent="0.25">
      <c r="A11" s="43" t="s">
        <v>27</v>
      </c>
      <c r="B11" s="153" t="s">
        <v>108</v>
      </c>
      <c r="C11" s="155">
        <v>28</v>
      </c>
      <c r="D11" s="42" t="s">
        <v>109</v>
      </c>
    </row>
    <row r="12" spans="1:15" x14ac:dyDescent="0.25">
      <c r="A12" s="124" t="s">
        <v>22</v>
      </c>
      <c r="B12" s="153" t="s">
        <v>6</v>
      </c>
      <c r="C12" s="155">
        <f>IF(A12="Oxidation factor: there is an oxidizing cover", 0.1,0)</f>
        <v>0.1</v>
      </c>
      <c r="D12" s="42" t="s">
        <v>44</v>
      </c>
    </row>
    <row r="13" spans="1:15" x14ac:dyDescent="0.25">
      <c r="A13" s="43" t="s">
        <v>9</v>
      </c>
      <c r="B13" s="153" t="s">
        <v>7</v>
      </c>
      <c r="C13" s="156">
        <v>0.5</v>
      </c>
      <c r="D13" s="42" t="s">
        <v>44</v>
      </c>
    </row>
    <row r="14" spans="1:15" ht="13.5" x14ac:dyDescent="0.25">
      <c r="A14" s="43" t="s">
        <v>20</v>
      </c>
      <c r="B14" s="157" t="s">
        <v>110</v>
      </c>
      <c r="C14" s="158">
        <v>0.5</v>
      </c>
      <c r="D14" s="42" t="s">
        <v>44</v>
      </c>
    </row>
    <row r="15" spans="1:15" ht="13.5" x14ac:dyDescent="0.25">
      <c r="A15" s="43" t="s">
        <v>42</v>
      </c>
      <c r="B15" s="153" t="s">
        <v>111</v>
      </c>
      <c r="C15" s="155">
        <v>1</v>
      </c>
      <c r="D15" s="42" t="s">
        <v>44</v>
      </c>
    </row>
    <row r="16" spans="1:15" ht="13.5" x14ac:dyDescent="0.25">
      <c r="A16" s="76" t="s">
        <v>70</v>
      </c>
      <c r="B16" s="151"/>
      <c r="C16" s="155">
        <f>C9*(1-C10)*C11*(1-C12)*16/12*C13*C14*C15</f>
        <v>6.3000000000000007</v>
      </c>
      <c r="D16" s="46"/>
    </row>
    <row r="19" spans="1:19" ht="36" x14ac:dyDescent="0.25">
      <c r="A19" s="82" t="s">
        <v>63</v>
      </c>
      <c r="B19" s="152" t="s">
        <v>29</v>
      </c>
      <c r="C19" s="151" t="s">
        <v>10</v>
      </c>
      <c r="D19" s="144" t="s">
        <v>13</v>
      </c>
      <c r="E19" s="151" t="s">
        <v>11</v>
      </c>
      <c r="F19" s="151" t="s">
        <v>12</v>
      </c>
      <c r="G19" s="159" t="s">
        <v>18</v>
      </c>
      <c r="H19" s="144" t="s">
        <v>25</v>
      </c>
      <c r="I19" s="45"/>
    </row>
    <row r="20" spans="1:19" s="47" customFormat="1" ht="15" x14ac:dyDescent="0.25">
      <c r="A20" s="46" t="s">
        <v>28</v>
      </c>
      <c r="B20" s="153" t="s">
        <v>112</v>
      </c>
      <c r="C20" s="279">
        <v>0.54100000000000004</v>
      </c>
      <c r="D20" s="279">
        <v>0.124</v>
      </c>
      <c r="E20" s="279">
        <v>0</v>
      </c>
      <c r="F20" s="279">
        <v>1.7000000000000001E-2</v>
      </c>
      <c r="G20" s="279">
        <v>3.3000000000000002E-2</v>
      </c>
      <c r="H20" s="279">
        <f>1-SUM(C20:G20)</f>
        <v>0.28499999999999992</v>
      </c>
      <c r="L20" s="40"/>
      <c r="M20" s="40"/>
      <c r="N20" s="40"/>
      <c r="O20" s="40"/>
      <c r="P20" s="40"/>
      <c r="Q20" s="40"/>
      <c r="R20" s="40"/>
      <c r="S20" s="40"/>
    </row>
    <row r="21" spans="1:19" s="47" customFormat="1" ht="13.5" x14ac:dyDescent="0.25">
      <c r="A21" s="46" t="s">
        <v>43</v>
      </c>
      <c r="B21" s="153" t="s">
        <v>60</v>
      </c>
      <c r="C21" s="272">
        <v>0.15</v>
      </c>
      <c r="D21" s="272">
        <v>0.4</v>
      </c>
      <c r="E21" s="272">
        <v>0.43</v>
      </c>
      <c r="F21" s="272">
        <v>0.24</v>
      </c>
      <c r="G21" s="272">
        <v>0.2</v>
      </c>
      <c r="H21" s="272">
        <v>0</v>
      </c>
      <c r="I21" s="48"/>
      <c r="L21" s="40"/>
      <c r="M21" s="40"/>
      <c r="N21" s="40"/>
      <c r="O21" s="40"/>
      <c r="P21" s="40"/>
      <c r="Q21" s="40"/>
      <c r="R21" s="40"/>
      <c r="S21" s="40"/>
    </row>
    <row r="22" spans="1:19" x14ac:dyDescent="0.25">
      <c r="A22" s="49"/>
      <c r="C22" s="44"/>
      <c r="D22" s="44"/>
      <c r="E22" s="44"/>
      <c r="F22" s="44"/>
      <c r="G22" s="44"/>
      <c r="H22" s="44"/>
      <c r="I22" s="44"/>
    </row>
    <row r="23" spans="1:19" x14ac:dyDescent="0.25">
      <c r="A23" s="125" t="s">
        <v>185</v>
      </c>
      <c r="C23" s="44"/>
      <c r="D23" s="44"/>
      <c r="E23" s="44"/>
      <c r="F23" s="44"/>
      <c r="G23" s="44"/>
      <c r="H23" s="44"/>
      <c r="I23" s="44"/>
    </row>
    <row r="24" spans="1:19" x14ac:dyDescent="0.25">
      <c r="A24" s="125" t="s">
        <v>121</v>
      </c>
      <c r="C24" s="44"/>
      <c r="D24" s="44"/>
      <c r="E24" s="44"/>
      <c r="F24" s="44"/>
      <c r="G24" s="44"/>
      <c r="H24" s="44"/>
      <c r="I24" s="44"/>
    </row>
    <row r="25" spans="1:19" x14ac:dyDescent="0.25">
      <c r="A25" s="49"/>
    </row>
    <row r="26" spans="1:19" ht="36" x14ac:dyDescent="0.25">
      <c r="A26" s="81" t="s">
        <v>64</v>
      </c>
      <c r="B26" s="151" t="s">
        <v>29</v>
      </c>
      <c r="C26" s="151" t="s">
        <v>10</v>
      </c>
      <c r="D26" s="144" t="s">
        <v>13</v>
      </c>
      <c r="E26" s="151" t="s">
        <v>11</v>
      </c>
      <c r="F26" s="151" t="s">
        <v>12</v>
      </c>
      <c r="G26" s="159" t="s">
        <v>18</v>
      </c>
      <c r="H26" s="144" t="s">
        <v>25</v>
      </c>
      <c r="I26" s="44"/>
      <c r="J26" s="44"/>
    </row>
    <row r="27" spans="1:19" ht="13.5" x14ac:dyDescent="0.25">
      <c r="A27" s="127" t="s">
        <v>76</v>
      </c>
      <c r="B27" s="153" t="s">
        <v>61</v>
      </c>
      <c r="C27" s="42">
        <v>0.06</v>
      </c>
      <c r="D27" s="42">
        <v>0.04</v>
      </c>
      <c r="E27" s="42">
        <v>0.02</v>
      </c>
      <c r="F27" s="42">
        <v>0.04</v>
      </c>
      <c r="G27" s="42">
        <v>0.05</v>
      </c>
      <c r="H27" s="42">
        <v>0</v>
      </c>
      <c r="I27" s="44"/>
      <c r="J27" s="44"/>
    </row>
    <row r="28" spans="1:19" ht="13.5" x14ac:dyDescent="0.25">
      <c r="A28" s="128" t="s">
        <v>77</v>
      </c>
      <c r="B28" s="153" t="s">
        <v>61</v>
      </c>
      <c r="C28" s="42">
        <v>0.185</v>
      </c>
      <c r="D28" s="42">
        <v>0.06</v>
      </c>
      <c r="E28" s="42">
        <v>0.03</v>
      </c>
      <c r="F28" s="42">
        <v>0.06</v>
      </c>
      <c r="G28" s="42">
        <v>0.1</v>
      </c>
      <c r="H28" s="42">
        <v>0</v>
      </c>
      <c r="I28" s="44"/>
      <c r="J28" s="44"/>
    </row>
    <row r="29" spans="1:19" ht="13.5" x14ac:dyDescent="0.25">
      <c r="A29" s="128" t="s">
        <v>78</v>
      </c>
      <c r="B29" s="153" t="s">
        <v>61</v>
      </c>
      <c r="C29" s="42">
        <v>8.5000000000000006E-2</v>
      </c>
      <c r="D29" s="42">
        <v>4.4999999999999998E-2</v>
      </c>
      <c r="E29" s="42">
        <v>2.5000000000000001E-2</v>
      </c>
      <c r="F29" s="42">
        <v>4.4999999999999998E-2</v>
      </c>
      <c r="G29" s="42">
        <v>6.5000000000000002E-2</v>
      </c>
      <c r="H29" s="42">
        <v>0</v>
      </c>
      <c r="I29" s="44"/>
      <c r="J29" s="44"/>
    </row>
    <row r="30" spans="1:19" ht="13.5" x14ac:dyDescent="0.25">
      <c r="A30" s="128" t="s">
        <v>79</v>
      </c>
      <c r="B30" s="153" t="s">
        <v>61</v>
      </c>
      <c r="C30" s="42">
        <v>0.4</v>
      </c>
      <c r="D30" s="42">
        <v>7.0000000000000007E-2</v>
      </c>
      <c r="E30" s="42">
        <v>3.5000000000000003E-2</v>
      </c>
      <c r="F30" s="42">
        <v>7.0000000000000007E-2</v>
      </c>
      <c r="G30" s="42">
        <v>0.17</v>
      </c>
      <c r="H30" s="42">
        <v>0</v>
      </c>
      <c r="I30" s="44"/>
      <c r="J30" s="44"/>
    </row>
    <row r="31" spans="1:19" x14ac:dyDescent="0.25">
      <c r="B31" s="75"/>
    </row>
    <row r="32" spans="1:19" ht="12.75" x14ac:dyDescent="0.25">
      <c r="A32" s="50" t="s">
        <v>34</v>
      </c>
      <c r="B32" s="153" t="s">
        <v>30</v>
      </c>
      <c r="C32" s="258">
        <v>23.3</v>
      </c>
      <c r="D32" s="278" t="s">
        <v>186</v>
      </c>
      <c r="E32" s="44"/>
      <c r="F32" s="44"/>
      <c r="G32" s="44"/>
      <c r="H32" s="44"/>
      <c r="I32" s="44"/>
      <c r="J32" s="44"/>
    </row>
    <row r="33" spans="1:55" ht="12.75" x14ac:dyDescent="0.25">
      <c r="A33" s="50" t="s">
        <v>35</v>
      </c>
      <c r="B33" s="153" t="s">
        <v>31</v>
      </c>
      <c r="C33" s="259">
        <v>1444</v>
      </c>
      <c r="D33" s="278" t="s">
        <v>187</v>
      </c>
      <c r="E33" s="44"/>
      <c r="F33" s="44"/>
      <c r="G33" s="44"/>
      <c r="H33" s="44"/>
      <c r="I33" s="44"/>
      <c r="J33" s="44"/>
    </row>
    <row r="34" spans="1:55" x14ac:dyDescent="0.25">
      <c r="A34" s="46" t="s">
        <v>36</v>
      </c>
      <c r="B34" s="153" t="s">
        <v>32</v>
      </c>
      <c r="C34" s="260">
        <v>0.9</v>
      </c>
      <c r="D34" s="278" t="s">
        <v>184</v>
      </c>
      <c r="E34" s="44"/>
      <c r="F34" s="44"/>
      <c r="G34" s="44"/>
      <c r="H34" s="44"/>
      <c r="I34" s="44"/>
      <c r="J34" s="44"/>
    </row>
    <row r="35" spans="1:55" x14ac:dyDescent="0.25">
      <c r="A35" s="44"/>
      <c r="B35" s="75"/>
      <c r="C35" s="44"/>
      <c r="E35" s="44"/>
      <c r="F35" s="44"/>
      <c r="G35" s="44"/>
      <c r="H35" s="44"/>
      <c r="I35" s="44"/>
      <c r="J35" s="44"/>
    </row>
    <row r="36" spans="1:55" s="47" customFormat="1" ht="13.5" x14ac:dyDescent="0.25">
      <c r="A36" s="43" t="s">
        <v>33</v>
      </c>
      <c r="B36" s="153" t="s">
        <v>61</v>
      </c>
      <c r="C36" s="42">
        <f t="shared" ref="C36:H36" si="0">IF($C32&lt;=20,IF($C34&lt;=1,C27,C28),IF($C33&lt;=1000,C29,C30))</f>
        <v>0.4</v>
      </c>
      <c r="D36" s="42">
        <f t="shared" si="0"/>
        <v>7.0000000000000007E-2</v>
      </c>
      <c r="E36" s="42">
        <f t="shared" si="0"/>
        <v>3.5000000000000003E-2</v>
      </c>
      <c r="F36" s="42">
        <f t="shared" si="0"/>
        <v>7.0000000000000007E-2</v>
      </c>
      <c r="G36" s="42">
        <f t="shared" si="0"/>
        <v>0.17</v>
      </c>
      <c r="H36" s="42">
        <f t="shared" si="0"/>
        <v>0</v>
      </c>
      <c r="I36" s="51"/>
      <c r="J36" s="51"/>
    </row>
    <row r="37" spans="1:55" x14ac:dyDescent="0.25">
      <c r="A37" s="44"/>
      <c r="B37" s="44"/>
      <c r="C37" s="44"/>
      <c r="D37" s="44"/>
      <c r="E37" s="44"/>
      <c r="F37" s="44"/>
      <c r="G37" s="44"/>
      <c r="H37" s="44"/>
      <c r="I37" s="44"/>
      <c r="J37" s="44"/>
    </row>
    <row r="38" spans="1:55" x14ac:dyDescent="0.25">
      <c r="A38" s="49"/>
      <c r="H38" s="44"/>
      <c r="I38" s="44"/>
      <c r="J38" s="44"/>
    </row>
    <row r="39" spans="1:55" s="41" customFormat="1" x14ac:dyDescent="0.25">
      <c r="C39" s="41">
        <v>1</v>
      </c>
      <c r="D39" s="55" t="s">
        <v>0</v>
      </c>
      <c r="E39" s="78">
        <v>1</v>
      </c>
      <c r="F39" s="78">
        <f>E39+1</f>
        <v>2</v>
      </c>
      <c r="G39" s="78">
        <f t="shared" ref="G39:T39" si="1">F39+1</f>
        <v>3</v>
      </c>
      <c r="H39" s="78">
        <f t="shared" si="1"/>
        <v>4</v>
      </c>
      <c r="I39" s="78">
        <f t="shared" si="1"/>
        <v>5</v>
      </c>
      <c r="J39" s="78">
        <f t="shared" si="1"/>
        <v>6</v>
      </c>
      <c r="K39" s="78">
        <f t="shared" si="1"/>
        <v>7</v>
      </c>
      <c r="L39" s="78">
        <f t="shared" si="1"/>
        <v>8</v>
      </c>
      <c r="M39" s="78">
        <f t="shared" si="1"/>
        <v>9</v>
      </c>
      <c r="N39" s="78">
        <f t="shared" si="1"/>
        <v>10</v>
      </c>
      <c r="O39" s="78">
        <f t="shared" si="1"/>
        <v>11</v>
      </c>
      <c r="P39" s="78">
        <f t="shared" si="1"/>
        <v>12</v>
      </c>
      <c r="Q39" s="78">
        <f t="shared" si="1"/>
        <v>13</v>
      </c>
      <c r="R39" s="78">
        <f t="shared" si="1"/>
        <v>14</v>
      </c>
      <c r="S39" s="78">
        <f t="shared" si="1"/>
        <v>15</v>
      </c>
      <c r="T39" s="78">
        <f t="shared" si="1"/>
        <v>16</v>
      </c>
      <c r="U39" s="78">
        <f>T39+1</f>
        <v>17</v>
      </c>
      <c r="V39" s="78">
        <f>U39+1</f>
        <v>18</v>
      </c>
      <c r="W39" s="78">
        <f>V39+1</f>
        <v>19</v>
      </c>
      <c r="X39" s="78">
        <f>W39+1</f>
        <v>20</v>
      </c>
      <c r="Y39" s="78">
        <f t="shared" ref="Y39:BC39" si="2">X39+1</f>
        <v>21</v>
      </c>
      <c r="Z39" s="78">
        <f t="shared" si="2"/>
        <v>22</v>
      </c>
      <c r="AA39" s="78">
        <f t="shared" si="2"/>
        <v>23</v>
      </c>
      <c r="AB39" s="78">
        <f t="shared" si="2"/>
        <v>24</v>
      </c>
      <c r="AC39" s="78">
        <f t="shared" si="2"/>
        <v>25</v>
      </c>
      <c r="AD39" s="78">
        <f t="shared" si="2"/>
        <v>26</v>
      </c>
      <c r="AE39" s="78">
        <f t="shared" si="2"/>
        <v>27</v>
      </c>
      <c r="AF39" s="78">
        <f t="shared" si="2"/>
        <v>28</v>
      </c>
      <c r="AG39" s="78">
        <f t="shared" si="2"/>
        <v>29</v>
      </c>
      <c r="AH39" s="78">
        <f t="shared" si="2"/>
        <v>30</v>
      </c>
      <c r="AI39" s="78">
        <f t="shared" si="2"/>
        <v>31</v>
      </c>
      <c r="AJ39" s="78">
        <f t="shared" si="2"/>
        <v>32</v>
      </c>
      <c r="AK39" s="78">
        <f t="shared" si="2"/>
        <v>33</v>
      </c>
      <c r="AL39" s="78">
        <f t="shared" si="2"/>
        <v>34</v>
      </c>
      <c r="AM39" s="78">
        <f t="shared" si="2"/>
        <v>35</v>
      </c>
      <c r="AN39" s="78">
        <f t="shared" si="2"/>
        <v>36</v>
      </c>
      <c r="AO39" s="78">
        <f t="shared" si="2"/>
        <v>37</v>
      </c>
      <c r="AP39" s="78">
        <f t="shared" si="2"/>
        <v>38</v>
      </c>
      <c r="AQ39" s="78">
        <f t="shared" si="2"/>
        <v>39</v>
      </c>
      <c r="AR39" s="78">
        <f t="shared" si="2"/>
        <v>40</v>
      </c>
      <c r="AS39" s="78">
        <f t="shared" si="2"/>
        <v>41</v>
      </c>
      <c r="AT39" s="78">
        <f t="shared" si="2"/>
        <v>42</v>
      </c>
      <c r="AU39" s="78">
        <f t="shared" si="2"/>
        <v>43</v>
      </c>
      <c r="AV39" s="78">
        <f t="shared" si="2"/>
        <v>44</v>
      </c>
      <c r="AW39" s="78">
        <f t="shared" si="2"/>
        <v>45</v>
      </c>
      <c r="AX39" s="78">
        <f t="shared" si="2"/>
        <v>46</v>
      </c>
      <c r="AY39" s="78">
        <f t="shared" si="2"/>
        <v>47</v>
      </c>
      <c r="AZ39" s="78">
        <f t="shared" si="2"/>
        <v>48</v>
      </c>
      <c r="BA39" s="78">
        <f t="shared" si="2"/>
        <v>49</v>
      </c>
      <c r="BB39" s="78">
        <f t="shared" si="2"/>
        <v>50</v>
      </c>
      <c r="BC39" s="78">
        <f t="shared" si="2"/>
        <v>51</v>
      </c>
    </row>
    <row r="40" spans="1:55" ht="15.75" x14ac:dyDescent="0.25">
      <c r="A40" s="46" t="s">
        <v>14</v>
      </c>
      <c r="B40" s="79" t="s">
        <v>59</v>
      </c>
      <c r="C40" s="79" t="s">
        <v>60</v>
      </c>
      <c r="D40" s="80" t="s">
        <v>61</v>
      </c>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row>
    <row r="41" spans="1:55" x14ac:dyDescent="0.25">
      <c r="A41" s="160" t="s">
        <v>10</v>
      </c>
      <c r="B41" s="52">
        <f>C20</f>
        <v>0.54100000000000004</v>
      </c>
      <c r="C41" s="53">
        <f>C21</f>
        <v>0.15</v>
      </c>
      <c r="D41" s="43">
        <f>C36</f>
        <v>0.4</v>
      </c>
      <c r="E41" s="46">
        <f t="shared" ref="E41:E46" si="3">$B41*$C41*EXP(-$D41*(E$39-$C$39))*(1-EXP(-$D41))</f>
        <v>2.675352826420787E-2</v>
      </c>
      <c r="F41" s="46">
        <f t="shared" ref="F41:U46" si="4">$B41*$C41*EXP(-$D41*(F$39-$C$39))*(1-EXP(-$D41))</f>
        <v>1.7933426297679595E-2</v>
      </c>
      <c r="G41" s="46">
        <f t="shared" si="4"/>
        <v>1.2021135141437331E-2</v>
      </c>
      <c r="H41" s="46">
        <f t="shared" si="4"/>
        <v>8.0580078614089119E-3</v>
      </c>
      <c r="I41" s="46">
        <f t="shared" si="4"/>
        <v>5.4014442006151651E-3</v>
      </c>
      <c r="J41" s="46">
        <f t="shared" si="4"/>
        <v>3.6206963252152953E-3</v>
      </c>
      <c r="K41" s="46">
        <f t="shared" si="4"/>
        <v>2.427025327399386E-3</v>
      </c>
      <c r="L41" s="46">
        <f t="shared" si="4"/>
        <v>1.626883729192019E-3</v>
      </c>
      <c r="M41" s="46">
        <f t="shared" si="4"/>
        <v>1.0905327762466268E-3</v>
      </c>
      <c r="N41" s="46">
        <f t="shared" si="4"/>
        <v>7.3100598077701241E-4</v>
      </c>
      <c r="O41" s="46">
        <f t="shared" si="4"/>
        <v>4.9000796268677468E-4</v>
      </c>
      <c r="P41" s="46">
        <f t="shared" si="4"/>
        <v>3.2846216010602849E-4</v>
      </c>
      <c r="Q41" s="46">
        <f t="shared" si="4"/>
        <v>2.2017477028323849E-4</v>
      </c>
      <c r="R41" s="46">
        <f t="shared" si="4"/>
        <v>1.4758756215214682E-4</v>
      </c>
      <c r="S41" s="46">
        <f t="shared" si="4"/>
        <v>9.8930901456114782E-5</v>
      </c>
      <c r="T41" s="46">
        <f t="shared" si="4"/>
        <v>6.6315366418410199E-5</v>
      </c>
      <c r="U41" s="46">
        <f t="shared" si="4"/>
        <v>4.4452519470458992E-5</v>
      </c>
      <c r="V41" s="46">
        <f t="shared" ref="L41:BC46" si="5">$B41*$C41*EXP(-$D41*(V$39-$C$39))*(1-EXP(-$D41))</f>
        <v>2.9797414897838216E-5</v>
      </c>
      <c r="W41" s="46">
        <f t="shared" si="5"/>
        <v>1.9973804526061968E-5</v>
      </c>
      <c r="X41" s="46">
        <f t="shared" si="5"/>
        <v>1.3388841569416711E-5</v>
      </c>
      <c r="Y41" s="46">
        <f t="shared" si="5"/>
        <v>8.9748088971752981E-6</v>
      </c>
      <c r="Z41" s="46">
        <f t="shared" si="5"/>
        <v>6.0159943131156087E-6</v>
      </c>
      <c r="AA41" s="46">
        <f t="shared" si="5"/>
        <v>4.0326415849177977E-6</v>
      </c>
      <c r="AB41" s="46">
        <f t="shared" si="5"/>
        <v>2.7031604928473307E-6</v>
      </c>
      <c r="AC41" s="46">
        <f t="shared" si="5"/>
        <v>1.8119826660071432E-6</v>
      </c>
      <c r="AD41" s="46">
        <f t="shared" si="5"/>
        <v>1.2146083040936906E-6</v>
      </c>
      <c r="AE41" s="46">
        <f t="shared" si="5"/>
        <v>8.1417629431535201E-7</v>
      </c>
      <c r="AF41" s="46">
        <f t="shared" si="5"/>
        <v>5.4575869108659281E-7</v>
      </c>
      <c r="AG41" s="46">
        <f t="shared" si="5"/>
        <v>3.6583299093351499E-7</v>
      </c>
      <c r="AH41" s="46">
        <f t="shared" si="5"/>
        <v>2.4522518732390936E-7</v>
      </c>
      <c r="AI41" s="46">
        <f t="shared" si="5"/>
        <v>1.6437935885606141E-7</v>
      </c>
      <c r="AJ41" s="46">
        <f t="shared" si="5"/>
        <v>1.1018677939570392E-7</v>
      </c>
      <c r="AK41" s="46">
        <f t="shared" si="5"/>
        <v>7.3860407037047046E-8</v>
      </c>
      <c r="AL41" s="46">
        <f t="shared" si="5"/>
        <v>4.9510111445284417E-8</v>
      </c>
      <c r="AM41" s="46">
        <f t="shared" si="5"/>
        <v>3.3187620183232679E-8</v>
      </c>
      <c r="AN41" s="46">
        <f t="shared" si="5"/>
        <v>2.2246327089037868E-8</v>
      </c>
      <c r="AO41" s="46">
        <f t="shared" si="5"/>
        <v>1.4912158998447748E-8</v>
      </c>
      <c r="AP41" s="46">
        <f t="shared" si="5"/>
        <v>9.995919106330264E-9</v>
      </c>
      <c r="AQ41" s="46">
        <f t="shared" si="5"/>
        <v>6.7004649555238259E-9</v>
      </c>
      <c r="AR41" s="46">
        <f t="shared" si="5"/>
        <v>4.4914559774469182E-9</v>
      </c>
      <c r="AS41" s="46">
        <f t="shared" si="5"/>
        <v>3.0107129775692697E-9</v>
      </c>
      <c r="AT41" s="46">
        <f t="shared" si="5"/>
        <v>2.018141261724325E-9</v>
      </c>
      <c r="AU41" s="46">
        <f t="shared" si="5"/>
        <v>1.3528005434654747E-9</v>
      </c>
      <c r="AV41" s="46">
        <f t="shared" si="5"/>
        <v>9.0680932257281612E-10</v>
      </c>
      <c r="AW41" s="46">
        <f t="shared" si="5"/>
        <v>6.0785246685255571E-10</v>
      </c>
      <c r="AX41" s="46">
        <f t="shared" si="5"/>
        <v>4.0745569356348264E-10</v>
      </c>
      <c r="AY41" s="46">
        <f t="shared" si="5"/>
        <v>2.7312571926695645E-10</v>
      </c>
      <c r="AZ41" s="46">
        <f t="shared" si="5"/>
        <v>1.8308164471254359E-10</v>
      </c>
      <c r="BA41" s="46">
        <f t="shared" si="5"/>
        <v>1.2272329651199252E-10</v>
      </c>
      <c r="BB41" s="46">
        <f t="shared" si="5"/>
        <v>8.2263885767564358E-11</v>
      </c>
      <c r="BC41" s="46">
        <f t="shared" si="5"/>
        <v>5.5143131694784392E-11</v>
      </c>
    </row>
    <row r="42" spans="1:55" x14ac:dyDescent="0.25">
      <c r="A42" s="160" t="s">
        <v>15</v>
      </c>
      <c r="B42" s="52">
        <f>D20</f>
        <v>0.124</v>
      </c>
      <c r="C42" s="53">
        <f>D21</f>
        <v>0.4</v>
      </c>
      <c r="D42" s="43">
        <f>D36</f>
        <v>7.0000000000000007E-2</v>
      </c>
      <c r="E42" s="46">
        <f t="shared" si="3"/>
        <v>3.3532665326649661E-3</v>
      </c>
      <c r="F42" s="46">
        <f t="shared" si="4"/>
        <v>3.126564991554262E-3</v>
      </c>
      <c r="G42" s="46">
        <f t="shared" si="4"/>
        <v>2.9151898756594871E-3</v>
      </c>
      <c r="H42" s="46">
        <f t="shared" si="4"/>
        <v>2.718105023917295E-3</v>
      </c>
      <c r="I42" s="46">
        <f t="shared" si="4"/>
        <v>2.5343443261557955E-3</v>
      </c>
      <c r="J42" s="46">
        <f t="shared" si="4"/>
        <v>2.3630069872213689E-3</v>
      </c>
      <c r="K42" s="46">
        <f t="shared" si="4"/>
        <v>2.203253111279778E-3</v>
      </c>
      <c r="L42" s="46">
        <f t="shared" si="5"/>
        <v>2.0542995846458173E-3</v>
      </c>
      <c r="M42" s="46">
        <f t="shared" si="5"/>
        <v>1.9154162369591165E-3</v>
      </c>
      <c r="N42" s="46">
        <f t="shared" si="5"/>
        <v>1.7859222618881877E-3</v>
      </c>
      <c r="O42" s="46">
        <f t="shared" si="5"/>
        <v>1.6651828798169984E-3</v>
      </c>
      <c r="P42" s="46">
        <f t="shared" si="5"/>
        <v>1.5526062261545588E-3</v>
      </c>
      <c r="Q42" s="46">
        <f t="shared" si="4"/>
        <v>1.4476404500140074E-3</v>
      </c>
      <c r="R42" s="46">
        <f t="shared" si="5"/>
        <v>1.3497710090389263E-3</v>
      </c>
      <c r="S42" s="46">
        <f t="shared" si="5"/>
        <v>1.2585181471161109E-3</v>
      </c>
      <c r="T42" s="46">
        <f t="shared" si="5"/>
        <v>1.1734345426105464E-3</v>
      </c>
      <c r="U42" s="46">
        <f t="shared" si="5"/>
        <v>1.0941031155942368E-3</v>
      </c>
      <c r="V42" s="46">
        <f t="shared" si="5"/>
        <v>1.0201349833199095E-3</v>
      </c>
      <c r="W42" s="46">
        <f t="shared" si="5"/>
        <v>9.5116755391734108E-4</v>
      </c>
      <c r="X42" s="46">
        <f t="shared" si="5"/>
        <v>8.8686274896758693E-4</v>
      </c>
      <c r="Y42" s="46">
        <f t="shared" si="5"/>
        <v>8.2690534624217822E-4</v>
      </c>
      <c r="Z42" s="46">
        <f t="shared" si="5"/>
        <v>7.7100143448339533E-4</v>
      </c>
      <c r="AA42" s="46">
        <f t="shared" si="5"/>
        <v>7.1887697265093876E-4</v>
      </c>
      <c r="AB42" s="46">
        <f t="shared" si="5"/>
        <v>6.7027644657243271E-4</v>
      </c>
      <c r="AC42" s="46">
        <f t="shared" si="5"/>
        <v>6.2496161641265567E-4</v>
      </c>
      <c r="AD42" s="46">
        <f t="shared" si="5"/>
        <v>5.8271034882159179E-4</v>
      </c>
      <c r="AE42" s="46">
        <f t="shared" si="5"/>
        <v>5.4331552803649165E-4</v>
      </c>
      <c r="AF42" s="46">
        <f t="shared" si="5"/>
        <v>5.0658404060016182E-4</v>
      </c>
      <c r="AG42" s="46">
        <f t="shared" si="5"/>
        <v>4.7233582871857483E-4</v>
      </c>
      <c r="AH42" s="46">
        <f t="shared" si="5"/>
        <v>4.4040300761735354E-4</v>
      </c>
      <c r="AI42" s="46">
        <f t="shared" si="5"/>
        <v>4.1062904257041283E-4</v>
      </c>
      <c r="AJ42" s="46">
        <f t="shared" si="5"/>
        <v>3.8286798156654929E-4</v>
      </c>
      <c r="AK42" s="46">
        <f t="shared" si="5"/>
        <v>3.5698373985251514E-4</v>
      </c>
      <c r="AL42" s="46">
        <f t="shared" si="5"/>
        <v>3.3284943284539795E-4</v>
      </c>
      <c r="AM42" s="46">
        <f t="shared" si="5"/>
        <v>3.1034675414424887E-4</v>
      </c>
      <c r="AN42" s="46">
        <f t="shared" si="5"/>
        <v>2.8936539559196845E-4</v>
      </c>
      <c r="AO42" s="46">
        <f t="shared" si="5"/>
        <v>2.6980250654459124E-4</v>
      </c>
      <c r="AP42" s="46">
        <f t="shared" si="5"/>
        <v>2.5156218969731102E-4</v>
      </c>
      <c r="AQ42" s="46">
        <f t="shared" si="5"/>
        <v>2.3455503099578063E-4</v>
      </c>
      <c r="AR42" s="46">
        <f t="shared" si="5"/>
        <v>2.1869766132831393E-4</v>
      </c>
      <c r="AS42" s="46">
        <f t="shared" si="5"/>
        <v>2.0391234785040405E-4</v>
      </c>
      <c r="AT42" s="46">
        <f t="shared" si="5"/>
        <v>1.901266129382287E-4</v>
      </c>
      <c r="AU42" s="46">
        <f t="shared" si="5"/>
        <v>1.7727287890325469E-4</v>
      </c>
      <c r="AV42" s="46">
        <f t="shared" si="5"/>
        <v>1.6528813672633024E-4</v>
      </c>
      <c r="AW42" s="46">
        <f t="shared" si="5"/>
        <v>1.5411363718739973E-4</v>
      </c>
      <c r="AX42" s="46">
        <f t="shared" si="5"/>
        <v>1.43694602876759E-4</v>
      </c>
      <c r="AY42" s="46">
        <f t="shared" si="5"/>
        <v>1.3397995967612961E-4</v>
      </c>
      <c r="AZ42" s="46">
        <f t="shared" si="5"/>
        <v>1.2492208639327136E-4</v>
      </c>
      <c r="BA42" s="46">
        <f t="shared" si="5"/>
        <v>1.1647658132284318E-4</v>
      </c>
      <c r="BB42" s="46">
        <f t="shared" si="5"/>
        <v>1.0860204458919161E-4</v>
      </c>
      <c r="BC42" s="46">
        <f t="shared" si="5"/>
        <v>1.0125987520411243E-4</v>
      </c>
    </row>
    <row r="43" spans="1:55" x14ac:dyDescent="0.25">
      <c r="A43" s="160" t="s">
        <v>11</v>
      </c>
      <c r="B43" s="52">
        <f>E20</f>
        <v>0</v>
      </c>
      <c r="C43" s="53">
        <f>E21</f>
        <v>0.43</v>
      </c>
      <c r="D43" s="43">
        <f>E36</f>
        <v>3.5000000000000003E-2</v>
      </c>
      <c r="E43" s="46">
        <f t="shared" si="3"/>
        <v>0</v>
      </c>
      <c r="F43" s="46">
        <f t="shared" si="4"/>
        <v>0</v>
      </c>
      <c r="G43" s="46">
        <f t="shared" si="4"/>
        <v>0</v>
      </c>
      <c r="H43" s="46">
        <f t="shared" si="4"/>
        <v>0</v>
      </c>
      <c r="I43" s="46">
        <f t="shared" si="4"/>
        <v>0</v>
      </c>
      <c r="J43" s="46">
        <f t="shared" si="4"/>
        <v>0</v>
      </c>
      <c r="K43" s="46">
        <f t="shared" si="4"/>
        <v>0</v>
      </c>
      <c r="L43" s="46">
        <f t="shared" si="5"/>
        <v>0</v>
      </c>
      <c r="M43" s="46">
        <f t="shared" si="5"/>
        <v>0</v>
      </c>
      <c r="N43" s="46">
        <f t="shared" si="5"/>
        <v>0</v>
      </c>
      <c r="O43" s="46">
        <f t="shared" si="5"/>
        <v>0</v>
      </c>
      <c r="P43" s="46">
        <f t="shared" si="5"/>
        <v>0</v>
      </c>
      <c r="Q43" s="46">
        <f t="shared" si="4"/>
        <v>0</v>
      </c>
      <c r="R43" s="46">
        <f t="shared" si="5"/>
        <v>0</v>
      </c>
      <c r="S43" s="46">
        <f t="shared" si="5"/>
        <v>0</v>
      </c>
      <c r="T43" s="46">
        <f t="shared" si="5"/>
        <v>0</v>
      </c>
      <c r="U43" s="46">
        <f t="shared" si="5"/>
        <v>0</v>
      </c>
      <c r="V43" s="46">
        <f t="shared" si="5"/>
        <v>0</v>
      </c>
      <c r="W43" s="46">
        <f t="shared" si="5"/>
        <v>0</v>
      </c>
      <c r="X43" s="46">
        <f t="shared" si="5"/>
        <v>0</v>
      </c>
      <c r="Y43" s="46">
        <f t="shared" si="5"/>
        <v>0</v>
      </c>
      <c r="Z43" s="46">
        <f t="shared" si="5"/>
        <v>0</v>
      </c>
      <c r="AA43" s="46">
        <f t="shared" si="5"/>
        <v>0</v>
      </c>
      <c r="AB43" s="46">
        <f t="shared" si="5"/>
        <v>0</v>
      </c>
      <c r="AC43" s="46">
        <f t="shared" si="5"/>
        <v>0</v>
      </c>
      <c r="AD43" s="46">
        <f t="shared" si="5"/>
        <v>0</v>
      </c>
      <c r="AE43" s="46">
        <f t="shared" si="5"/>
        <v>0</v>
      </c>
      <c r="AF43" s="46">
        <f t="shared" si="5"/>
        <v>0</v>
      </c>
      <c r="AG43" s="46">
        <f t="shared" si="5"/>
        <v>0</v>
      </c>
      <c r="AH43" s="46">
        <f t="shared" si="5"/>
        <v>0</v>
      </c>
      <c r="AI43" s="46">
        <f t="shared" si="5"/>
        <v>0</v>
      </c>
      <c r="AJ43" s="46">
        <f t="shared" si="5"/>
        <v>0</v>
      </c>
      <c r="AK43" s="46">
        <f t="shared" si="5"/>
        <v>0</v>
      </c>
      <c r="AL43" s="46">
        <f t="shared" si="5"/>
        <v>0</v>
      </c>
      <c r="AM43" s="46">
        <f t="shared" si="5"/>
        <v>0</v>
      </c>
      <c r="AN43" s="46">
        <f t="shared" si="5"/>
        <v>0</v>
      </c>
      <c r="AO43" s="46">
        <f t="shared" si="5"/>
        <v>0</v>
      </c>
      <c r="AP43" s="46">
        <f t="shared" si="5"/>
        <v>0</v>
      </c>
      <c r="AQ43" s="46">
        <f t="shared" si="5"/>
        <v>0</v>
      </c>
      <c r="AR43" s="46">
        <f t="shared" si="5"/>
        <v>0</v>
      </c>
      <c r="AS43" s="46">
        <f t="shared" si="5"/>
        <v>0</v>
      </c>
      <c r="AT43" s="46">
        <f t="shared" si="5"/>
        <v>0</v>
      </c>
      <c r="AU43" s="46">
        <f t="shared" si="5"/>
        <v>0</v>
      </c>
      <c r="AV43" s="46">
        <f t="shared" si="5"/>
        <v>0</v>
      </c>
      <c r="AW43" s="46">
        <f t="shared" si="5"/>
        <v>0</v>
      </c>
      <c r="AX43" s="46">
        <f t="shared" si="5"/>
        <v>0</v>
      </c>
      <c r="AY43" s="46">
        <f t="shared" si="5"/>
        <v>0</v>
      </c>
      <c r="AZ43" s="46">
        <f t="shared" si="5"/>
        <v>0</v>
      </c>
      <c r="BA43" s="46">
        <f t="shared" si="5"/>
        <v>0</v>
      </c>
      <c r="BB43" s="46">
        <f t="shared" si="5"/>
        <v>0</v>
      </c>
      <c r="BC43" s="46">
        <f t="shared" si="5"/>
        <v>0</v>
      </c>
    </row>
    <row r="44" spans="1:55" x14ac:dyDescent="0.25">
      <c r="A44" s="160" t="s">
        <v>12</v>
      </c>
      <c r="B44" s="52">
        <f>F20</f>
        <v>1.7000000000000001E-2</v>
      </c>
      <c r="C44" s="53">
        <f>F21</f>
        <v>0.24</v>
      </c>
      <c r="D44" s="43">
        <f>F36</f>
        <v>7.0000000000000007E-2</v>
      </c>
      <c r="E44" s="46">
        <f t="shared" si="3"/>
        <v>2.7583321478373107E-4</v>
      </c>
      <c r="F44" s="46">
        <f t="shared" si="4"/>
        <v>2.5718518478914086E-4</v>
      </c>
      <c r="G44" s="46">
        <f t="shared" si="4"/>
        <v>2.3979787686876424E-4</v>
      </c>
      <c r="H44" s="46">
        <f t="shared" si="4"/>
        <v>2.2358605841900329E-4</v>
      </c>
      <c r="I44" s="46">
        <f t="shared" si="4"/>
        <v>2.08470259087009E-4</v>
      </c>
      <c r="J44" s="46">
        <f t="shared" si="4"/>
        <v>1.9437638120691901E-4</v>
      </c>
      <c r="K44" s="46">
        <f t="shared" si="4"/>
        <v>1.8123533657301397E-4</v>
      </c>
      <c r="L44" s="46">
        <f t="shared" si="5"/>
        <v>1.6898270776925269E-4</v>
      </c>
      <c r="M44" s="46">
        <f t="shared" si="5"/>
        <v>1.5755843239502411E-4</v>
      </c>
      <c r="N44" s="46">
        <f t="shared" si="5"/>
        <v>1.4690650863918964E-4</v>
      </c>
      <c r="O44" s="46">
        <f t="shared" si="5"/>
        <v>1.3697472075914019E-4</v>
      </c>
      <c r="P44" s="46">
        <f t="shared" si="5"/>
        <v>1.2771438311916532E-4</v>
      </c>
      <c r="Q44" s="46">
        <f t="shared" si="4"/>
        <v>1.1908010153341029E-4</v>
      </c>
      <c r="R44" s="46">
        <f t="shared" si="5"/>
        <v>1.1102955074352458E-4</v>
      </c>
      <c r="S44" s="46">
        <f t="shared" si="5"/>
        <v>1.035232669401962E-4</v>
      </c>
      <c r="T44" s="46">
        <f t="shared" si="5"/>
        <v>9.6524454311512699E-5</v>
      </c>
      <c r="U44" s="46">
        <f t="shared" si="5"/>
        <v>8.9998804669848509E-5</v>
      </c>
      <c r="V44" s="46">
        <f t="shared" si="5"/>
        <v>8.3914329273089328E-5</v>
      </c>
      <c r="W44" s="46">
        <f t="shared" si="5"/>
        <v>7.8241202015781285E-5</v>
      </c>
      <c r="X44" s="46">
        <f t="shared" si="5"/>
        <v>7.2951613221527309E-5</v>
      </c>
      <c r="Y44" s="46">
        <f t="shared" si="5"/>
        <v>6.8019633319921111E-5</v>
      </c>
      <c r="Z44" s="46">
        <f t="shared" si="5"/>
        <v>6.3421085739763164E-5</v>
      </c>
      <c r="AA44" s="46">
        <f t="shared" si="5"/>
        <v>5.9133428395480437E-5</v>
      </c>
      <c r="AB44" s="46">
        <f t="shared" si="5"/>
        <v>5.5135643185796872E-5</v>
      </c>
      <c r="AC44" s="46">
        <f t="shared" si="5"/>
        <v>5.1408132962976512E-5</v>
      </c>
      <c r="AD44" s="46">
        <f t="shared" si="5"/>
        <v>4.7932625467582554E-5</v>
      </c>
      <c r="AE44" s="46">
        <f t="shared" si="5"/>
        <v>4.4692083757840438E-5</v>
      </c>
      <c r="AF44" s="46">
        <f t="shared" si="5"/>
        <v>4.1670622694529443E-5</v>
      </c>
      <c r="AG44" s="46">
        <f t="shared" si="5"/>
        <v>3.8853431072011795E-5</v>
      </c>
      <c r="AH44" s="46">
        <f t="shared" si="5"/>
        <v>3.6226699013685532E-5</v>
      </c>
      <c r="AI44" s="46">
        <f t="shared" si="5"/>
        <v>3.3777550275953309E-5</v>
      </c>
      <c r="AJ44" s="46">
        <f t="shared" si="5"/>
        <v>3.1493979128861314E-5</v>
      </c>
      <c r="AK44" s="46">
        <f t="shared" si="5"/>
        <v>2.9364791503997213E-5</v>
      </c>
      <c r="AL44" s="46">
        <f t="shared" si="5"/>
        <v>2.7379550121153702E-5</v>
      </c>
      <c r="AM44" s="46">
        <f t="shared" si="5"/>
        <v>2.5528523324768859E-5</v>
      </c>
      <c r="AN44" s="46">
        <f t="shared" si="5"/>
        <v>2.3802637379339337E-5</v>
      </c>
      <c r="AO44" s="46">
        <f t="shared" si="5"/>
        <v>2.219343198995831E-5</v>
      </c>
      <c r="AP44" s="46">
        <f t="shared" si="5"/>
        <v>2.0693018829940099E-5</v>
      </c>
      <c r="AQ44" s="46">
        <f t="shared" si="5"/>
        <v>1.929404287223357E-5</v>
      </c>
      <c r="AR44" s="46">
        <f t="shared" si="5"/>
        <v>1.7989646335070984E-5</v>
      </c>
      <c r="AS44" s="46">
        <f t="shared" si="5"/>
        <v>1.6773435065113883E-5</v>
      </c>
      <c r="AT44" s="46">
        <f t="shared" si="5"/>
        <v>1.5639447193305909E-5</v>
      </c>
      <c r="AU44" s="46">
        <f t="shared" si="5"/>
        <v>1.4582123909783854E-5</v>
      </c>
      <c r="AV44" s="46">
        <f t="shared" si="5"/>
        <v>1.3596282214585231E-5</v>
      </c>
      <c r="AW44" s="46">
        <f t="shared" si="5"/>
        <v>1.267708951057643E-5</v>
      </c>
      <c r="AX44" s="46">
        <f t="shared" si="5"/>
        <v>1.1820039914055981E-5</v>
      </c>
      <c r="AY44" s="46">
        <f t="shared" si="5"/>
        <v>1.1020932166907433E-5</v>
      </c>
      <c r="AZ44" s="46">
        <f t="shared" si="5"/>
        <v>1.0275849042027159E-5</v>
      </c>
      <c r="BA44" s="46">
        <f t="shared" si="5"/>
        <v>9.5811381410725829E-6</v>
      </c>
      <c r="BB44" s="46">
        <f t="shared" si="5"/>
        <v>8.9333939904012449E-6</v>
      </c>
      <c r="BC44" s="46">
        <f t="shared" si="5"/>
        <v>8.3294413474350552E-6</v>
      </c>
    </row>
    <row r="45" spans="1:55" x14ac:dyDescent="0.25">
      <c r="A45" s="160" t="s">
        <v>18</v>
      </c>
      <c r="B45" s="52">
        <f>G20</f>
        <v>3.3000000000000002E-2</v>
      </c>
      <c r="C45" s="53">
        <f>G21</f>
        <v>0.2</v>
      </c>
      <c r="D45" s="43">
        <f>G36</f>
        <v>0.17</v>
      </c>
      <c r="E45" s="46">
        <f t="shared" si="3"/>
        <v>1.0318122104638677E-3</v>
      </c>
      <c r="F45" s="46">
        <f t="shared" si="4"/>
        <v>8.7050365930290818E-4</v>
      </c>
      <c r="G45" s="46">
        <f t="shared" si="4"/>
        <v>7.3441331007226881E-4</v>
      </c>
      <c r="H45" s="46">
        <f t="shared" si="4"/>
        <v>6.1959867054806376E-4</v>
      </c>
      <c r="I45" s="46">
        <f t="shared" si="4"/>
        <v>5.2273359875129534E-4</v>
      </c>
      <c r="J45" s="46">
        <f t="shared" si="4"/>
        <v>4.410119457192792E-4</v>
      </c>
      <c r="K45" s="46">
        <f t="shared" si="4"/>
        <v>3.7206626230207004E-4</v>
      </c>
      <c r="L45" s="46">
        <f t="shared" si="5"/>
        <v>3.138992149467779E-4</v>
      </c>
      <c r="M45" s="46">
        <f t="shared" si="5"/>
        <v>2.6482572360782221E-4</v>
      </c>
      <c r="N45" s="46">
        <f t="shared" si="5"/>
        <v>2.2342414553759793E-4</v>
      </c>
      <c r="O45" s="46">
        <f t="shared" si="5"/>
        <v>1.8849509076818122E-4</v>
      </c>
      <c r="P45" s="46">
        <f t="shared" si="5"/>
        <v>1.5902667618225634E-4</v>
      </c>
      <c r="Q45" s="46">
        <f t="shared" si="4"/>
        <v>1.341652115952358E-4</v>
      </c>
      <c r="R45" s="46">
        <f t="shared" si="5"/>
        <v>1.1319046863410963E-4</v>
      </c>
      <c r="S45" s="46">
        <f t="shared" si="5"/>
        <v>9.5494815960654774E-5</v>
      </c>
      <c r="T45" s="46">
        <f t="shared" si="5"/>
        <v>8.0565616393351235E-5</v>
      </c>
      <c r="U45" s="46">
        <f t="shared" si="5"/>
        <v>6.7970375978471272E-5</v>
      </c>
      <c r="V45" s="46">
        <f t="shared" si="5"/>
        <v>5.7344214783864216E-5</v>
      </c>
      <c r="W45" s="46">
        <f t="shared" si="5"/>
        <v>4.8379296448492441E-5</v>
      </c>
      <c r="X45" s="46">
        <f t="shared" si="5"/>
        <v>4.0815910265279441E-5</v>
      </c>
      <c r="Y45" s="46">
        <f t="shared" si="5"/>
        <v>3.4434947448171434E-5</v>
      </c>
      <c r="Z45" s="46">
        <f t="shared" si="5"/>
        <v>2.9051553623367663E-5</v>
      </c>
      <c r="AA45" s="46">
        <f t="shared" si="5"/>
        <v>2.4509773659498487E-5</v>
      </c>
      <c r="AB45" s="46">
        <f t="shared" si="5"/>
        <v>2.0678033699259672E-5</v>
      </c>
      <c r="AC45" s="46">
        <f t="shared" si="5"/>
        <v>1.7445329508459753E-5</v>
      </c>
      <c r="AD45" s="46">
        <f t="shared" si="5"/>
        <v>1.4718010720218177E-5</v>
      </c>
      <c r="AE45" s="46">
        <f t="shared" si="5"/>
        <v>1.2417067814936478E-5</v>
      </c>
      <c r="AF45" s="46">
        <f t="shared" si="5"/>
        <v>1.0475843240753235E-5</v>
      </c>
      <c r="AG45" s="46">
        <f t="shared" si="5"/>
        <v>8.8381003664025439E-6</v>
      </c>
      <c r="AH45" s="46">
        <f t="shared" si="5"/>
        <v>7.4563943246814334E-6</v>
      </c>
      <c r="AI45" s="46">
        <f t="shared" si="5"/>
        <v>6.290697550402679E-6</v>
      </c>
      <c r="AJ45" s="46">
        <f t="shared" si="5"/>
        <v>5.3072401951237972E-6</v>
      </c>
      <c r="AK45" s="46">
        <f t="shared" si="5"/>
        <v>4.4775318258520733E-6</v>
      </c>
      <c r="AL45" s="46">
        <f t="shared" si="5"/>
        <v>3.7775360666619609E-6</v>
      </c>
      <c r="AM45" s="46">
        <f t="shared" si="5"/>
        <v>3.1869742728665875E-6</v>
      </c>
      <c r="AN45" s="46">
        <f t="shared" si="5"/>
        <v>2.6887380654153834E-6</v>
      </c>
      <c r="AO45" s="46">
        <f t="shared" si="5"/>
        <v>2.2683937068343855E-6</v>
      </c>
      <c r="AP45" s="46">
        <f t="shared" si="5"/>
        <v>1.9137639606448224E-6</v>
      </c>
      <c r="AQ45" s="46">
        <f t="shared" si="5"/>
        <v>1.6145753208661818E-6</v>
      </c>
      <c r="AR45" s="46">
        <f t="shared" si="5"/>
        <v>1.3621603919596145E-6</v>
      </c>
      <c r="AS45" s="46">
        <f t="shared" si="5"/>
        <v>1.1492067972574666E-6</v>
      </c>
      <c r="AT45" s="46">
        <f t="shared" si="5"/>
        <v>9.6954534183953801E-7</v>
      </c>
      <c r="AU45" s="46">
        <f t="shared" si="5"/>
        <v>8.1797129300493205E-7</v>
      </c>
      <c r="AV45" s="46">
        <f t="shared" si="5"/>
        <v>6.9009360089411288E-7</v>
      </c>
      <c r="AW45" s="46">
        <f t="shared" si="5"/>
        <v>5.8220769123266975E-7</v>
      </c>
      <c r="AX45" s="46">
        <f t="shared" si="5"/>
        <v>4.9118814504481433E-7</v>
      </c>
      <c r="AY45" s="46">
        <f t="shared" si="5"/>
        <v>4.1439815630355124E-7</v>
      </c>
      <c r="AZ45" s="46">
        <f t="shared" si="5"/>
        <v>3.4961314453571513E-7</v>
      </c>
      <c r="BA45" s="46">
        <f t="shared" si="5"/>
        <v>2.949563094644091E-7</v>
      </c>
      <c r="BB45" s="46">
        <f t="shared" si="5"/>
        <v>2.4884426072823689E-7</v>
      </c>
      <c r="BC45" s="46">
        <f t="shared" si="5"/>
        <v>2.0994114758835066E-7</v>
      </c>
    </row>
    <row r="46" spans="1:55" x14ac:dyDescent="0.25">
      <c r="A46" s="160" t="s">
        <v>19</v>
      </c>
      <c r="B46" s="52">
        <f>(1-SUM(B41:B45))</f>
        <v>0.28499999999999992</v>
      </c>
      <c r="C46" s="53">
        <v>0</v>
      </c>
      <c r="D46" s="43">
        <v>0</v>
      </c>
      <c r="E46" s="46">
        <f t="shared" si="3"/>
        <v>0</v>
      </c>
      <c r="F46" s="46">
        <f t="shared" si="4"/>
        <v>0</v>
      </c>
      <c r="G46" s="46">
        <f t="shared" si="4"/>
        <v>0</v>
      </c>
      <c r="H46" s="46">
        <f t="shared" si="4"/>
        <v>0</v>
      </c>
      <c r="I46" s="46">
        <f t="shared" si="4"/>
        <v>0</v>
      </c>
      <c r="J46" s="46">
        <f t="shared" si="4"/>
        <v>0</v>
      </c>
      <c r="K46" s="46">
        <f t="shared" si="4"/>
        <v>0</v>
      </c>
      <c r="L46" s="46">
        <f t="shared" si="5"/>
        <v>0</v>
      </c>
      <c r="M46" s="46">
        <f t="shared" si="5"/>
        <v>0</v>
      </c>
      <c r="N46" s="46">
        <f t="shared" si="5"/>
        <v>0</v>
      </c>
      <c r="O46" s="46">
        <f t="shared" si="5"/>
        <v>0</v>
      </c>
      <c r="P46" s="46">
        <f t="shared" si="5"/>
        <v>0</v>
      </c>
      <c r="Q46" s="46">
        <f t="shared" si="4"/>
        <v>0</v>
      </c>
      <c r="R46" s="46">
        <f t="shared" si="5"/>
        <v>0</v>
      </c>
      <c r="S46" s="46">
        <f t="shared" si="5"/>
        <v>0</v>
      </c>
      <c r="T46" s="46">
        <f t="shared" si="5"/>
        <v>0</v>
      </c>
      <c r="U46" s="46">
        <f t="shared" si="5"/>
        <v>0</v>
      </c>
      <c r="V46" s="46">
        <f t="shared" si="5"/>
        <v>0</v>
      </c>
      <c r="W46" s="46">
        <f t="shared" si="5"/>
        <v>0</v>
      </c>
      <c r="X46" s="46">
        <f t="shared" si="5"/>
        <v>0</v>
      </c>
      <c r="Y46" s="46">
        <f t="shared" si="5"/>
        <v>0</v>
      </c>
      <c r="Z46" s="46">
        <f t="shared" si="5"/>
        <v>0</v>
      </c>
      <c r="AA46" s="46">
        <f t="shared" si="5"/>
        <v>0</v>
      </c>
      <c r="AB46" s="46">
        <f t="shared" si="5"/>
        <v>0</v>
      </c>
      <c r="AC46" s="46">
        <f t="shared" si="5"/>
        <v>0</v>
      </c>
      <c r="AD46" s="46">
        <f t="shared" si="5"/>
        <v>0</v>
      </c>
      <c r="AE46" s="46">
        <f t="shared" si="5"/>
        <v>0</v>
      </c>
      <c r="AF46" s="46">
        <f t="shared" si="5"/>
        <v>0</v>
      </c>
      <c r="AG46" s="46">
        <f t="shared" si="5"/>
        <v>0</v>
      </c>
      <c r="AH46" s="46">
        <f t="shared" si="5"/>
        <v>0</v>
      </c>
      <c r="AI46" s="46">
        <f t="shared" si="5"/>
        <v>0</v>
      </c>
      <c r="AJ46" s="46">
        <f t="shared" si="5"/>
        <v>0</v>
      </c>
      <c r="AK46" s="46">
        <f t="shared" si="5"/>
        <v>0</v>
      </c>
      <c r="AL46" s="46">
        <f t="shared" si="5"/>
        <v>0</v>
      </c>
      <c r="AM46" s="46">
        <f t="shared" si="5"/>
        <v>0</v>
      </c>
      <c r="AN46" s="46">
        <f t="shared" si="5"/>
        <v>0</v>
      </c>
      <c r="AO46" s="46">
        <f t="shared" si="5"/>
        <v>0</v>
      </c>
      <c r="AP46" s="46">
        <f t="shared" si="5"/>
        <v>0</v>
      </c>
      <c r="AQ46" s="46">
        <f t="shared" si="5"/>
        <v>0</v>
      </c>
      <c r="AR46" s="46">
        <f t="shared" si="5"/>
        <v>0</v>
      </c>
      <c r="AS46" s="46">
        <f t="shared" si="5"/>
        <v>0</v>
      </c>
      <c r="AT46" s="46">
        <f t="shared" si="5"/>
        <v>0</v>
      </c>
      <c r="AU46" s="46">
        <f t="shared" si="5"/>
        <v>0</v>
      </c>
      <c r="AV46" s="46">
        <f t="shared" si="5"/>
        <v>0</v>
      </c>
      <c r="AW46" s="46">
        <f t="shared" si="5"/>
        <v>0</v>
      </c>
      <c r="AX46" s="46">
        <f t="shared" si="5"/>
        <v>0</v>
      </c>
      <c r="AY46" s="46">
        <f t="shared" si="5"/>
        <v>0</v>
      </c>
      <c r="AZ46" s="46">
        <f t="shared" si="5"/>
        <v>0</v>
      </c>
      <c r="BA46" s="46">
        <f t="shared" si="5"/>
        <v>0</v>
      </c>
      <c r="BB46" s="46">
        <f t="shared" si="5"/>
        <v>0</v>
      </c>
      <c r="BC46" s="46">
        <f t="shared" si="5"/>
        <v>0</v>
      </c>
    </row>
    <row r="47" spans="1:55" ht="14.25" x14ac:dyDescent="0.25">
      <c r="A47" s="76" t="s">
        <v>62</v>
      </c>
      <c r="D47" s="47"/>
      <c r="E47" s="46">
        <f>SUM(E41:E46)</f>
        <v>3.1414440222120435E-2</v>
      </c>
      <c r="F47" s="46">
        <f>SUM(F41:F46)</f>
        <v>2.2187680133325907E-2</v>
      </c>
      <c r="G47" s="46">
        <f>SUM(G41:G46)</f>
        <v>1.5910536204037852E-2</v>
      </c>
      <c r="H47" s="46">
        <f>SUM(H41:H46)</f>
        <v>1.1619297614293275E-2</v>
      </c>
      <c r="I47" s="46">
        <f t="shared" ref="I47:AJ47" si="6">SUM(I41:I46)</f>
        <v>8.6669923846092664E-3</v>
      </c>
      <c r="J47" s="46">
        <f t="shared" si="6"/>
        <v>6.6190916393628618E-3</v>
      </c>
      <c r="K47" s="46">
        <f t="shared" si="6"/>
        <v>5.183580037554248E-3</v>
      </c>
      <c r="L47" s="46">
        <f t="shared" si="6"/>
        <v>4.1640652365538666E-3</v>
      </c>
      <c r="M47" s="46">
        <f t="shared" si="6"/>
        <v>3.4283331692085898E-3</v>
      </c>
      <c r="N47" s="46">
        <f t="shared" si="6"/>
        <v>2.887258896841988E-3</v>
      </c>
      <c r="O47" s="46">
        <f t="shared" si="6"/>
        <v>2.480660654031094E-3</v>
      </c>
      <c r="P47" s="46">
        <f t="shared" si="6"/>
        <v>2.1678094455620093E-3</v>
      </c>
      <c r="Q47" s="46">
        <f t="shared" si="6"/>
        <v>1.921060533425892E-3</v>
      </c>
      <c r="R47" s="46">
        <f t="shared" si="6"/>
        <v>1.7215785905687075E-3</v>
      </c>
      <c r="S47" s="46">
        <f t="shared" si="6"/>
        <v>1.5564671314730765E-3</v>
      </c>
      <c r="T47" s="46">
        <f t="shared" si="6"/>
        <v>1.4168399797338204E-3</v>
      </c>
      <c r="U47" s="46">
        <f t="shared" si="6"/>
        <v>1.2965248157130157E-3</v>
      </c>
      <c r="V47" s="46">
        <f t="shared" si="6"/>
        <v>1.1911909422747011E-3</v>
      </c>
      <c r="W47" s="46">
        <f t="shared" si="6"/>
        <v>1.0977618569076766E-3</v>
      </c>
      <c r="X47" s="46">
        <f t="shared" si="6"/>
        <v>1.0140191140238105E-3</v>
      </c>
      <c r="Y47" s="46">
        <f t="shared" si="6"/>
        <v>9.3833473590744607E-4</v>
      </c>
      <c r="Z47" s="46">
        <f t="shared" si="6"/>
        <v>8.6949006815964177E-4</v>
      </c>
      <c r="AA47" s="46">
        <f t="shared" si="6"/>
        <v>8.0655281629083548E-4</v>
      </c>
      <c r="AB47" s="46">
        <f t="shared" si="6"/>
        <v>7.4879328395033654E-4</v>
      </c>
      <c r="AC47" s="46">
        <f t="shared" si="6"/>
        <v>6.956270615500991E-4</v>
      </c>
      <c r="AD47" s="46">
        <f t="shared" si="6"/>
        <v>6.4657559331348616E-4</v>
      </c>
      <c r="AE47" s="46">
        <f t="shared" si="6"/>
        <v>6.0123885590358393E-4</v>
      </c>
      <c r="AF47" s="46">
        <f t="shared" si="6"/>
        <v>5.592762652265311E-4</v>
      </c>
      <c r="AG47" s="46">
        <f t="shared" si="6"/>
        <v>5.2039319314792264E-4</v>
      </c>
      <c r="AH47" s="46">
        <f t="shared" si="6"/>
        <v>4.8433132614304444E-4</v>
      </c>
      <c r="AI47" s="46">
        <f t="shared" si="6"/>
        <v>4.5086166975562487E-4</v>
      </c>
      <c r="AJ47" s="46">
        <f t="shared" si="6"/>
        <v>4.1977938766993013E-4</v>
      </c>
      <c r="AK47" s="46">
        <f t="shared" ref="AK47:BC47" si="7">SUM(AK41:AK46)</f>
        <v>3.9089992358940146E-4</v>
      </c>
      <c r="AL47" s="46">
        <f t="shared" si="7"/>
        <v>3.6405602914465893E-4</v>
      </c>
      <c r="AM47" s="46">
        <f t="shared" si="7"/>
        <v>3.3909543936206759E-4</v>
      </c>
      <c r="AN47" s="46">
        <f t="shared" si="7"/>
        <v>3.1587901736381224E-4</v>
      </c>
      <c r="AO47" s="46">
        <f t="shared" si="7"/>
        <v>2.9427924440038236E-4</v>
      </c>
      <c r="AP47" s="46">
        <f t="shared" si="7"/>
        <v>2.741789684070023E-4</v>
      </c>
      <c r="AQ47" s="46">
        <f t="shared" si="7"/>
        <v>2.5547034965383593E-4</v>
      </c>
      <c r="AR47" s="46">
        <f t="shared" si="7"/>
        <v>2.3805395951132199E-4</v>
      </c>
      <c r="AS47" s="46">
        <f t="shared" si="7"/>
        <v>2.2183800042575297E-4</v>
      </c>
      <c r="AT47" s="46">
        <f t="shared" si="7"/>
        <v>2.0673762361463587E-4</v>
      </c>
      <c r="AU47" s="46">
        <f t="shared" si="7"/>
        <v>1.9267432690658694E-4</v>
      </c>
      <c r="AV47" s="46">
        <f t="shared" si="7"/>
        <v>1.7957541935113215E-4</v>
      </c>
      <c r="AW47" s="46">
        <f t="shared" si="7"/>
        <v>1.673735422416757E-4</v>
      </c>
      <c r="AX47" s="46">
        <f t="shared" si="7"/>
        <v>1.5600623839155336E-4</v>
      </c>
      <c r="AY47" s="46">
        <f t="shared" si="7"/>
        <v>1.4541556312505985E-4</v>
      </c>
      <c r="AZ47" s="46">
        <f t="shared" si="7"/>
        <v>1.3554773166147893E-4</v>
      </c>
      <c r="BA47" s="46">
        <f t="shared" si="7"/>
        <v>1.263527984966767E-4</v>
      </c>
      <c r="BB47" s="46">
        <f t="shared" si="7"/>
        <v>1.1778436510420686E-4</v>
      </c>
      <c r="BC47" s="46">
        <f t="shared" si="7"/>
        <v>1.0979931284226754E-4</v>
      </c>
    </row>
    <row r="48" spans="1:55" x14ac:dyDescent="0.25">
      <c r="A48" s="54"/>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row>
    <row r="49" spans="1:55" s="41" customFormat="1" x14ac:dyDescent="0.25">
      <c r="D49" s="55" t="s">
        <v>16</v>
      </c>
      <c r="E49" s="76">
        <v>1</v>
      </c>
      <c r="F49" s="76">
        <f>E49+1</f>
        <v>2</v>
      </c>
      <c r="G49" s="76">
        <f t="shared" ref="G49:T49" si="8">F49+1</f>
        <v>3</v>
      </c>
      <c r="H49" s="76">
        <f t="shared" si="8"/>
        <v>4</v>
      </c>
      <c r="I49" s="76">
        <f t="shared" si="8"/>
        <v>5</v>
      </c>
      <c r="J49" s="76">
        <f t="shared" si="8"/>
        <v>6</v>
      </c>
      <c r="K49" s="76">
        <f t="shared" si="8"/>
        <v>7</v>
      </c>
      <c r="L49" s="76">
        <f t="shared" si="8"/>
        <v>8</v>
      </c>
      <c r="M49" s="76">
        <f t="shared" si="8"/>
        <v>9</v>
      </c>
      <c r="N49" s="76">
        <f t="shared" si="8"/>
        <v>10</v>
      </c>
      <c r="O49" s="76">
        <f t="shared" si="8"/>
        <v>11</v>
      </c>
      <c r="P49" s="76">
        <f t="shared" si="8"/>
        <v>12</v>
      </c>
      <c r="Q49" s="76">
        <f t="shared" si="8"/>
        <v>13</v>
      </c>
      <c r="R49" s="76">
        <f t="shared" si="8"/>
        <v>14</v>
      </c>
      <c r="S49" s="76">
        <f t="shared" si="8"/>
        <v>15</v>
      </c>
      <c r="T49" s="76">
        <f t="shared" si="8"/>
        <v>16</v>
      </c>
      <c r="U49" s="76">
        <f>T49+1</f>
        <v>17</v>
      </c>
      <c r="V49" s="76">
        <f>U49+1</f>
        <v>18</v>
      </c>
      <c r="W49" s="76">
        <f>V49+1</f>
        <v>19</v>
      </c>
      <c r="X49" s="76">
        <f>W49+1</f>
        <v>20</v>
      </c>
      <c r="Y49" s="76">
        <f t="shared" ref="Y49:BC49" si="9">X49+1</f>
        <v>21</v>
      </c>
      <c r="Z49" s="76">
        <f t="shared" si="9"/>
        <v>22</v>
      </c>
      <c r="AA49" s="76">
        <f t="shared" si="9"/>
        <v>23</v>
      </c>
      <c r="AB49" s="76">
        <f t="shared" si="9"/>
        <v>24</v>
      </c>
      <c r="AC49" s="76">
        <f t="shared" si="9"/>
        <v>25</v>
      </c>
      <c r="AD49" s="76">
        <f t="shared" si="9"/>
        <v>26</v>
      </c>
      <c r="AE49" s="76">
        <f t="shared" si="9"/>
        <v>27</v>
      </c>
      <c r="AF49" s="76">
        <f t="shared" si="9"/>
        <v>28</v>
      </c>
      <c r="AG49" s="76">
        <f t="shared" si="9"/>
        <v>29</v>
      </c>
      <c r="AH49" s="76">
        <f t="shared" si="9"/>
        <v>30</v>
      </c>
      <c r="AI49" s="76">
        <f t="shared" si="9"/>
        <v>31</v>
      </c>
      <c r="AJ49" s="76">
        <f t="shared" si="9"/>
        <v>32</v>
      </c>
      <c r="AK49" s="76">
        <f t="shared" si="9"/>
        <v>33</v>
      </c>
      <c r="AL49" s="76">
        <f t="shared" si="9"/>
        <v>34</v>
      </c>
      <c r="AM49" s="76">
        <f t="shared" si="9"/>
        <v>35</v>
      </c>
      <c r="AN49" s="76">
        <f t="shared" si="9"/>
        <v>36</v>
      </c>
      <c r="AO49" s="76">
        <f t="shared" si="9"/>
        <v>37</v>
      </c>
      <c r="AP49" s="76">
        <f t="shared" si="9"/>
        <v>38</v>
      </c>
      <c r="AQ49" s="76">
        <f t="shared" si="9"/>
        <v>39</v>
      </c>
      <c r="AR49" s="76">
        <f t="shared" si="9"/>
        <v>40</v>
      </c>
      <c r="AS49" s="76">
        <f t="shared" si="9"/>
        <v>41</v>
      </c>
      <c r="AT49" s="76">
        <f t="shared" si="9"/>
        <v>42</v>
      </c>
      <c r="AU49" s="76">
        <f t="shared" si="9"/>
        <v>43</v>
      </c>
      <c r="AV49" s="76">
        <f t="shared" si="9"/>
        <v>44</v>
      </c>
      <c r="AW49" s="76">
        <f t="shared" si="9"/>
        <v>45</v>
      </c>
      <c r="AX49" s="76">
        <f t="shared" si="9"/>
        <v>46</v>
      </c>
      <c r="AY49" s="76">
        <f t="shared" si="9"/>
        <v>47</v>
      </c>
      <c r="AZ49" s="76">
        <f t="shared" si="9"/>
        <v>48</v>
      </c>
      <c r="BA49" s="76">
        <f t="shared" si="9"/>
        <v>49</v>
      </c>
      <c r="BB49" s="76">
        <f t="shared" si="9"/>
        <v>50</v>
      </c>
      <c r="BC49" s="76">
        <f t="shared" si="9"/>
        <v>51</v>
      </c>
    </row>
    <row r="50" spans="1:55" s="47" customFormat="1" ht="13.5" x14ac:dyDescent="0.25">
      <c r="A50" s="56" t="s">
        <v>47</v>
      </c>
      <c r="B50" s="57"/>
      <c r="C50" s="57"/>
      <c r="D50" s="57"/>
      <c r="E50" s="77">
        <f>E47*$C16</f>
        <v>0.19791097339935876</v>
      </c>
      <c r="F50" s="77">
        <f t="shared" ref="F50:AJ50" si="10">F47*$C16</f>
        <v>0.13978238483995323</v>
      </c>
      <c r="G50" s="77">
        <f t="shared" si="10"/>
        <v>0.10023637808543848</v>
      </c>
      <c r="H50" s="77">
        <f t="shared" si="10"/>
        <v>7.3201574970047645E-2</v>
      </c>
      <c r="I50" s="77">
        <f t="shared" si="10"/>
        <v>5.4602052023038382E-2</v>
      </c>
      <c r="J50" s="77">
        <f t="shared" si="10"/>
        <v>4.1700277327986035E-2</v>
      </c>
      <c r="K50" s="77">
        <f t="shared" si="10"/>
        <v>3.2656554236591764E-2</v>
      </c>
      <c r="L50" s="77">
        <f t="shared" si="10"/>
        <v>2.6233610990289362E-2</v>
      </c>
      <c r="M50" s="77">
        <f t="shared" si="10"/>
        <v>2.159849896601412E-2</v>
      </c>
      <c r="N50" s="77">
        <f t="shared" si="10"/>
        <v>1.8189731050104525E-2</v>
      </c>
      <c r="O50" s="77">
        <f t="shared" si="10"/>
        <v>1.5628162120395896E-2</v>
      </c>
      <c r="P50" s="77">
        <f t="shared" si="10"/>
        <v>1.365719950704066E-2</v>
      </c>
      <c r="Q50" s="77">
        <f t="shared" si="10"/>
        <v>1.2102681360583121E-2</v>
      </c>
      <c r="R50" s="77">
        <f t="shared" si="10"/>
        <v>1.0845945120582859E-2</v>
      </c>
      <c r="S50" s="77">
        <f t="shared" si="10"/>
        <v>9.8057429282803841E-3</v>
      </c>
      <c r="T50" s="77">
        <f t="shared" si="10"/>
        <v>8.9260918723230685E-3</v>
      </c>
      <c r="U50" s="77">
        <f t="shared" si="10"/>
        <v>8.168106338991999E-3</v>
      </c>
      <c r="V50" s="77">
        <f t="shared" si="10"/>
        <v>7.5045029363306178E-3</v>
      </c>
      <c r="W50" s="77">
        <f t="shared" si="10"/>
        <v>6.9158996985183635E-3</v>
      </c>
      <c r="X50" s="77">
        <f t="shared" si="10"/>
        <v>6.3883204183500068E-3</v>
      </c>
      <c r="Y50" s="77">
        <f t="shared" si="10"/>
        <v>5.911508836216911E-3</v>
      </c>
      <c r="Z50" s="77">
        <f t="shared" si="10"/>
        <v>5.4777874294057441E-3</v>
      </c>
      <c r="AA50" s="77">
        <f t="shared" si="10"/>
        <v>5.0812827426322642E-3</v>
      </c>
      <c r="AB50" s="77">
        <f t="shared" si="10"/>
        <v>4.7173976888871209E-3</v>
      </c>
      <c r="AC50" s="77">
        <f t="shared" si="10"/>
        <v>4.3824504877656252E-3</v>
      </c>
      <c r="AD50" s="77">
        <f t="shared" si="10"/>
        <v>4.0734262378749634E-3</v>
      </c>
      <c r="AE50" s="77">
        <f t="shared" si="10"/>
        <v>3.7878047921925794E-3</v>
      </c>
      <c r="AF50" s="77">
        <f t="shared" si="10"/>
        <v>3.5234404709271463E-3</v>
      </c>
      <c r="AG50" s="77">
        <f t="shared" si="10"/>
        <v>3.2784771168319132E-3</v>
      </c>
      <c r="AH50" s="77">
        <f t="shared" si="10"/>
        <v>3.0512873547011805E-3</v>
      </c>
      <c r="AI50" s="77">
        <f t="shared" si="10"/>
        <v>2.8404285194604368E-3</v>
      </c>
      <c r="AJ50" s="77">
        <f t="shared" si="10"/>
        <v>2.6446101423205602E-3</v>
      </c>
      <c r="AK50" s="77">
        <f t="shared" ref="AK50:BC50" si="11">AK47*$C16</f>
        <v>2.4626695186132294E-3</v>
      </c>
      <c r="AL50" s="77">
        <f t="shared" si="11"/>
        <v>2.2935529836113516E-3</v>
      </c>
      <c r="AM50" s="77">
        <f t="shared" si="11"/>
        <v>2.136301267981026E-3</v>
      </c>
      <c r="AN50" s="77">
        <f t="shared" si="11"/>
        <v>1.9900378093920174E-3</v>
      </c>
      <c r="AO50" s="77">
        <f t="shared" si="11"/>
        <v>1.8539592397224091E-3</v>
      </c>
      <c r="AP50" s="77">
        <f t="shared" si="11"/>
        <v>1.7273275009641147E-3</v>
      </c>
      <c r="AQ50" s="77">
        <f t="shared" si="11"/>
        <v>1.6094632028191666E-3</v>
      </c>
      <c r="AR50" s="77">
        <f t="shared" si="11"/>
        <v>1.4997399449213286E-3</v>
      </c>
      <c r="AS50" s="77">
        <f t="shared" si="11"/>
        <v>1.3975794026822438E-3</v>
      </c>
      <c r="AT50" s="77">
        <f t="shared" si="11"/>
        <v>1.3024470287722062E-3</v>
      </c>
      <c r="AU50" s="77">
        <f t="shared" si="11"/>
        <v>1.2138482595114978E-3</v>
      </c>
      <c r="AV50" s="77">
        <f t="shared" si="11"/>
        <v>1.1313251419121327E-3</v>
      </c>
      <c r="AW50" s="77">
        <f t="shared" si="11"/>
        <v>1.0544533161225571E-3</v>
      </c>
      <c r="AX50" s="77">
        <f t="shared" si="11"/>
        <v>9.8283930186678623E-4</v>
      </c>
      <c r="AY50" s="77">
        <f t="shared" si="11"/>
        <v>9.1611804768787714E-4</v>
      </c>
      <c r="AZ50" s="77">
        <f t="shared" si="11"/>
        <v>8.5395070946731738E-4</v>
      </c>
      <c r="BA50" s="77">
        <f t="shared" si="11"/>
        <v>7.9602263052906328E-4</v>
      </c>
      <c r="BB50" s="77">
        <f t="shared" si="11"/>
        <v>7.4204150015650327E-4</v>
      </c>
      <c r="BC50" s="77">
        <f t="shared" si="11"/>
        <v>6.9173567090628557E-4</v>
      </c>
    </row>
    <row r="51" spans="1:55" x14ac:dyDescent="0.25">
      <c r="A51" s="54"/>
    </row>
    <row r="52" spans="1:55" x14ac:dyDescent="0.25">
      <c r="A52" s="54"/>
    </row>
    <row r="53" spans="1:55" x14ac:dyDescent="0.25">
      <c r="A53" s="54"/>
      <c r="E53" s="139">
        <f>E50</f>
        <v>0.19791097339935876</v>
      </c>
      <c r="F53" s="139">
        <f t="shared" ref="F53:BC53" si="12">F50</f>
        <v>0.13978238483995323</v>
      </c>
      <c r="G53" s="139">
        <f t="shared" si="12"/>
        <v>0.10023637808543848</v>
      </c>
      <c r="H53" s="139">
        <f t="shared" si="12"/>
        <v>7.3201574970047645E-2</v>
      </c>
      <c r="I53" s="139">
        <f t="shared" si="12"/>
        <v>5.4602052023038382E-2</v>
      </c>
      <c r="J53" s="139">
        <f t="shared" si="12"/>
        <v>4.1700277327986035E-2</v>
      </c>
      <c r="K53" s="139">
        <f t="shared" si="12"/>
        <v>3.2656554236591764E-2</v>
      </c>
      <c r="L53" s="139">
        <f t="shared" si="12"/>
        <v>2.6233610990289362E-2</v>
      </c>
      <c r="M53" s="139">
        <f t="shared" si="12"/>
        <v>2.159849896601412E-2</v>
      </c>
      <c r="N53" s="139">
        <f t="shared" si="12"/>
        <v>1.8189731050104525E-2</v>
      </c>
      <c r="O53" s="139">
        <f t="shared" si="12"/>
        <v>1.5628162120395896E-2</v>
      </c>
      <c r="P53" s="139">
        <f t="shared" si="12"/>
        <v>1.365719950704066E-2</v>
      </c>
      <c r="Q53" s="139">
        <f t="shared" si="12"/>
        <v>1.2102681360583121E-2</v>
      </c>
      <c r="R53" s="139">
        <f t="shared" si="12"/>
        <v>1.0845945120582859E-2</v>
      </c>
      <c r="S53" s="139">
        <f t="shared" si="12"/>
        <v>9.8057429282803841E-3</v>
      </c>
      <c r="T53" s="139">
        <f t="shared" si="12"/>
        <v>8.9260918723230685E-3</v>
      </c>
      <c r="U53" s="139">
        <f t="shared" si="12"/>
        <v>8.168106338991999E-3</v>
      </c>
      <c r="V53" s="139">
        <f t="shared" si="12"/>
        <v>7.5045029363306178E-3</v>
      </c>
      <c r="W53" s="139">
        <f t="shared" si="12"/>
        <v>6.9158996985183635E-3</v>
      </c>
      <c r="X53" s="139">
        <f t="shared" si="12"/>
        <v>6.3883204183500068E-3</v>
      </c>
      <c r="Y53" s="139">
        <f t="shared" si="12"/>
        <v>5.911508836216911E-3</v>
      </c>
      <c r="Z53" s="139">
        <f t="shared" si="12"/>
        <v>5.4777874294057441E-3</v>
      </c>
      <c r="AA53" s="139">
        <f t="shared" si="12"/>
        <v>5.0812827426322642E-3</v>
      </c>
      <c r="AB53" s="139">
        <f t="shared" si="12"/>
        <v>4.7173976888871209E-3</v>
      </c>
      <c r="AC53" s="139">
        <f t="shared" si="12"/>
        <v>4.3824504877656252E-3</v>
      </c>
      <c r="AD53" s="139">
        <f t="shared" si="12"/>
        <v>4.0734262378749634E-3</v>
      </c>
      <c r="AE53" s="139">
        <f t="shared" si="12"/>
        <v>3.7878047921925794E-3</v>
      </c>
      <c r="AF53" s="139">
        <f t="shared" si="12"/>
        <v>3.5234404709271463E-3</v>
      </c>
      <c r="AG53" s="139">
        <f t="shared" si="12"/>
        <v>3.2784771168319132E-3</v>
      </c>
      <c r="AH53" s="139">
        <f t="shared" si="12"/>
        <v>3.0512873547011805E-3</v>
      </c>
      <c r="AI53" s="139">
        <f t="shared" si="12"/>
        <v>2.8404285194604368E-3</v>
      </c>
      <c r="AJ53" s="139">
        <f t="shared" si="12"/>
        <v>2.6446101423205602E-3</v>
      </c>
      <c r="AK53" s="139">
        <f t="shared" si="12"/>
        <v>2.4626695186132294E-3</v>
      </c>
      <c r="AL53" s="139">
        <f t="shared" si="12"/>
        <v>2.2935529836113516E-3</v>
      </c>
      <c r="AM53" s="139">
        <f t="shared" si="12"/>
        <v>2.136301267981026E-3</v>
      </c>
      <c r="AN53" s="139">
        <f t="shared" si="12"/>
        <v>1.9900378093920174E-3</v>
      </c>
      <c r="AO53" s="139">
        <f t="shared" si="12"/>
        <v>1.8539592397224091E-3</v>
      </c>
      <c r="AP53" s="139">
        <f t="shared" si="12"/>
        <v>1.7273275009641147E-3</v>
      </c>
      <c r="AQ53" s="139">
        <f t="shared" si="12"/>
        <v>1.6094632028191666E-3</v>
      </c>
      <c r="AR53" s="139">
        <f t="shared" si="12"/>
        <v>1.4997399449213286E-3</v>
      </c>
      <c r="AS53" s="139">
        <f t="shared" si="12"/>
        <v>1.3975794026822438E-3</v>
      </c>
      <c r="AT53" s="139">
        <f t="shared" si="12"/>
        <v>1.3024470287722062E-3</v>
      </c>
      <c r="AU53" s="139">
        <f t="shared" si="12"/>
        <v>1.2138482595114978E-3</v>
      </c>
      <c r="AV53" s="139">
        <f t="shared" si="12"/>
        <v>1.1313251419121327E-3</v>
      </c>
      <c r="AW53" s="139">
        <f t="shared" si="12"/>
        <v>1.0544533161225571E-3</v>
      </c>
      <c r="AX53" s="139">
        <f t="shared" si="12"/>
        <v>9.8283930186678623E-4</v>
      </c>
      <c r="AY53" s="139">
        <f t="shared" si="12"/>
        <v>9.1611804768787714E-4</v>
      </c>
      <c r="AZ53" s="139">
        <f t="shared" si="12"/>
        <v>8.5395070946731738E-4</v>
      </c>
      <c r="BA53" s="139">
        <f t="shared" si="12"/>
        <v>7.9602263052906328E-4</v>
      </c>
      <c r="BB53" s="139">
        <f t="shared" si="12"/>
        <v>7.4204150015650327E-4</v>
      </c>
      <c r="BC53" s="139">
        <f t="shared" si="12"/>
        <v>6.9173567090628557E-4</v>
      </c>
    </row>
    <row r="54" spans="1:55" x14ac:dyDescent="0.25">
      <c r="A54" s="54"/>
    </row>
    <row r="55" spans="1:55" x14ac:dyDescent="0.25">
      <c r="A55" s="54"/>
    </row>
    <row r="56" spans="1:55" x14ac:dyDescent="0.25">
      <c r="A56" s="54"/>
    </row>
    <row r="57" spans="1:55" x14ac:dyDescent="0.25">
      <c r="A57" s="54"/>
    </row>
    <row r="58" spans="1:55" x14ac:dyDescent="0.25">
      <c r="A58" s="54"/>
    </row>
    <row r="59" spans="1:55" x14ac:dyDescent="0.25">
      <c r="A59" s="54"/>
    </row>
    <row r="60" spans="1:55" x14ac:dyDescent="0.25">
      <c r="A60" s="54"/>
    </row>
    <row r="61" spans="1:55" x14ac:dyDescent="0.25">
      <c r="A61" s="54"/>
    </row>
    <row r="62" spans="1:55" x14ac:dyDescent="0.25">
      <c r="A62" s="54"/>
    </row>
    <row r="63" spans="1:55" x14ac:dyDescent="0.25">
      <c r="A63" s="54"/>
    </row>
    <row r="64" spans="1:55" x14ac:dyDescent="0.25">
      <c r="A64" s="54"/>
    </row>
    <row r="65" spans="1:1" x14ac:dyDescent="0.25">
      <c r="A65" s="54"/>
    </row>
    <row r="66" spans="1:1" x14ac:dyDescent="0.25">
      <c r="A66" s="54"/>
    </row>
    <row r="67" spans="1:1" x14ac:dyDescent="0.25">
      <c r="A67" s="54"/>
    </row>
    <row r="68" spans="1:1" x14ac:dyDescent="0.25">
      <c r="A68" s="54"/>
    </row>
    <row r="69" spans="1:1" x14ac:dyDescent="0.25">
      <c r="A69" s="54"/>
    </row>
    <row r="70" spans="1:1" x14ac:dyDescent="0.25">
      <c r="A70" s="54"/>
    </row>
    <row r="71" spans="1:1" x14ac:dyDescent="0.25">
      <c r="A71" s="54"/>
    </row>
    <row r="72" spans="1:1" x14ac:dyDescent="0.25">
      <c r="A72" s="54"/>
    </row>
    <row r="73" spans="1:1" x14ac:dyDescent="0.25">
      <c r="A73" s="54"/>
    </row>
    <row r="74" spans="1:1" x14ac:dyDescent="0.25">
      <c r="A74" s="54"/>
    </row>
    <row r="75" spans="1:1" x14ac:dyDescent="0.25">
      <c r="A75" s="54"/>
    </row>
    <row r="76" spans="1:1" x14ac:dyDescent="0.25">
      <c r="A76" s="54"/>
    </row>
    <row r="77" spans="1:1" x14ac:dyDescent="0.25">
      <c r="A77" s="54"/>
    </row>
    <row r="78" spans="1:1" x14ac:dyDescent="0.25">
      <c r="A78" s="54"/>
    </row>
    <row r="79" spans="1:1" x14ac:dyDescent="0.25">
      <c r="A79" s="54"/>
    </row>
    <row r="80" spans="1:1" x14ac:dyDescent="0.25">
      <c r="A80" s="54"/>
    </row>
    <row r="81" spans="1:1" x14ac:dyDescent="0.25">
      <c r="A81" s="54"/>
    </row>
    <row r="82" spans="1:1" x14ac:dyDescent="0.25">
      <c r="A82" s="54"/>
    </row>
    <row r="83" spans="1:1" ht="15.75" customHeight="1" x14ac:dyDescent="0.25">
      <c r="A83" s="54"/>
    </row>
    <row r="84" spans="1:1" x14ac:dyDescent="0.25">
      <c r="A84" s="54"/>
    </row>
    <row r="85" spans="1:1" x14ac:dyDescent="0.25">
      <c r="A85" s="54"/>
    </row>
    <row r="86" spans="1:1" x14ac:dyDescent="0.25">
      <c r="A86" s="54"/>
    </row>
    <row r="87" spans="1:1" x14ac:dyDescent="0.25">
      <c r="A87" s="54"/>
    </row>
    <row r="88" spans="1:1" x14ac:dyDescent="0.25">
      <c r="A88" s="54"/>
    </row>
    <row r="89" spans="1:1" x14ac:dyDescent="0.25">
      <c r="A89" s="54"/>
    </row>
    <row r="90" spans="1:1" x14ac:dyDescent="0.25">
      <c r="A90" s="54"/>
    </row>
    <row r="91" spans="1:1" x14ac:dyDescent="0.25">
      <c r="A91" s="54"/>
    </row>
    <row r="92" spans="1:1" x14ac:dyDescent="0.25">
      <c r="A92" s="54"/>
    </row>
    <row r="93" spans="1:1" x14ac:dyDescent="0.25">
      <c r="A93" s="54"/>
    </row>
    <row r="94" spans="1:1" x14ac:dyDescent="0.25">
      <c r="A94" s="54"/>
    </row>
    <row r="95" spans="1:1" x14ac:dyDescent="0.25">
      <c r="A95" s="54"/>
    </row>
    <row r="96" spans="1:1" x14ac:dyDescent="0.25">
      <c r="A96" s="54"/>
    </row>
    <row r="97" spans="1:1" x14ac:dyDescent="0.25">
      <c r="A97" s="54"/>
    </row>
    <row r="98" spans="1:1" x14ac:dyDescent="0.25">
      <c r="A98" s="54"/>
    </row>
    <row r="99" spans="1:1" x14ac:dyDescent="0.25">
      <c r="A99" s="54"/>
    </row>
    <row r="100" spans="1:1" x14ac:dyDescent="0.25">
      <c r="A100" s="54"/>
    </row>
    <row r="101" spans="1:1" x14ac:dyDescent="0.25">
      <c r="A101" s="54"/>
    </row>
    <row r="102" spans="1:1" x14ac:dyDescent="0.25">
      <c r="A102" s="54"/>
    </row>
    <row r="103" spans="1:1" x14ac:dyDescent="0.25">
      <c r="A103" s="54"/>
    </row>
    <row r="104" spans="1:1" x14ac:dyDescent="0.25">
      <c r="A104" s="54"/>
    </row>
    <row r="105" spans="1:1" x14ac:dyDescent="0.25">
      <c r="A105" s="54"/>
    </row>
    <row r="106" spans="1:1" x14ac:dyDescent="0.25">
      <c r="A106" s="54"/>
    </row>
    <row r="107" spans="1:1" x14ac:dyDescent="0.25">
      <c r="A107" s="54"/>
    </row>
    <row r="108" spans="1:1" x14ac:dyDescent="0.25">
      <c r="A108" s="54"/>
    </row>
    <row r="109" spans="1:1" x14ac:dyDescent="0.25">
      <c r="A109" s="54"/>
    </row>
    <row r="110" spans="1:1" x14ac:dyDescent="0.25">
      <c r="A110" s="54"/>
    </row>
    <row r="111" spans="1:1" x14ac:dyDescent="0.25">
      <c r="A111" s="54"/>
    </row>
    <row r="112" spans="1:1" x14ac:dyDescent="0.25">
      <c r="A112" s="54"/>
    </row>
    <row r="113" spans="1:1" x14ac:dyDescent="0.25">
      <c r="A113" s="54"/>
    </row>
    <row r="114" spans="1:1" x14ac:dyDescent="0.25">
      <c r="A114" s="54"/>
    </row>
    <row r="115" spans="1:1" x14ac:dyDescent="0.25">
      <c r="A115" s="54"/>
    </row>
    <row r="116" spans="1:1" x14ac:dyDescent="0.25">
      <c r="A116" s="54"/>
    </row>
    <row r="117" spans="1:1" x14ac:dyDescent="0.25">
      <c r="A117" s="54"/>
    </row>
    <row r="118" spans="1:1" x14ac:dyDescent="0.25">
      <c r="A118" s="54"/>
    </row>
    <row r="119" spans="1:1" x14ac:dyDescent="0.25">
      <c r="A119" s="54"/>
    </row>
    <row r="120" spans="1:1" x14ac:dyDescent="0.25">
      <c r="A120" s="54"/>
    </row>
    <row r="121" spans="1:1" x14ac:dyDescent="0.25">
      <c r="A121" s="54"/>
    </row>
    <row r="122" spans="1:1" x14ac:dyDescent="0.25">
      <c r="A122" s="54"/>
    </row>
    <row r="123" spans="1:1" x14ac:dyDescent="0.25">
      <c r="A123" s="54"/>
    </row>
    <row r="124" spans="1:1" x14ac:dyDescent="0.25">
      <c r="A124" s="54"/>
    </row>
    <row r="125" spans="1:1" x14ac:dyDescent="0.25">
      <c r="A125" s="54"/>
    </row>
    <row r="126" spans="1:1" x14ac:dyDescent="0.25">
      <c r="A126" s="54"/>
    </row>
    <row r="127" spans="1:1" x14ac:dyDescent="0.25">
      <c r="A127" s="54"/>
    </row>
    <row r="128" spans="1:1" x14ac:dyDescent="0.25">
      <c r="A128" s="54"/>
    </row>
    <row r="129" spans="1:1" x14ac:dyDescent="0.25">
      <c r="A129" s="54"/>
    </row>
    <row r="130" spans="1:1" x14ac:dyDescent="0.25">
      <c r="A130" s="54"/>
    </row>
    <row r="131" spans="1:1" x14ac:dyDescent="0.25">
      <c r="A131" s="54"/>
    </row>
    <row r="132" spans="1:1" x14ac:dyDescent="0.25">
      <c r="A132" s="54"/>
    </row>
    <row r="133" spans="1:1" x14ac:dyDescent="0.25">
      <c r="A133" s="54"/>
    </row>
    <row r="134" spans="1:1" x14ac:dyDescent="0.25">
      <c r="A134" s="54"/>
    </row>
    <row r="135" spans="1:1" x14ac:dyDescent="0.25">
      <c r="A135" s="54"/>
    </row>
    <row r="136" spans="1:1" x14ac:dyDescent="0.25">
      <c r="A136" s="54"/>
    </row>
    <row r="137" spans="1:1" x14ac:dyDescent="0.25">
      <c r="A137" s="54"/>
    </row>
    <row r="138" spans="1:1" x14ac:dyDescent="0.25">
      <c r="A138" s="54"/>
    </row>
    <row r="139" spans="1:1" x14ac:dyDescent="0.25">
      <c r="A139" s="54"/>
    </row>
    <row r="140" spans="1:1" x14ac:dyDescent="0.25">
      <c r="A140" s="54"/>
    </row>
    <row r="141" spans="1:1" x14ac:dyDescent="0.25">
      <c r="A141" s="54"/>
    </row>
    <row r="142" spans="1:1" x14ac:dyDescent="0.25">
      <c r="A142" s="54"/>
    </row>
    <row r="143" spans="1:1" x14ac:dyDescent="0.25">
      <c r="A143" s="54"/>
    </row>
    <row r="144" spans="1:1" x14ac:dyDescent="0.25">
      <c r="A144" s="54"/>
    </row>
    <row r="145" spans="1:1" x14ac:dyDescent="0.25">
      <c r="A145" s="54"/>
    </row>
    <row r="146" spans="1:1" x14ac:dyDescent="0.25">
      <c r="A146" s="54"/>
    </row>
    <row r="147" spans="1:1" x14ac:dyDescent="0.25">
      <c r="A147" s="54"/>
    </row>
    <row r="148" spans="1:1" x14ac:dyDescent="0.25">
      <c r="A148" s="54"/>
    </row>
    <row r="149" spans="1:1" x14ac:dyDescent="0.25">
      <c r="A149" s="54"/>
    </row>
    <row r="150" spans="1:1" x14ac:dyDescent="0.25">
      <c r="A150" s="54"/>
    </row>
    <row r="151" spans="1:1" x14ac:dyDescent="0.25">
      <c r="A151" s="54"/>
    </row>
    <row r="152" spans="1:1" x14ac:dyDescent="0.25">
      <c r="A152" s="54"/>
    </row>
    <row r="153" spans="1:1" x14ac:dyDescent="0.25">
      <c r="A153" s="54"/>
    </row>
    <row r="154" spans="1:1" x14ac:dyDescent="0.25">
      <c r="A154" s="54"/>
    </row>
    <row r="155" spans="1:1" x14ac:dyDescent="0.25">
      <c r="A155" s="54"/>
    </row>
    <row r="156" spans="1:1" x14ac:dyDescent="0.25">
      <c r="A156" s="54"/>
    </row>
    <row r="157" spans="1:1" x14ac:dyDescent="0.25">
      <c r="A157" s="54"/>
    </row>
    <row r="158" spans="1:1" x14ac:dyDescent="0.25">
      <c r="A158" s="54"/>
    </row>
    <row r="159" spans="1:1" x14ac:dyDescent="0.25">
      <c r="A159" s="54"/>
    </row>
    <row r="160" spans="1:1" x14ac:dyDescent="0.25">
      <c r="A160" s="54"/>
    </row>
    <row r="161" spans="1:1" x14ac:dyDescent="0.25">
      <c r="A161" s="54"/>
    </row>
    <row r="162" spans="1:1" x14ac:dyDescent="0.25">
      <c r="A162" s="54"/>
    </row>
    <row r="163" spans="1:1" x14ac:dyDescent="0.25">
      <c r="A163" s="54"/>
    </row>
    <row r="164" spans="1:1" x14ac:dyDescent="0.25">
      <c r="A164" s="54"/>
    </row>
    <row r="165" spans="1:1" x14ac:dyDescent="0.25">
      <c r="A165" s="54"/>
    </row>
    <row r="166" spans="1:1" x14ac:dyDescent="0.25">
      <c r="A166" s="54"/>
    </row>
    <row r="167" spans="1:1" x14ac:dyDescent="0.25">
      <c r="A167" s="54"/>
    </row>
    <row r="168" spans="1:1" x14ac:dyDescent="0.25">
      <c r="A168" s="54"/>
    </row>
    <row r="169" spans="1:1" x14ac:dyDescent="0.25">
      <c r="A169" s="54"/>
    </row>
    <row r="170" spans="1:1" x14ac:dyDescent="0.25">
      <c r="A170" s="54"/>
    </row>
    <row r="171" spans="1:1" x14ac:dyDescent="0.25">
      <c r="A171" s="54"/>
    </row>
    <row r="172" spans="1:1" x14ac:dyDescent="0.25">
      <c r="A172" s="54"/>
    </row>
    <row r="173" spans="1:1" x14ac:dyDescent="0.25">
      <c r="A173" s="54"/>
    </row>
  </sheetData>
  <mergeCells count="1">
    <mergeCell ref="A2:O2"/>
  </mergeCells>
  <phoneticPr fontId="5" type="noConversion"/>
  <dataValidations count="1">
    <dataValidation type="list" allowBlank="1" showInputMessage="1" showErrorMessage="1" sqref="A12" xr:uid="{00000000-0002-0000-0500-000000000000}">
      <formula1>"Oxidation factor: there is an oxidizing cover, Oxidation factor: there is no oxidizing cover"</formula1>
    </dataValidation>
  </dataValidations>
  <hyperlinks>
    <hyperlink ref="D34" r:id="rId1" display="http://www.fao.org/geonetwork/srv/fr/graphover.show?id=12739&amp;fname=aridity_index.gif&amp;access=public" xr:uid="{00000000-0004-0000-0500-000000000000}"/>
  </hyperlinks>
  <pageMargins left="0.74803149606299213" right="0.74803149606299213" top="0.98425196850393704" bottom="0.98425196850393704" header="0.51181102362204722" footer="0.51181102362204722"/>
  <pageSetup paperSize="9" scale="51" orientation="landscape" horizontalDpi="300" verticalDpi="300"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3">
    <tabColor indexed="47"/>
  </sheetPr>
  <dimension ref="A1:CE95"/>
  <sheetViews>
    <sheetView zoomScaleNormal="90" workbookViewId="0">
      <selection activeCell="E40" sqref="E40"/>
    </sheetView>
  </sheetViews>
  <sheetFormatPr defaultColWidth="9" defaultRowHeight="12" x14ac:dyDescent="0.2"/>
  <cols>
    <col min="1" max="1" width="8.125" style="74" customWidth="1"/>
    <col min="2" max="2" width="17.75" style="59" bestFit="1" customWidth="1"/>
    <col min="3" max="3" width="17.5" style="59" customWidth="1"/>
    <col min="4" max="4" width="8.25" style="59" bestFit="1" customWidth="1"/>
    <col min="5" max="5" width="9" style="59" bestFit="1"/>
    <col min="6" max="6" width="9.25" style="59" bestFit="1" customWidth="1"/>
    <col min="7" max="8" width="10.125" style="59" bestFit="1" customWidth="1"/>
    <col min="9" max="9" width="10.5" style="59" bestFit="1" customWidth="1"/>
    <col min="10" max="10" width="10.125" style="59" bestFit="1" customWidth="1"/>
    <col min="11" max="14" width="10.5" style="59" bestFit="1" customWidth="1"/>
    <col min="15" max="15" width="10.125" style="59" bestFit="1" customWidth="1"/>
    <col min="16" max="18" width="10.5" style="59" bestFit="1" customWidth="1"/>
    <col min="19" max="19" width="10.125" style="59" bestFit="1" customWidth="1"/>
    <col min="20" max="20" width="10.5" style="59" bestFit="1" customWidth="1"/>
    <col min="21" max="22" width="10.125" style="59" bestFit="1" customWidth="1"/>
    <col min="23" max="23" width="10.5" style="59" customWidth="1"/>
    <col min="24" max="24" width="10.125" style="59" bestFit="1" customWidth="1"/>
    <col min="25" max="33" width="10.625" style="59" bestFit="1" customWidth="1"/>
    <col min="34" max="54" width="10.625" style="59" customWidth="1"/>
    <col min="55" max="90" width="13.625" style="59" customWidth="1"/>
    <col min="91" max="16384" width="9" style="59"/>
  </cols>
  <sheetData>
    <row r="1" spans="1:83" x14ac:dyDescent="0.2">
      <c r="A1" s="59"/>
      <c r="D1" s="74"/>
    </row>
    <row r="2" spans="1:83" ht="18" x14ac:dyDescent="0.2">
      <c r="A2" s="329" t="s">
        <v>158</v>
      </c>
      <c r="B2" s="329"/>
      <c r="C2" s="329"/>
      <c r="D2" s="329"/>
      <c r="E2" s="329"/>
      <c r="F2" s="329"/>
      <c r="G2" s="329"/>
      <c r="H2" s="329"/>
      <c r="I2" s="329"/>
      <c r="J2" s="329"/>
      <c r="K2" s="329"/>
      <c r="L2" s="329"/>
      <c r="M2" s="329"/>
      <c r="N2" s="329"/>
      <c r="O2" s="329"/>
      <c r="P2" s="329"/>
      <c r="Q2" s="329"/>
      <c r="R2" s="329"/>
      <c r="S2" s="329"/>
      <c r="T2" s="329"/>
      <c r="U2" s="329"/>
      <c r="V2" s="329"/>
      <c r="W2" s="329"/>
      <c r="X2" s="329"/>
      <c r="Y2" s="329"/>
      <c r="Z2" s="329"/>
      <c r="AA2" s="329"/>
      <c r="AB2" s="329"/>
      <c r="AC2" s="329"/>
      <c r="AD2" s="329"/>
      <c r="AE2" s="329"/>
      <c r="AF2" s="329"/>
      <c r="AG2" s="329"/>
      <c r="AH2" s="329"/>
      <c r="AI2" s="329"/>
      <c r="AJ2" s="329"/>
      <c r="AK2" s="329"/>
      <c r="AL2" s="329"/>
      <c r="AM2" s="329"/>
      <c r="AN2" s="329"/>
      <c r="AO2" s="329"/>
      <c r="AP2" s="329"/>
      <c r="AQ2" s="329"/>
      <c r="AR2" s="329"/>
      <c r="AS2" s="329"/>
      <c r="AT2" s="329"/>
      <c r="AU2" s="329"/>
      <c r="AV2" s="329"/>
      <c r="AW2" s="329"/>
      <c r="AX2" s="329"/>
      <c r="AY2" s="329"/>
      <c r="AZ2" s="329"/>
      <c r="BA2" s="329"/>
      <c r="BB2" s="329"/>
      <c r="BC2" s="329"/>
      <c r="BD2" s="329"/>
      <c r="BE2" s="329"/>
      <c r="BF2" s="329"/>
      <c r="BG2" s="329"/>
      <c r="BH2" s="329"/>
      <c r="BI2" s="329"/>
      <c r="BJ2" s="329"/>
      <c r="BK2" s="329"/>
      <c r="BL2" s="329"/>
      <c r="BM2" s="329"/>
      <c r="BN2" s="329"/>
      <c r="BO2" s="329"/>
      <c r="BP2" s="329"/>
      <c r="BQ2" s="329"/>
      <c r="BR2" s="329"/>
      <c r="BS2" s="329"/>
      <c r="BT2" s="329"/>
      <c r="BU2" s="329"/>
      <c r="BV2" s="329"/>
      <c r="BW2" s="329"/>
      <c r="BX2" s="329"/>
      <c r="BY2" s="329"/>
      <c r="BZ2" s="329"/>
      <c r="CA2" s="329"/>
      <c r="CB2" s="329"/>
      <c r="CC2" s="329"/>
      <c r="CD2" s="329"/>
      <c r="CE2" s="1"/>
    </row>
    <row r="3" spans="1:83" x14ac:dyDescent="0.2">
      <c r="A3" s="58" t="s">
        <v>71</v>
      </c>
    </row>
    <row r="4" spans="1:83" ht="13.5" x14ac:dyDescent="0.25">
      <c r="A4" s="58" t="s">
        <v>48</v>
      </c>
    </row>
    <row r="5" spans="1:83" x14ac:dyDescent="0.2">
      <c r="A5" s="58"/>
    </row>
    <row r="6" spans="1:83" s="62" customFormat="1" x14ac:dyDescent="0.2">
      <c r="A6" s="60"/>
      <c r="B6" s="61"/>
      <c r="C6" s="86" t="s">
        <v>0</v>
      </c>
      <c r="D6" s="85">
        <f>A8</f>
        <v>2013</v>
      </c>
      <c r="E6" s="85">
        <f>D6+1</f>
        <v>2014</v>
      </c>
      <c r="F6" s="85">
        <f t="shared" ref="F6:BB6" si="0">E6+1</f>
        <v>2015</v>
      </c>
      <c r="G6" s="85">
        <f t="shared" si="0"/>
        <v>2016</v>
      </c>
      <c r="H6" s="85">
        <f t="shared" si="0"/>
        <v>2017</v>
      </c>
      <c r="I6" s="85">
        <f t="shared" si="0"/>
        <v>2018</v>
      </c>
      <c r="J6" s="85">
        <f t="shared" si="0"/>
        <v>2019</v>
      </c>
      <c r="K6" s="85">
        <f t="shared" si="0"/>
        <v>2020</v>
      </c>
      <c r="L6" s="85">
        <f t="shared" si="0"/>
        <v>2021</v>
      </c>
      <c r="M6" s="85">
        <f t="shared" si="0"/>
        <v>2022</v>
      </c>
      <c r="N6" s="85">
        <f t="shared" si="0"/>
        <v>2023</v>
      </c>
      <c r="O6" s="85">
        <f t="shared" si="0"/>
        <v>2024</v>
      </c>
      <c r="P6" s="85">
        <f t="shared" si="0"/>
        <v>2025</v>
      </c>
      <c r="Q6" s="85">
        <f t="shared" si="0"/>
        <v>2026</v>
      </c>
      <c r="R6" s="85">
        <f t="shared" si="0"/>
        <v>2027</v>
      </c>
      <c r="S6" s="85">
        <f t="shared" si="0"/>
        <v>2028</v>
      </c>
      <c r="T6" s="85">
        <f t="shared" si="0"/>
        <v>2029</v>
      </c>
      <c r="U6" s="85">
        <f t="shared" si="0"/>
        <v>2030</v>
      </c>
      <c r="V6" s="85">
        <f t="shared" si="0"/>
        <v>2031</v>
      </c>
      <c r="W6" s="85">
        <f t="shared" si="0"/>
        <v>2032</v>
      </c>
      <c r="X6" s="85">
        <f t="shared" si="0"/>
        <v>2033</v>
      </c>
      <c r="Y6" s="85">
        <f t="shared" si="0"/>
        <v>2034</v>
      </c>
      <c r="Z6" s="85">
        <f t="shared" si="0"/>
        <v>2035</v>
      </c>
      <c r="AA6" s="85">
        <f t="shared" si="0"/>
        <v>2036</v>
      </c>
      <c r="AB6" s="85">
        <f t="shared" si="0"/>
        <v>2037</v>
      </c>
      <c r="AC6" s="85">
        <f t="shared" si="0"/>
        <v>2038</v>
      </c>
      <c r="AD6" s="85">
        <f t="shared" si="0"/>
        <v>2039</v>
      </c>
      <c r="AE6" s="85">
        <f t="shared" si="0"/>
        <v>2040</v>
      </c>
      <c r="AF6" s="85">
        <f t="shared" si="0"/>
        <v>2041</v>
      </c>
      <c r="AG6" s="85">
        <f t="shared" si="0"/>
        <v>2042</v>
      </c>
      <c r="AH6" s="85">
        <f t="shared" si="0"/>
        <v>2043</v>
      </c>
      <c r="AI6" s="85">
        <f t="shared" si="0"/>
        <v>2044</v>
      </c>
      <c r="AJ6" s="85">
        <f t="shared" si="0"/>
        <v>2045</v>
      </c>
      <c r="AK6" s="85">
        <f t="shared" si="0"/>
        <v>2046</v>
      </c>
      <c r="AL6" s="85">
        <f t="shared" si="0"/>
        <v>2047</v>
      </c>
      <c r="AM6" s="85">
        <f t="shared" si="0"/>
        <v>2048</v>
      </c>
      <c r="AN6" s="85">
        <f t="shared" si="0"/>
        <v>2049</v>
      </c>
      <c r="AO6" s="85">
        <f t="shared" si="0"/>
        <v>2050</v>
      </c>
      <c r="AP6" s="85">
        <f t="shared" si="0"/>
        <v>2051</v>
      </c>
      <c r="AQ6" s="85">
        <f t="shared" si="0"/>
        <v>2052</v>
      </c>
      <c r="AR6" s="85">
        <f t="shared" si="0"/>
        <v>2053</v>
      </c>
      <c r="AS6" s="85">
        <f t="shared" si="0"/>
        <v>2054</v>
      </c>
      <c r="AT6" s="85">
        <f t="shared" si="0"/>
        <v>2055</v>
      </c>
      <c r="AU6" s="85">
        <f t="shared" si="0"/>
        <v>2056</v>
      </c>
      <c r="AV6" s="85">
        <f t="shared" si="0"/>
        <v>2057</v>
      </c>
      <c r="AW6" s="85">
        <f t="shared" si="0"/>
        <v>2058</v>
      </c>
      <c r="AX6" s="85">
        <f t="shared" si="0"/>
        <v>2059</v>
      </c>
      <c r="AY6" s="85">
        <f t="shared" si="0"/>
        <v>2060</v>
      </c>
      <c r="AZ6" s="85">
        <f t="shared" si="0"/>
        <v>2061</v>
      </c>
      <c r="BA6" s="85">
        <f t="shared" si="0"/>
        <v>2062</v>
      </c>
      <c r="BB6" s="85">
        <f t="shared" si="0"/>
        <v>2063</v>
      </c>
      <c r="BC6" s="85">
        <f t="shared" ref="BC6" si="1">BB6+1</f>
        <v>2064</v>
      </c>
      <c r="BD6" s="85">
        <f t="shared" ref="BD6" si="2">BC6+1</f>
        <v>2065</v>
      </c>
      <c r="BE6" s="85">
        <f t="shared" ref="BE6" si="3">BD6+1</f>
        <v>2066</v>
      </c>
      <c r="BF6" s="85">
        <f t="shared" ref="BF6" si="4">BE6+1</f>
        <v>2067</v>
      </c>
      <c r="BG6" s="85">
        <f t="shared" ref="BG6" si="5">BF6+1</f>
        <v>2068</v>
      </c>
      <c r="BH6" s="85">
        <f t="shared" ref="BH6" si="6">BG6+1</f>
        <v>2069</v>
      </c>
      <c r="BI6" s="85">
        <f t="shared" ref="BI6" si="7">BH6+1</f>
        <v>2070</v>
      </c>
      <c r="BJ6" s="85">
        <f t="shared" ref="BJ6" si="8">BI6+1</f>
        <v>2071</v>
      </c>
      <c r="BK6" s="85">
        <f t="shared" ref="BK6" si="9">BJ6+1</f>
        <v>2072</v>
      </c>
      <c r="BL6" s="85">
        <f t="shared" ref="BL6" si="10">BK6+1</f>
        <v>2073</v>
      </c>
      <c r="BM6" s="85">
        <f t="shared" ref="BM6" si="11">BL6+1</f>
        <v>2074</v>
      </c>
      <c r="BN6" s="85">
        <f t="shared" ref="BN6" si="12">BM6+1</f>
        <v>2075</v>
      </c>
      <c r="BO6" s="85">
        <f t="shared" ref="BO6" si="13">BN6+1</f>
        <v>2076</v>
      </c>
      <c r="BP6" s="85">
        <f t="shared" ref="BP6" si="14">BO6+1</f>
        <v>2077</v>
      </c>
      <c r="BQ6" s="85">
        <f t="shared" ref="BQ6" si="15">BP6+1</f>
        <v>2078</v>
      </c>
      <c r="BR6" s="85">
        <f t="shared" ref="BR6" si="16">BQ6+1</f>
        <v>2079</v>
      </c>
      <c r="BS6" s="85">
        <f t="shared" ref="BS6" si="17">BR6+1</f>
        <v>2080</v>
      </c>
      <c r="BT6" s="85">
        <f t="shared" ref="BT6" si="18">BS6+1</f>
        <v>2081</v>
      </c>
      <c r="BU6" s="85">
        <f t="shared" ref="BU6" si="19">BT6+1</f>
        <v>2082</v>
      </c>
      <c r="BV6" s="85">
        <f t="shared" ref="BV6" si="20">BU6+1</f>
        <v>2083</v>
      </c>
      <c r="BW6" s="85">
        <f t="shared" ref="BW6" si="21">BV6+1</f>
        <v>2084</v>
      </c>
      <c r="BX6" s="85">
        <f t="shared" ref="BX6" si="22">BW6+1</f>
        <v>2085</v>
      </c>
      <c r="BY6" s="85">
        <f t="shared" ref="BY6" si="23">BX6+1</f>
        <v>2086</v>
      </c>
      <c r="BZ6" s="85">
        <f t="shared" ref="BZ6" si="24">BY6+1</f>
        <v>2087</v>
      </c>
      <c r="CA6" s="85">
        <f t="shared" ref="CA6" si="25">BZ6+1</f>
        <v>2088</v>
      </c>
      <c r="CB6" s="85">
        <f t="shared" ref="CB6" si="26">CA6+1</f>
        <v>2089</v>
      </c>
      <c r="CC6" s="85">
        <f t="shared" ref="CC6" si="27">CB6+1</f>
        <v>2090</v>
      </c>
      <c r="CD6" s="85">
        <f t="shared" ref="CD6" si="28">CC6+1</f>
        <v>2091</v>
      </c>
    </row>
    <row r="7" spans="1:83" s="47" customFormat="1" ht="39" x14ac:dyDescent="0.25">
      <c r="A7" s="83" t="s">
        <v>0</v>
      </c>
      <c r="B7" s="84" t="s">
        <v>75</v>
      </c>
      <c r="C7" s="87" t="s">
        <v>65</v>
      </c>
      <c r="D7" s="63">
        <f t="shared" ref="D7:AI7" si="29">SUM(D8:D68)</f>
        <v>10028.287559826887</v>
      </c>
      <c r="E7" s="63">
        <f t="shared" si="29"/>
        <v>28285.425159760904</v>
      </c>
      <c r="F7" s="63">
        <f t="shared" si="29"/>
        <v>41634.025088547904</v>
      </c>
      <c r="G7" s="63">
        <f t="shared" si="29"/>
        <v>51530.351476016767</v>
      </c>
      <c r="H7" s="63">
        <f t="shared" si="29"/>
        <v>60303.76938174208</v>
      </c>
      <c r="I7" s="63">
        <f t="shared" si="29"/>
        <v>74191.045190303921</v>
      </c>
      <c r="J7" s="63">
        <f t="shared" si="29"/>
        <v>96505.110844528448</v>
      </c>
      <c r="K7" s="63">
        <f t="shared" si="29"/>
        <v>115452.73069796593</v>
      </c>
      <c r="L7" s="63">
        <f t="shared" si="29"/>
        <v>133833.66185824102</v>
      </c>
      <c r="M7" s="63">
        <f t="shared" si="29"/>
        <v>140008.46481340003</v>
      </c>
      <c r="N7" s="63">
        <f t="shared" si="29"/>
        <v>151250.78180729621</v>
      </c>
      <c r="O7" s="63">
        <f t="shared" si="29"/>
        <v>158547.3894981553</v>
      </c>
      <c r="P7" s="63">
        <f t="shared" si="29"/>
        <v>164860.63725020195</v>
      </c>
      <c r="Q7" s="63">
        <f t="shared" si="29"/>
        <v>170465.06523750976</v>
      </c>
      <c r="R7" s="63">
        <f t="shared" si="29"/>
        <v>175549.52119712529</v>
      </c>
      <c r="S7" s="63">
        <f t="shared" si="29"/>
        <v>180244.94466935657</v>
      </c>
      <c r="T7" s="63">
        <f t="shared" si="29"/>
        <v>184643.04582636265</v>
      </c>
      <c r="U7" s="63">
        <f t="shared" si="29"/>
        <v>188808.87349983933</v>
      </c>
      <c r="V7" s="63">
        <f t="shared" si="29"/>
        <v>192789.28080557828</v>
      </c>
      <c r="W7" s="63">
        <f t="shared" si="29"/>
        <v>196618.63552589898</v>
      </c>
      <c r="X7" s="63">
        <f t="shared" si="29"/>
        <v>200322.67903663739</v>
      </c>
      <c r="Y7" s="63">
        <f t="shared" si="29"/>
        <v>203921.14024923363</v>
      </c>
      <c r="Z7" s="63">
        <f t="shared" si="29"/>
        <v>207429.51164543399</v>
      </c>
      <c r="AA7" s="63">
        <f t="shared" si="29"/>
        <v>210860.2607436316</v>
      </c>
      <c r="AB7" s="63">
        <f t="shared" si="29"/>
        <v>214223.66061934867</v>
      </c>
      <c r="AC7" s="63">
        <f t="shared" si="29"/>
        <v>217528.3629051547</v>
      </c>
      <c r="AD7" s="63">
        <f t="shared" si="29"/>
        <v>220781.79629437497</v>
      </c>
      <c r="AE7" s="63">
        <f t="shared" si="29"/>
        <v>223990.44644934172</v>
      </c>
      <c r="AF7" s="63">
        <f t="shared" si="29"/>
        <v>227160.05499775961</v>
      </c>
      <c r="AG7" s="63">
        <f t="shared" si="29"/>
        <v>230295.76305909856</v>
      </c>
      <c r="AH7" s="63">
        <f t="shared" si="29"/>
        <v>233402.21651132812</v>
      </c>
      <c r="AI7" s="63">
        <f t="shared" si="29"/>
        <v>236483.6446685807</v>
      </c>
      <c r="AJ7" s="63">
        <f t="shared" ref="AJ7:BO7" si="30">SUM(AJ8:AJ68)</f>
        <v>239543.92030828001</v>
      </c>
      <c r="AK7" s="63">
        <f t="shared" si="30"/>
        <v>242586.60646870162</v>
      </c>
      <c r="AL7" s="63">
        <f t="shared" si="30"/>
        <v>245614.9937367932</v>
      </c>
      <c r="AM7" s="63">
        <f t="shared" si="30"/>
        <v>248632.13059420077</v>
      </c>
      <c r="AN7" s="63">
        <f t="shared" si="30"/>
        <v>251640.84860742124</v>
      </c>
      <c r="AO7" s="63">
        <f t="shared" si="30"/>
        <v>254643.78371533123</v>
      </c>
      <c r="AP7" s="63">
        <f t="shared" si="30"/>
        <v>195530.11556202642</v>
      </c>
      <c r="AQ7" s="63">
        <f t="shared" si="30"/>
        <v>154037.62772306407</v>
      </c>
      <c r="AR7" s="63">
        <f t="shared" si="30"/>
        <v>124512.65004849057</v>
      </c>
      <c r="AS7" s="63">
        <f t="shared" si="30"/>
        <v>103150.28805137315</v>
      </c>
      <c r="AT7" s="63">
        <f t="shared" si="30"/>
        <v>87386.660566581908</v>
      </c>
      <c r="AU7" s="63">
        <f t="shared" si="30"/>
        <v>75491.274249750801</v>
      </c>
      <c r="AV7" s="63">
        <f t="shared" si="30"/>
        <v>66293.586957158128</v>
      </c>
      <c r="AW7" s="63">
        <f t="shared" si="30"/>
        <v>58999.548778155848</v>
      </c>
      <c r="AX7" s="63">
        <f t="shared" si="30"/>
        <v>53068.480825217426</v>
      </c>
      <c r="AY7" s="63">
        <f t="shared" si="30"/>
        <v>48130.419991538431</v>
      </c>
      <c r="AZ7" s="63">
        <f t="shared" si="30"/>
        <v>43930.606190109756</v>
      </c>
      <c r="BA7" s="63">
        <f t="shared" si="30"/>
        <v>40292.178510269005</v>
      </c>
      <c r="BB7" s="63">
        <f t="shared" si="30"/>
        <v>37091.08977155076</v>
      </c>
      <c r="BC7" s="63">
        <f t="shared" si="30"/>
        <v>20615.127967328441</v>
      </c>
      <c r="BD7" s="63">
        <f t="shared" si="30"/>
        <v>18988.939414855824</v>
      </c>
      <c r="BE7" s="63">
        <f t="shared" si="30"/>
        <v>17534.762884959655</v>
      </c>
      <c r="BF7" s="63">
        <f t="shared" si="30"/>
        <v>16222.783627550225</v>
      </c>
      <c r="BG7" s="63">
        <f t="shared" si="30"/>
        <v>15030.841859517532</v>
      </c>
      <c r="BH7" s="63">
        <f t="shared" si="30"/>
        <v>13942.11175389185</v>
      </c>
      <c r="BI7" s="63">
        <f t="shared" si="30"/>
        <v>12943.523212974012</v>
      </c>
      <c r="BJ7" s="63">
        <f t="shared" si="30"/>
        <v>12024.684420101961</v>
      </c>
      <c r="BK7" s="63">
        <f t="shared" si="30"/>
        <v>11177.142541872267</v>
      </c>
      <c r="BL7" s="63">
        <f t="shared" si="30"/>
        <v>10393.87322151698</v>
      </c>
      <c r="BM7" s="63">
        <f t="shared" si="30"/>
        <v>9668.9252628118775</v>
      </c>
      <c r="BN7" s="63">
        <f t="shared" si="30"/>
        <v>8997.1709172588107</v>
      </c>
      <c r="BO7" s="63">
        <f t="shared" si="30"/>
        <v>8374.1283208862551</v>
      </c>
      <c r="BP7" s="63">
        <f t="shared" ref="BP7:CD7" si="31">SUM(BP8:BP68)</f>
        <v>7795.833473027863</v>
      </c>
      <c r="BQ7" s="63">
        <f t="shared" si="31"/>
        <v>7258.7464463270035</v>
      </c>
      <c r="BR7" s="63">
        <f t="shared" si="31"/>
        <v>6759.681431032106</v>
      </c>
      <c r="BS7" s="63">
        <f t="shared" si="31"/>
        <v>6295.7535296436999</v>
      </c>
      <c r="BT7" s="63">
        <f t="shared" si="31"/>
        <v>5864.3374550300177</v>
      </c>
      <c r="BU7" s="63">
        <f t="shared" si="31"/>
        <v>5463.0347985242424</v>
      </c>
      <c r="BV7" s="63">
        <f t="shared" si="31"/>
        <v>5089.6475607665552</v>
      </c>
      <c r="BW7" s="63">
        <f t="shared" si="31"/>
        <v>4742.1563360133932</v>
      </c>
      <c r="BX7" s="63">
        <f t="shared" si="31"/>
        <v>4418.7020170553678</v>
      </c>
      <c r="BY7" s="63">
        <f t="shared" si="31"/>
        <v>4117.5702145464375</v>
      </c>
      <c r="BZ7" s="63">
        <f t="shared" si="31"/>
        <v>3837.1778097578631</v>
      </c>
      <c r="CA7" s="63">
        <f t="shared" si="31"/>
        <v>3576.061216074067</v>
      </c>
      <c r="CB7" s="63">
        <f t="shared" si="31"/>
        <v>3332.8660338940344</v>
      </c>
      <c r="CC7" s="63">
        <f t="shared" si="31"/>
        <v>3106.3378608204866</v>
      </c>
      <c r="CD7" s="63">
        <f t="shared" si="31"/>
        <v>2895.3140741475859</v>
      </c>
    </row>
    <row r="8" spans="1:83" x14ac:dyDescent="0.2">
      <c r="A8" s="64">
        <f>'Input data'!F6</f>
        <v>2013</v>
      </c>
      <c r="B8" s="65">
        <f>'Input data'!M9</f>
        <v>50670.7</v>
      </c>
      <c r="D8" s="66">
        <f>$B8*'FOD Basics'!E$53</f>
        <v>10028.287559826887</v>
      </c>
      <c r="E8" s="66">
        <f>$B8*'FOD Basics'!F$53</f>
        <v>7082.8712875098172</v>
      </c>
      <c r="F8" s="66">
        <f>$B8*'FOD Basics'!G$53</f>
        <v>5079.047443053827</v>
      </c>
      <c r="G8" s="66">
        <f>$B8*'FOD Basics'!H$53</f>
        <v>3709.175044834793</v>
      </c>
      <c r="H8" s="66">
        <f>$B8*'FOD Basics'!I$53</f>
        <v>2766.7241974437707</v>
      </c>
      <c r="I8" s="66">
        <f>$B8*'FOD Basics'!J$53</f>
        <v>2112.9822424031818</v>
      </c>
      <c r="J8" s="66">
        <f>$B8*'FOD Basics'!K$53</f>
        <v>1654.7304627560702</v>
      </c>
      <c r="K8" s="66">
        <f>$B8*'FOD Basics'!L$53</f>
        <v>1329.275432405655</v>
      </c>
      <c r="L8" s="66">
        <f>$B8*'FOD Basics'!M$53</f>
        <v>1094.4110615572117</v>
      </c>
      <c r="M8" s="66">
        <f>$B8*'FOD Basics'!N$53</f>
        <v>921.68640512053128</v>
      </c>
      <c r="N8" s="66">
        <f>$B8*'FOD Basics'!O$53</f>
        <v>791.88991435394428</v>
      </c>
      <c r="O8" s="66">
        <f>$B8*'FOD Basics'!P$53</f>
        <v>692.0198590614051</v>
      </c>
      <c r="P8" s="66">
        <f>$B8*'FOD Basics'!Q$53</f>
        <v>613.25133641769912</v>
      </c>
      <c r="Q8" s="66">
        <f>$B8*'FOD Basics'!R$53</f>
        <v>549.57163142151785</v>
      </c>
      <c r="R8" s="66">
        <f>$B8*'FOD Basics'!S$53</f>
        <v>496.86385819601685</v>
      </c>
      <c r="S8" s="66">
        <f>$B8*'FOD Basics'!T$53</f>
        <v>452.29132343492046</v>
      </c>
      <c r="T8" s="66">
        <f>$B8*'FOD Basics'!U$53</f>
        <v>413.88366587116184</v>
      </c>
      <c r="U8" s="66">
        <f>$B8*'FOD Basics'!V$53</f>
        <v>380.25841693592781</v>
      </c>
      <c r="V8" s="66">
        <f>$B8*'FOD Basics'!W$53</f>
        <v>350.4334788537144</v>
      </c>
      <c r="W8" s="66">
        <f>$B8*'FOD Basics'!X$53</f>
        <v>323.70066742208769</v>
      </c>
      <c r="X8" s="66">
        <f>$B8*'FOD Basics'!Y$53</f>
        <v>299.54029078729621</v>
      </c>
      <c r="Y8" s="66">
        <f>$B8*'FOD Basics'!Z$53</f>
        <v>277.56332349918961</v>
      </c>
      <c r="Z8" s="66">
        <f>$B8*'FOD Basics'!AA$53</f>
        <v>257.47215346709663</v>
      </c>
      <c r="AA8" s="66">
        <f>$B8*'FOD Basics'!AB$53</f>
        <v>239.03384307429263</v>
      </c>
      <c r="AB8" s="66">
        <f>$B8*'FOD Basics'!AC$53</f>
        <v>222.06183393042565</v>
      </c>
      <c r="AC8" s="66">
        <f>$B8*'FOD Basics'!AD$53</f>
        <v>206.40335887149089</v>
      </c>
      <c r="AD8" s="66">
        <f>$B8*'FOD Basics'!AE$53</f>
        <v>191.93072028375252</v>
      </c>
      <c r="AE8" s="66">
        <f>$B8*'FOD Basics'!AF$53</f>
        <v>178.53519507020815</v>
      </c>
      <c r="AF8" s="66">
        <f>$B8*'FOD Basics'!AG$53</f>
        <v>166.12273044385481</v>
      </c>
      <c r="AG8" s="66">
        <f>$B8*'FOD Basics'!AH$53</f>
        <v>154.61086616385711</v>
      </c>
      <c r="AH8" s="66">
        <f>$B8*'FOD Basics'!AI$53</f>
        <v>143.92650138102394</v>
      </c>
      <c r="AI8" s="66">
        <f>$B8*'FOD Basics'!AJ$53</f>
        <v>134.00424713848241</v>
      </c>
      <c r="AJ8" s="66">
        <f>$B8*'FOD Basics'!AK$53</f>
        <v>124.78518837679536</v>
      </c>
      <c r="AK8" s="66">
        <f>$B8*'FOD Basics'!AL$53</f>
        <v>116.21593516667571</v>
      </c>
      <c r="AL8" s="66">
        <f>$B8*'FOD Basics'!AM$53</f>
        <v>108.24788065948617</v>
      </c>
      <c r="AM8" s="66">
        <f>$B8*'FOD Basics'!AN$53</f>
        <v>100.8366088283601</v>
      </c>
      <c r="AN8" s="66">
        <f>$B8*'FOD Basics'!AO$53</f>
        <v>93.941412448202271</v>
      </c>
      <c r="AO8" s="66">
        <f>$B8*'FOD Basics'!AP$53</f>
        <v>87.524893603102356</v>
      </c>
      <c r="AP8" s="66">
        <f>$B8*'FOD Basics'!AQ$53</f>
        <v>81.552627111089137</v>
      </c>
      <c r="AQ8" s="66">
        <f>$B8*'FOD Basics'!AR$53</f>
        <v>75.992872827125169</v>
      </c>
      <c r="AR8" s="66">
        <f>$B8*'FOD Basics'!AS$53</f>
        <v>70.816326639491166</v>
      </c>
      <c r="AS8" s="66">
        <f>$B8*'FOD Basics'!AT$53</f>
        <v>65.995902660807829</v>
      </c>
      <c r="AT8" s="66">
        <f>$B8*'FOD Basics'!AU$53</f>
        <v>61.506541003229245</v>
      </c>
      <c r="AU8" s="66">
        <f>$B8*'FOD Basics'!AV$53</f>
        <v>57.3250368682871</v>
      </c>
      <c r="AV8" s="66">
        <f>$B8*'FOD Basics'!AW$53</f>
        <v>53.429887645251249</v>
      </c>
      <c r="AW8" s="66">
        <f>$B8*'FOD Basics'!AX$53</f>
        <v>49.801155413101363</v>
      </c>
      <c r="AX8" s="66">
        <f>$B8*'FOD Basics'!AY$53</f>
        <v>46.420342758978116</v>
      </c>
      <c r="AY8" s="66">
        <f>$B8*'FOD Basics'!AZ$53</f>
        <v>43.270280214205599</v>
      </c>
      <c r="AZ8" s="66">
        <f>$B8*'FOD Basics'!BA$53</f>
        <v>40.335023904749008</v>
      </c>
      <c r="BA8" s="66">
        <f>$B8*'FOD Basics'!BB$53</f>
        <v>37.59976224198013</v>
      </c>
      <c r="BB8" s="66">
        <f>$B8*'FOD Basics'!BC$53</f>
        <v>35.050730659791121</v>
      </c>
      <c r="BC8" s="66">
        <f>$B8*'FOD Basics'!BD$53</f>
        <v>0</v>
      </c>
    </row>
    <row r="9" spans="1:83" x14ac:dyDescent="0.2">
      <c r="A9" s="64">
        <f t="shared" ref="A9:A68" si="32">A8+1</f>
        <v>2014</v>
      </c>
      <c r="B9" s="65">
        <f>'Input data'!M10</f>
        <v>107131.77499999999</v>
      </c>
      <c r="E9" s="66">
        <f>$B9*'FOD Basics'!E$53</f>
        <v>21202.553872251086</v>
      </c>
      <c r="F9" s="66">
        <f>$B9*'FOD Basics'!F$53</f>
        <v>14975.13500163728</v>
      </c>
      <c r="G9" s="66">
        <f>$B9*'FOD Basics'!G$53</f>
        <v>10738.501103864126</v>
      </c>
      <c r="H9" s="66">
        <f>$B9*'FOD Basics'!H$53</f>
        <v>7842.2146593367752</v>
      </c>
      <c r="I9" s="66">
        <f>$B9*'FOD Basics'!I$53</f>
        <v>5849.614751870442</v>
      </c>
      <c r="J9" s="66">
        <f>$B9*'FOD Basics'!J$53</f>
        <v>4467.4247281394009</v>
      </c>
      <c r="K9" s="66">
        <f>$B9*'FOD Basics'!K$53</f>
        <v>3498.5546207498455</v>
      </c>
      <c r="L9" s="66">
        <f>$B9*'FOD Basics'!L$53</f>
        <v>2810.4533100492072</v>
      </c>
      <c r="M9" s="66">
        <f>$B9*'FOD Basics'!M$53</f>
        <v>2313.8855315647575</v>
      </c>
      <c r="N9" s="66">
        <f>$B9*'FOD Basics'!N$53</f>
        <v>1948.6981741703116</v>
      </c>
      <c r="O9" s="66">
        <f>$B9*'FOD Basics'!O$53</f>
        <v>1674.272747945776</v>
      </c>
      <c r="P9" s="66">
        <f>$B9*'FOD Basics'!P$53</f>
        <v>1463.1200247183908</v>
      </c>
      <c r="Q9" s="66">
        <f>$B9*'FOD Basics'!Q$53</f>
        <v>1296.5817364186848</v>
      </c>
      <c r="R9" s="66">
        <f>$B9*'FOD Basics'!R$53</f>
        <v>1161.9453523206307</v>
      </c>
      <c r="S9" s="66">
        <f>$B9*'FOD Basics'!S$53</f>
        <v>1050.5066451003752</v>
      </c>
      <c r="T9" s="66">
        <f>$B9*'FOD Basics'!T$53</f>
        <v>956.26806609504365</v>
      </c>
      <c r="U9" s="66">
        <f>$B9*'FOD Basics'!U$53</f>
        <v>875.06373048496448</v>
      </c>
      <c r="V9" s="66">
        <f>$B9*'FOD Basics'!V$53</f>
        <v>803.97072006181099</v>
      </c>
      <c r="W9" s="66">
        <f>$B9*'FOD Basics'!W$53</f>
        <v>740.91261042423707</v>
      </c>
      <c r="X9" s="66">
        <f>$B9*'FOD Basics'!X$53</f>
        <v>684.39210568657882</v>
      </c>
      <c r="Y9" s="66">
        <f>$B9*'FOD Basics'!Y$53</f>
        <v>633.31043455210192</v>
      </c>
      <c r="Z9" s="66">
        <f>$B9*'FOD Basics'!Z$53</f>
        <v>586.84509038492456</v>
      </c>
      <c r="AA9" s="66">
        <f>$B9*'FOD Basics'!AA$53</f>
        <v>544.36683949506255</v>
      </c>
      <c r="AB9" s="66">
        <f>$B9*'FOD Basics'!AB$53</f>
        <v>505.38318779137501</v>
      </c>
      <c r="AC9" s="66">
        <f>$B9*'FOD Basics'!AC$53</f>
        <v>469.49969960394719</v>
      </c>
      <c r="AD9" s="66">
        <f>$B9*'FOD Basics'!AD$53</f>
        <v>436.39338319511705</v>
      </c>
      <c r="AE9" s="66">
        <f>$B9*'FOD Basics'!AE$53</f>
        <v>405.79425074109713</v>
      </c>
      <c r="AF9" s="66">
        <f>$B9*'FOD Basics'!AF$53</f>
        <v>377.47243175726106</v>
      </c>
      <c r="AG9" s="66">
        <f>$B9*'FOD Basics'!AG$53</f>
        <v>351.22907282308523</v>
      </c>
      <c r="AH9" s="66">
        <f>$B9*'FOD Basics'!AH$53</f>
        <v>326.88983034419203</v>
      </c>
      <c r="AI9" s="66">
        <f>$B9*'FOD Basics'!AI$53</f>
        <v>304.30014905041861</v>
      </c>
      <c r="AJ9" s="66">
        <f>$B9*'FOD Basics'!AJ$53</f>
        <v>283.32177872980424</v>
      </c>
      <c r="AK9" s="66">
        <f>$B9*'FOD Basics'!AK$53</f>
        <v>263.83015676743076</v>
      </c>
      <c r="AL9" s="66">
        <f>$B9*'FOD Basics'!AL$53</f>
        <v>245.71240219082998</v>
      </c>
      <c r="AM9" s="66">
        <f>$B9*'FOD Basics'!AM$53</f>
        <v>228.86574677355796</v>
      </c>
      <c r="AN9" s="66">
        <f>$B9*'FOD Basics'!AN$53</f>
        <v>213.19628283727849</v>
      </c>
      <c r="AO9" s="66">
        <f>$B9*'FOD Basics'!AO$53</f>
        <v>198.61794412911217</v>
      </c>
      <c r="AP9" s="66">
        <f>$B9*'FOD Basics'!AP$53</f>
        <v>185.05166118459979</v>
      </c>
      <c r="AQ9" s="66">
        <f>$B9*'FOD Basics'!AQ$53</f>
        <v>172.42464971520232</v>
      </c>
      <c r="AR9" s="66">
        <f>$B9*'FOD Basics'!AR$53</f>
        <v>160.66980233782417</v>
      </c>
      <c r="AS9" s="66">
        <f>$B9*'FOD Basics'!AS$53</f>
        <v>149.72516211278852</v>
      </c>
      <c r="AT9" s="66">
        <f>$B9*'FOD Basics'!AT$53</f>
        <v>139.53346203584252</v>
      </c>
      <c r="AU9" s="66">
        <f>$B9*'FOD Basics'!AU$53</f>
        <v>130.04171862212738</v>
      </c>
      <c r="AV9" s="66">
        <f>$B9*'FOD Basics'!AV$53</f>
        <v>121.20087055517367</v>
      </c>
      <c r="AW9" s="66">
        <f>$B9*'FOD Basics'!AW$53</f>
        <v>112.96545541084565</v>
      </c>
      <c r="AX9" s="66">
        <f>$B9*'FOD Basics'!AX$53</f>
        <v>105.29331894874962</v>
      </c>
      <c r="AY9" s="66">
        <f>$B9*'FOD Basics'!AY$53</f>
        <v>98.145352558336924</v>
      </c>
      <c r="AZ9" s="66">
        <f>$B9*'FOD Basics'!AZ$53</f>
        <v>91.485255267743014</v>
      </c>
      <c r="BA9" s="66">
        <f>$B9*'FOD Basics'!BA$53</f>
        <v>85.279317348747739</v>
      </c>
      <c r="BB9" s="66">
        <f>$B9*'FOD Basics'!BB$53</f>
        <v>79.496223035428969</v>
      </c>
    </row>
    <row r="10" spans="1:83" x14ac:dyDescent="0.2">
      <c r="A10" s="64">
        <f t="shared" si="32"/>
        <v>2015</v>
      </c>
      <c r="B10" s="65">
        <f>'Input data'!M11</f>
        <v>109038.13100000002</v>
      </c>
      <c r="E10" s="67"/>
      <c r="F10" s="66">
        <f>$B10*'FOD Basics'!E$53</f>
        <v>21579.842643856799</v>
      </c>
      <c r="G10" s="66">
        <f>$B10*'FOD Basics'!F$53</f>
        <v>15241.609989671237</v>
      </c>
      <c r="H10" s="66">
        <f>$B10*'FOD Basics'!G$53</f>
        <v>10929.587324645572</v>
      </c>
      <c r="I10" s="66">
        <f>$B10*'FOD Basics'!H$53</f>
        <v>7981.762920990378</v>
      </c>
      <c r="J10" s="66">
        <f>$B10*'FOD Basics'!I$53</f>
        <v>5953.7057013568756</v>
      </c>
      <c r="K10" s="66">
        <f>$B10*'FOD Basics'!J$53</f>
        <v>4546.9203020252726</v>
      </c>
      <c r="L10" s="66">
        <f>$B10*'FOD Basics'!K$53</f>
        <v>3560.8096388580984</v>
      </c>
      <c r="M10" s="66">
        <f>$B10*'FOD Basics'!L$53</f>
        <v>2860.4639117622119</v>
      </c>
      <c r="N10" s="66">
        <f>$B10*'FOD Basics'!M$53</f>
        <v>2355.0599596596126</v>
      </c>
      <c r="O10" s="66">
        <f>$B10*'FOD Basics'!N$53</f>
        <v>1983.3742770960653</v>
      </c>
      <c r="P10" s="66">
        <f>$B10*'FOD Basics'!O$53</f>
        <v>1704.0655885729659</v>
      </c>
      <c r="Q10" s="66">
        <f>$B10*'FOD Basics'!P$53</f>
        <v>1489.1555089418353</v>
      </c>
      <c r="R10" s="66">
        <f>$B10*'FOD Basics'!Q$53</f>
        <v>1319.6537556465209</v>
      </c>
      <c r="S10" s="66">
        <f>$B10*'FOD Basics'!R$53</f>
        <v>1182.6215848769248</v>
      </c>
      <c r="T10" s="66">
        <f>$B10*'FOD Basics'!S$53</f>
        <v>1069.1998819661603</v>
      </c>
      <c r="U10" s="66">
        <f>$B10*'FOD Basics'!T$53</f>
        <v>973.2843748923982</v>
      </c>
      <c r="V10" s="66">
        <f>$B10*'FOD Basics'!U$53</f>
        <v>890.63504901294016</v>
      </c>
      <c r="W10" s="66">
        <f>$B10*'FOD Basics'!V$53</f>
        <v>818.27697426150269</v>
      </c>
      <c r="X10" s="66">
        <f>$B10*'FOD Basics'!W$53</f>
        <v>754.09677730990597</v>
      </c>
      <c r="Y10" s="66">
        <f>$B10*'FOD Basics'!X$53</f>
        <v>696.57051864602295</v>
      </c>
      <c r="Z10" s="66">
        <f>$B10*'FOD Basics'!Y$53</f>
        <v>644.57987489107722</v>
      </c>
      <c r="AA10" s="66">
        <f>$B10*'FOD Basics'!Z$53</f>
        <v>597.28770331769692</v>
      </c>
      <c r="AB10" s="66">
        <f>$B10*'FOD Basics'!AA$53</f>
        <v>554.05357333917618</v>
      </c>
      <c r="AC10" s="66">
        <f>$B10*'FOD Basics'!AB$53</f>
        <v>514.37622717997124</v>
      </c>
      <c r="AD10" s="66">
        <f>$B10*'FOD Basics'!AC$53</f>
        <v>477.85421038600225</v>
      </c>
      <c r="AE10" s="66">
        <f>$B10*'FOD Basics'!AD$53</f>
        <v>444.1587837442475</v>
      </c>
      <c r="AF10" s="66">
        <f>$B10*'FOD Basics'!AE$53</f>
        <v>413.01515513352234</v>
      </c>
      <c r="AG10" s="66">
        <f>$B10*'FOD Basics'!AF$53</f>
        <v>384.18936363965594</v>
      </c>
      <c r="AH10" s="66">
        <f>$B10*'FOD Basics'!AG$53</f>
        <v>357.47901734562055</v>
      </c>
      <c r="AI10" s="66">
        <f>$B10*'FOD Basics'!AH$53</f>
        <v>332.70667030055085</v>
      </c>
      <c r="AJ10" s="66">
        <f>$B10*'FOD Basics'!AI$53</f>
        <v>309.71501700106325</v>
      </c>
      <c r="AK10" s="66">
        <f>$B10*'FOD Basics'!AJ$53</f>
        <v>288.36334714227797</v>
      </c>
      <c r="AL10" s="66">
        <f>$B10*'FOD Basics'!AK$53</f>
        <v>268.52488158025631</v>
      </c>
      <c r="AM10" s="66">
        <f>$B10*'FOD Basics'!AL$53</f>
        <v>250.08473068245547</v>
      </c>
      <c r="AN10" s="66">
        <f>$B10*'FOD Basics'!AM$53</f>
        <v>232.93829751358126</v>
      </c>
      <c r="AO10" s="66">
        <f>$B10*'FOD Basics'!AN$53</f>
        <v>216.99000335543988</v>
      </c>
      <c r="AP10" s="66">
        <f>$B10*'FOD Basics'!AO$53</f>
        <v>202.15225044951248</v>
      </c>
      <c r="AQ10" s="66">
        <f>$B10*'FOD Basics'!AP$53</f>
        <v>188.3445623300278</v>
      </c>
      <c r="AR10" s="66">
        <f>$B10*'FOD Basics'!AQ$53</f>
        <v>175.49285954867591</v>
      </c>
      <c r="AS10" s="66">
        <f>$B10*'FOD Basics'!AR$53</f>
        <v>163.52884058026464</v>
      </c>
      <c r="AT10" s="66">
        <f>$B10*'FOD Basics'!AS$53</f>
        <v>152.38944599256828</v>
      </c>
      <c r="AU10" s="66">
        <f>$B10*'FOD Basics'!AT$53</f>
        <v>142.01638974382462</v>
      </c>
      <c r="AV10" s="66">
        <f>$B10*'FOD Basics'!AU$53</f>
        <v>132.35574553473671</v>
      </c>
      <c r="AW10" s="66">
        <f>$B10*'FOD Basics'!AV$53</f>
        <v>123.35757902740875</v>
      </c>
      <c r="AX10" s="66">
        <f>$B10*'FOD Basics'!AW$53</f>
        <v>114.97561881675581</v>
      </c>
      <c r="AY10" s="66">
        <f>$B10*'FOD Basics'!AX$53</f>
        <v>107.1669605488992</v>
      </c>
      <c r="AZ10" s="66">
        <f>$B10*'FOD Basics'!AY$53</f>
        <v>99.891799695255017</v>
      </c>
      <c r="BA10" s="66">
        <f>$B10*'FOD Basics'!AZ$53</f>
        <v>93.113189326440306</v>
      </c>
      <c r="BB10" s="66">
        <f>$B10*'FOD Basics'!BA$53</f>
        <v>86.796819866592614</v>
      </c>
    </row>
    <row r="11" spans="1:83" x14ac:dyDescent="0.2">
      <c r="A11" s="64">
        <f t="shared" si="32"/>
        <v>2016</v>
      </c>
      <c r="B11" s="65">
        <f>'Input data'!M12</f>
        <v>110358.031</v>
      </c>
      <c r="E11" s="67"/>
      <c r="F11" s="67"/>
      <c r="G11" s="66">
        <f>$B11*'FOD Basics'!E$53</f>
        <v>21841.065337646611</v>
      </c>
      <c r="H11" s="66">
        <f>$B11*'FOD Basics'!F$53</f>
        <v>15426.10875942149</v>
      </c>
      <c r="I11" s="66">
        <f>$B11*'FOD Basics'!G$53</f>
        <v>11061.88932008054</v>
      </c>
      <c r="J11" s="66">
        <f>$B11*'FOD Basics'!H$53</f>
        <v>8078.3816797933423</v>
      </c>
      <c r="K11" s="66">
        <f>$B11*'FOD Basics'!I$53</f>
        <v>6025.7749498220828</v>
      </c>
      <c r="L11" s="66">
        <f>$B11*'FOD Basics'!J$53</f>
        <v>4601.9604980704798</v>
      </c>
      <c r="M11" s="66">
        <f>$B11*'FOD Basics'!K$53</f>
        <v>3603.9130247949752</v>
      </c>
      <c r="N11" s="66">
        <f>$B11*'FOD Basics'!L$53</f>
        <v>2895.0896549082941</v>
      </c>
      <c r="O11" s="66">
        <f>$B11*'FOD Basics'!M$53</f>
        <v>2383.5678184448543</v>
      </c>
      <c r="P11" s="66">
        <f>$B11*'FOD Basics'!N$53</f>
        <v>2007.3829031090977</v>
      </c>
      <c r="Q11" s="66">
        <f>$B11*'FOD Basics'!O$53</f>
        <v>1724.693199755676</v>
      </c>
      <c r="R11" s="66">
        <f>$B11*'FOD Basics'!P$53</f>
        <v>1507.1816465711779</v>
      </c>
      <c r="S11" s="66">
        <f>$B11*'FOD Basics'!Q$53</f>
        <v>1335.6280847743542</v>
      </c>
      <c r="T11" s="66">
        <f>$B11*'FOD Basics'!R$53</f>
        <v>1196.9371478415819</v>
      </c>
      <c r="U11" s="66">
        <f>$B11*'FOD Basics'!S$53</f>
        <v>1082.1424820571974</v>
      </c>
      <c r="V11" s="66">
        <f>$B11*'FOD Basics'!T$53</f>
        <v>985.06592355467728</v>
      </c>
      <c r="W11" s="66">
        <f>$B11*'FOD Basics'!U$53</f>
        <v>901.41613256977553</v>
      </c>
      <c r="X11" s="66">
        <f>$B11*'FOD Basics'!V$53</f>
        <v>828.18216768716536</v>
      </c>
      <c r="Y11" s="66">
        <f>$B11*'FOD Basics'!W$53</f>
        <v>763.22507332198018</v>
      </c>
      <c r="Z11" s="66">
        <f>$B11*'FOD Basics'!X$53</f>
        <v>705.00246276620305</v>
      </c>
      <c r="AA11" s="66">
        <f>$B11*'FOD Basics'!Y$53</f>
        <v>652.38247540399982</v>
      </c>
      <c r="AB11" s="66">
        <f>$B11*'FOD Basics'!Z$53</f>
        <v>604.51783494576944</v>
      </c>
      <c r="AC11" s="66">
        <f>$B11*'FOD Basics'!AA$53</f>
        <v>560.76035843117643</v>
      </c>
      <c r="AD11" s="66">
        <f>$B11*'FOD Basics'!AB$53</f>
        <v>520.60272038953326</v>
      </c>
      <c r="AE11" s="66">
        <f>$B11*'FOD Basics'!AC$53</f>
        <v>483.63860678480398</v>
      </c>
      <c r="AF11" s="66">
        <f>$B11*'FOD Basics'!AD$53</f>
        <v>449.53529903561861</v>
      </c>
      <c r="AG11" s="66">
        <f>$B11*'FOD Basics'!AE$53</f>
        <v>418.01467867873725</v>
      </c>
      <c r="AH11" s="66">
        <f>$B11*'FOD Basics'!AF$53</f>
        <v>388.83995271723262</v>
      </c>
      <c r="AI11" s="66">
        <f>$B11*'FOD Basics'!AG$53</f>
        <v>361.80627929212693</v>
      </c>
      <c r="AJ11" s="66">
        <f>$B11*'FOD Basics'!AH$53</f>
        <v>336.73406448002089</v>
      </c>
      <c r="AK11" s="66">
        <f>$B11*'FOD Basics'!AI$53</f>
        <v>313.464098603899</v>
      </c>
      <c r="AL11" s="66">
        <f>$B11*'FOD Basics'!AJ$53</f>
        <v>291.85396806912678</v>
      </c>
      <c r="AM11" s="66">
        <f>$B11*'FOD Basics'!AK$53</f>
        <v>271.77535907787387</v>
      </c>
      <c r="AN11" s="66">
        <f>$B11*'FOD Basics'!AL$53</f>
        <v>253.11199126552404</v>
      </c>
      <c r="AO11" s="66">
        <f>$B11*'FOD Basics'!AM$53</f>
        <v>235.75800155718937</v>
      </c>
      <c r="AP11" s="66">
        <f>$B11*'FOD Basics'!AN$53</f>
        <v>219.61665426005635</v>
      </c>
      <c r="AQ11" s="66">
        <f>$B11*'FOD Basics'!AO$53</f>
        <v>204.59929125002205</v>
      </c>
      <c r="AR11" s="66">
        <f>$B11*'FOD Basics'!AP$53</f>
        <v>190.62446189855029</v>
      </c>
      <c r="AS11" s="66">
        <f>$B11*'FOD Basics'!AQ$53</f>
        <v>177.61719003007687</v>
      </c>
      <c r="AT11" s="66">
        <f>$B11*'FOD Basics'!AR$53</f>
        <v>165.50834733356629</v>
      </c>
      <c r="AU11" s="66">
        <f>$B11*'FOD Basics'!AS$53</f>
        <v>154.23411104616855</v>
      </c>
      <c r="AV11" s="66">
        <f>$B11*'FOD Basics'!AT$53</f>
        <v>143.73548957710102</v>
      </c>
      <c r="AW11" s="66">
        <f>$B11*'FOD Basics'!AU$53</f>
        <v>133.95790385246593</v>
      </c>
      <c r="AX11" s="66">
        <f>$B11*'FOD Basics'!AV$53</f>
        <v>124.85081508221855</v>
      </c>
      <c r="AY11" s="66">
        <f>$B11*'FOD Basics'!AW$53</f>
        <v>116.36739174870596</v>
      </c>
      <c r="AZ11" s="66">
        <f>$B11*'FOD Basics'!AX$53</f>
        <v>108.46421014343315</v>
      </c>
      <c r="BA11" s="66">
        <f>$B11*'FOD Basics'!AY$53</f>
        <v>101.10098390639823</v>
      </c>
      <c r="BB11" s="66">
        <f>$B11*'FOD Basics'!AZ$53</f>
        <v>94.240318867866208</v>
      </c>
    </row>
    <row r="12" spans="1:83" x14ac:dyDescent="0.2">
      <c r="A12" s="64">
        <f t="shared" si="32"/>
        <v>2017</v>
      </c>
      <c r="B12" s="65">
        <f>'Input data'!M13</f>
        <v>117927.44</v>
      </c>
      <c r="E12" s="67"/>
      <c r="F12" s="67"/>
      <c r="G12" s="67"/>
      <c r="H12" s="66">
        <f>$B12*'FOD Basics'!E$53</f>
        <v>23339.134440894475</v>
      </c>
      <c r="I12" s="66">
        <f>$B12*'FOD Basics'!F$53</f>
        <v>16484.178801270493</v>
      </c>
      <c r="J12" s="66">
        <f>$B12*'FOD Basics'!G$53</f>
        <v>11820.619462487861</v>
      </c>
      <c r="K12" s="66">
        <f>$B12*'FOD Basics'!H$53</f>
        <v>8632.4743401857959</v>
      </c>
      <c r="L12" s="66">
        <f>$B12*'FOD Basics'!I$53</f>
        <v>6439.0802138237377</v>
      </c>
      <c r="M12" s="66">
        <f>$B12*'FOD Basics'!J$53</f>
        <v>4917.6069525794337</v>
      </c>
      <c r="N12" s="66">
        <f>$B12*'FOD Basics'!K$53</f>
        <v>3851.1038403424213</v>
      </c>
      <c r="O12" s="66">
        <f>$B12*'FOD Basics'!L$53</f>
        <v>3093.6625860406893</v>
      </c>
      <c r="P12" s="66">
        <f>$B12*'FOD Basics'!M$53</f>
        <v>2547.0556909046923</v>
      </c>
      <c r="Q12" s="66">
        <f>$B12*'FOD Basics'!N$53</f>
        <v>2145.0684170273385</v>
      </c>
      <c r="R12" s="66">
        <f>$B12*'FOD Basics'!O$53</f>
        <v>1842.9891507632599</v>
      </c>
      <c r="S12" s="66">
        <f>$B12*'FOD Basics'!P$53</f>
        <v>1610.558575434567</v>
      </c>
      <c r="T12" s="66">
        <f>$B12*'FOD Basics'!Q$53</f>
        <v>1427.2382299892845</v>
      </c>
      <c r="U12" s="66">
        <f>$B12*'FOD Basics'!R$53</f>
        <v>1279.034542450828</v>
      </c>
      <c r="V12" s="66">
        <f>$B12*'FOD Basics'!S$53</f>
        <v>1156.3661608302093</v>
      </c>
      <c r="W12" s="66">
        <f>$B12*'FOD Basics'!T$53</f>
        <v>1052.6311637078663</v>
      </c>
      <c r="X12" s="66">
        <f>$B12*'FOD Basics'!U$53</f>
        <v>963.24387020509869</v>
      </c>
      <c r="Y12" s="66">
        <f>$B12*'FOD Basics'!V$53</f>
        <v>884.98681975395277</v>
      </c>
      <c r="Z12" s="66">
        <f>$B12*'FOD Basics'!W$53</f>
        <v>815.57434674304238</v>
      </c>
      <c r="AA12" s="66">
        <f>$B12*'FOD Basics'!X$53</f>
        <v>753.35827283574531</v>
      </c>
      <c r="AB12" s="66">
        <f>$B12*'FOD Basics'!Y$53</f>
        <v>697.12910359243961</v>
      </c>
      <c r="AC12" s="66">
        <f>$B12*'FOD Basics'!Z$53</f>
        <v>645.98144841400017</v>
      </c>
      <c r="AD12" s="66">
        <f>$B12*'FOD Basics'!AA$53</f>
        <v>599.22266575480182</v>
      </c>
      <c r="AE12" s="66">
        <f>$B12*'FOD Basics'!AB$53</f>
        <v>556.31063291237467</v>
      </c>
      <c r="AF12" s="66">
        <f>$B12*'FOD Basics'!AC$53</f>
        <v>516.8111669489515</v>
      </c>
      <c r="AG12" s="66">
        <f>$B12*'FOD Basics'!AD$53</f>
        <v>480.36872826142547</v>
      </c>
      <c r="AH12" s="66">
        <f>$B12*'FOD Basics'!AE$53</f>
        <v>446.68612236300288</v>
      </c>
      <c r="AI12" s="66">
        <f>$B12*'FOD Basics'!AF$53</f>
        <v>415.51031472883278</v>
      </c>
      <c r="AJ12" s="66">
        <f>$B12*'FOD Basics'!AG$53</f>
        <v>386.62241348656846</v>
      </c>
      <c r="AK12" s="66">
        <f>$B12*'FOD Basics'!AH$53</f>
        <v>359.83050644428221</v>
      </c>
      <c r="AL12" s="66">
        <f>$B12*'FOD Basics'!AI$53</f>
        <v>334.96446380295947</v>
      </c>
      <c r="AM12" s="66">
        <f>$B12*'FOD Basics'!AJ$53</f>
        <v>311.87210388189931</v>
      </c>
      <c r="AN12" s="66">
        <f>$B12*'FOD Basics'!AK$53</f>
        <v>290.41631189609052</v>
      </c>
      <c r="AO12" s="66">
        <f>$B12*'FOD Basics'!AL$53</f>
        <v>270.47283186164867</v>
      </c>
      <c r="AP12" s="66">
        <f>$B12*'FOD Basics'!AM$53</f>
        <v>251.92853960175637</v>
      </c>
      <c r="AQ12" s="66">
        <f>$B12*'FOD Basics'!AN$53</f>
        <v>234.68006436480857</v>
      </c>
      <c r="AR12" s="66">
        <f>$B12*'FOD Basics'!AO$53</f>
        <v>218.63266700481003</v>
      </c>
      <c r="AS12" s="66">
        <f>$B12*'FOD Basics'!AP$53</f>
        <v>203.69931023029557</v>
      </c>
      <c r="AT12" s="66">
        <f>$B12*'FOD Basics'!AQ$53</f>
        <v>189.79987528266511</v>
      </c>
      <c r="AU12" s="66">
        <f>$B12*'FOD Basics'!AR$53</f>
        <v>176.8604923703133</v>
      </c>
      <c r="AV12" s="66">
        <f>$B12*'FOD Basics'!AS$53</f>
        <v>164.81296115504614</v>
      </c>
      <c r="AW12" s="66">
        <f>$B12*'FOD Basics'!AT$53</f>
        <v>153.59424383871263</v>
      </c>
      <c r="AX12" s="66">
        <f>$B12*'FOD Basics'!AU$53</f>
        <v>143.1460177926466</v>
      </c>
      <c r="AY12" s="66">
        <f>$B12*'FOD Basics'!AV$53</f>
        <v>133.41427779333452</v>
      </c>
      <c r="AZ12" s="66">
        <f>$B12*'FOD Basics'!AW$53</f>
        <v>124.34898016984388</v>
      </c>
      <c r="BA12" s="66">
        <f>$B12*'FOD Basics'!AX$53</f>
        <v>115.90372280053732</v>
      </c>
      <c r="BB12" s="66">
        <f>$B12*'FOD Basics'!AY$53</f>
        <v>108.03545610162928</v>
      </c>
    </row>
    <row r="13" spans="1:83" x14ac:dyDescent="0.2">
      <c r="A13" s="64">
        <f t="shared" si="32"/>
        <v>2018</v>
      </c>
      <c r="B13" s="65">
        <f>'Input data'!M14</f>
        <v>155123.37000000002</v>
      </c>
      <c r="E13" s="67"/>
      <c r="F13" s="67"/>
      <c r="G13" s="67"/>
      <c r="H13" s="67"/>
      <c r="I13" s="66">
        <f>$B13*'FOD Basics'!E$53</f>
        <v>30700.617153688891</v>
      </c>
      <c r="J13" s="66">
        <f>$B13*'FOD Basics'!F$53</f>
        <v>21683.514603010459</v>
      </c>
      <c r="K13" s="66">
        <f>$B13*'FOD Basics'!G$53</f>
        <v>15549.004765207366</v>
      </c>
      <c r="L13" s="66">
        <f>$B13*'FOD Basics'!H$53</f>
        <v>11355.274998661442</v>
      </c>
      <c r="M13" s="66">
        <f>$B13*'FOD Basics'!I$53</f>
        <v>8470.0543187290332</v>
      </c>
      <c r="N13" s="66">
        <f>$B13*'FOD Basics'!J$53</f>
        <v>6468.6875490517905</v>
      </c>
      <c r="O13" s="66">
        <f>$B13*'FOD Basics'!K$53</f>
        <v>5065.7947457678929</v>
      </c>
      <c r="P13" s="66">
        <f>$B13*'FOD Basics'!L$53</f>
        <v>4069.4461440827235</v>
      </c>
      <c r="Q13" s="66">
        <f>$B13*'FOD Basics'!M$53</f>
        <v>3350.4319465496264</v>
      </c>
      <c r="R13" s="66">
        <f>$B13*'FOD Basics'!N$53</f>
        <v>2821.6523798858534</v>
      </c>
      <c r="S13" s="66">
        <f>$B13*'FOD Basics'!O$53</f>
        <v>2424.2931750221574</v>
      </c>
      <c r="T13" s="66">
        <f>$B13*'FOD Basics'!P$53</f>
        <v>2118.5508122944861</v>
      </c>
      <c r="U13" s="66">
        <f>$B13*'FOD Basics'!Q$53</f>
        <v>1877.4087186898391</v>
      </c>
      <c r="V13" s="66">
        <f>$B13*'FOD Basics'!R$53</f>
        <v>1682.4595579398697</v>
      </c>
      <c r="W13" s="66">
        <f>$B13*'FOD Basics'!S$53</f>
        <v>1521.0998883885218</v>
      </c>
      <c r="X13" s="66">
        <f>$B13*'FOD Basics'!T$53</f>
        <v>1384.6454521643643</v>
      </c>
      <c r="Y13" s="66">
        <f>$B13*'FOD Basics'!U$53</f>
        <v>1267.0641818228014</v>
      </c>
      <c r="Z13" s="66">
        <f>$B13*'FOD Basics'!V$53</f>
        <v>1164.123785658501</v>
      </c>
      <c r="AA13" s="66">
        <f>$B13*'FOD Basics'!W$53</f>
        <v>1072.8176678161526</v>
      </c>
      <c r="AB13" s="66">
        <f>$B13*'FOD Basics'!X$53</f>
        <v>990.97779193426311</v>
      </c>
      <c r="AC13" s="66">
        <f>$B13*'FOD Basics'!Y$53</f>
        <v>917.01317245874543</v>
      </c>
      <c r="AD13" s="66">
        <f>$B13*'FOD Basics'!Z$53</f>
        <v>849.73284619305628</v>
      </c>
      <c r="AE13" s="66">
        <f>$B13*'FOD Basics'!AA$53</f>
        <v>788.22570295995956</v>
      </c>
      <c r="AF13" s="66">
        <f>$B13*'FOD Basics'!AB$53</f>
        <v>731.77862713038189</v>
      </c>
      <c r="AG13" s="66">
        <f>$B13*'FOD Basics'!AC$53</f>
        <v>679.82048852034768</v>
      </c>
      <c r="AH13" s="66">
        <f>$B13*'FOD Basics'!AD$53</f>
        <v>631.88360546558602</v>
      </c>
      <c r="AI13" s="66">
        <f>$B13*'FOD Basics'!AE$53</f>
        <v>587.57704426706266</v>
      </c>
      <c r="AJ13" s="66">
        <f>$B13*'FOD Basics'!AF$53</f>
        <v>546.56795984460609</v>
      </c>
      <c r="AK13" s="66">
        <f>$B13*'FOD Basics'!AG$53</f>
        <v>508.56841883085019</v>
      </c>
      <c r="AL13" s="66">
        <f>$B13*'FOD Basics'!AH$53</f>
        <v>473.32597729963254</v>
      </c>
      <c r="AM13" s="66">
        <f>$B13*'FOD Basics'!AI$53</f>
        <v>440.61684418281362</v>
      </c>
      <c r="AN13" s="66">
        <f>$B13*'FOD Basics'!AJ$53</f>
        <v>410.24083761294497</v>
      </c>
      <c r="AO13" s="66">
        <f>$B13*'FOD Basics'!AK$53</f>
        <v>382.01759492356194</v>
      </c>
      <c r="AP13" s="66">
        <f>$B13*'FOD Basics'!AL$53</f>
        <v>355.78366809134769</v>
      </c>
      <c r="AQ13" s="66">
        <f>$B13*'FOD Basics'!AM$53</f>
        <v>331.39025202448988</v>
      </c>
      <c r="AR13" s="66">
        <f>$B13*'FOD Basics'!AN$53</f>
        <v>308.70137142030745</v>
      </c>
      <c r="AS13" s="66">
        <f>$B13*'FOD Basics'!AO$53</f>
        <v>287.59240510837799</v>
      </c>
      <c r="AT13" s="66">
        <f>$B13*'FOD Basics'!AP$53</f>
        <v>267.94886304323177</v>
      </c>
      <c r="AU13" s="66">
        <f>$B13*'FOD Basics'!AQ$53</f>
        <v>249.66535591230266</v>
      </c>
      <c r="AV13" s="66">
        <f>$B13*'FOD Basics'!AR$53</f>
        <v>232.64471437981092</v>
      </c>
      <c r="AW13" s="66">
        <f>$B13*'FOD Basics'!AS$53</f>
        <v>216.79722678665672</v>
      </c>
      <c r="AX13" s="66">
        <f>$B13*'FOD Basics'!AT$53</f>
        <v>202.03997234963163</v>
      </c>
      <c r="AY13" s="66">
        <f>$B13*'FOD Basics'!AU$53</f>
        <v>188.29623268405811</v>
      </c>
      <c r="AZ13" s="66">
        <f>$B13*'FOD Basics'!AV$53</f>
        <v>175.49496857913829</v>
      </c>
      <c r="BA13" s="66">
        <f>$B13*'FOD Basics'!AW$53</f>
        <v>163.57035190460641</v>
      </c>
      <c r="BB13" s="66">
        <f>$B13*'FOD Basics'!AX$53</f>
        <v>152.4613446740232</v>
      </c>
    </row>
    <row r="14" spans="1:83" x14ac:dyDescent="0.2">
      <c r="A14" s="64">
        <f t="shared" si="32"/>
        <v>2019</v>
      </c>
      <c r="B14" s="65">
        <f>'Input data'!M15</f>
        <v>216494.99000000002</v>
      </c>
      <c r="E14" s="67"/>
      <c r="F14" s="67"/>
      <c r="G14" s="67"/>
      <c r="H14" s="67"/>
      <c r="I14" s="67"/>
      <c r="J14" s="66">
        <f>$B14*'FOD Basics'!E$53</f>
        <v>42846.734206984445</v>
      </c>
      <c r="K14" s="66">
        <f>$B14*'FOD Basics'!F$53</f>
        <v>30262.186008101828</v>
      </c>
      <c r="L14" s="66">
        <f>$B14*'FOD Basics'!G$53</f>
        <v>21700.673671243225</v>
      </c>
      <c r="M14" s="66">
        <f>$B14*'FOD Basics'!H$53</f>
        <v>15847.774241124716</v>
      </c>
      <c r="N14" s="66">
        <f>$B14*'FOD Basics'!I$53</f>
        <v>11821.070706707176</v>
      </c>
      <c r="O14" s="66">
        <f>$B14*'FOD Basics'!J$53</f>
        <v>9027.9011231195636</v>
      </c>
      <c r="P14" s="66">
        <f>$B14*'FOD Basics'!K$53</f>
        <v>7069.9803828853919</v>
      </c>
      <c r="Q14" s="66">
        <f>$B14*'FOD Basics'!L$53</f>
        <v>5679.4453490065862</v>
      </c>
      <c r="R14" s="66">
        <f>$B14*'FOD Basics'!M$53</f>
        <v>4675.9668176622381</v>
      </c>
      <c r="S14" s="66">
        <f>$B14*'FOD Basics'!N$53</f>
        <v>3937.9856417950691</v>
      </c>
      <c r="T14" s="66">
        <f>$B14*'FOD Basics'!O$53</f>
        <v>3383.4188019734884</v>
      </c>
      <c r="U14" s="66">
        <f>$B14*'FOD Basics'!P$53</f>
        <v>2956.7152707047726</v>
      </c>
      <c r="V14" s="66">
        <f>$B14*'FOD Basics'!Q$53</f>
        <v>2620.1698801326293</v>
      </c>
      <c r="W14" s="66">
        <f>$B14*'FOD Basics'!R$53</f>
        <v>2348.0927804211351</v>
      </c>
      <c r="X14" s="66">
        <f>$B14*'FOD Basics'!S$53</f>
        <v>2122.8942172006327</v>
      </c>
      <c r="Y14" s="66">
        <f>$B14*'FOD Basics'!T$53</f>
        <v>1932.4541706376642</v>
      </c>
      <c r="Z14" s="66">
        <f>$B14*'FOD Basics'!U$53</f>
        <v>1768.3541001790095</v>
      </c>
      <c r="AA14" s="66">
        <f>$B14*'FOD Basics'!V$53</f>
        <v>1624.6872881558679</v>
      </c>
      <c r="AB14" s="66">
        <f>$B14*'FOD Basics'!W$53</f>
        <v>1497.2576360717362</v>
      </c>
      <c r="AC14" s="66">
        <f>$B14*'FOD Basics'!X$53</f>
        <v>1383.0393650874807</v>
      </c>
      <c r="AD14" s="66">
        <f>$B14*'FOD Basics'!Y$53</f>
        <v>1279.812046381692</v>
      </c>
      <c r="AE14" s="66">
        <f>$B14*'FOD Basics'!Z$53</f>
        <v>1185.9135347513225</v>
      </c>
      <c r="AF14" s="66">
        <f>$B14*'FOD Basics'!AA$53</f>
        <v>1100.0722565533447</v>
      </c>
      <c r="AG14" s="66">
        <f>$B14*'FOD Basics'!AB$53</f>
        <v>1021.2929654816404</v>
      </c>
      <c r="AH14" s="66">
        <f>$B14*'FOD Basics'!AC$53</f>
        <v>948.77857452431419</v>
      </c>
      <c r="AI14" s="66">
        <f>$B14*'FOD Basics'!AD$53</f>
        <v>881.87637263447789</v>
      </c>
      <c r="AJ14" s="66">
        <f>$B14*'FOD Basics'!AE$53</f>
        <v>820.04076060768466</v>
      </c>
      <c r="AK14" s="66">
        <f>$B14*'FOD Basics'!AF$53</f>
        <v>762.80720951896785</v>
      </c>
      <c r="AL14" s="66">
        <f>$B14*'FOD Basics'!AG$53</f>
        <v>709.77387062375396</v>
      </c>
      <c r="AM14" s="66">
        <f>$B14*'FOD Basics'!AH$53</f>
        <v>660.58842534315863</v>
      </c>
      <c r="AN14" s="66">
        <f>$B14*'FOD Basics'!AI$53</f>
        <v>614.93854391630214</v>
      </c>
      <c r="AO14" s="66">
        <f>$B14*'FOD Basics'!AJ$53</f>
        <v>572.5448463155883</v>
      </c>
      <c r="AP14" s="66">
        <f>$B14*'FOD Basics'!AK$53</f>
        <v>533.15561280547593</v>
      </c>
      <c r="AQ14" s="66">
        <f>$B14*'FOD Basics'!AL$53</f>
        <v>496.54273025140975</v>
      </c>
      <c r="AR14" s="66">
        <f>$B14*'FOD Basics'!AM$53</f>
        <v>462.49852164853957</v>
      </c>
      <c r="AS14" s="66">
        <f>$B14*'FOD Basics'!AN$53</f>
        <v>430.83321564394674</v>
      </c>
      <c r="AT14" s="66">
        <f>$B14*'FOD Basics'!AO$53</f>
        <v>401.37288706411061</v>
      </c>
      <c r="AU14" s="66">
        <f>$B14*'FOD Basics'!AP$53</f>
        <v>373.95775004795104</v>
      </c>
      <c r="AV14" s="66">
        <f>$B14*'FOD Basics'!AQ$53</f>
        <v>348.4407199997035</v>
      </c>
      <c r="AW14" s="66">
        <f>$B14*'FOD Basics'!AR$53</f>
        <v>324.68618437834363</v>
      </c>
      <c r="AX14" s="66">
        <f>$B14*'FOD Basics'!AS$53</f>
        <v>302.56893880789835</v>
      </c>
      <c r="AY14" s="66">
        <f>$B14*'FOD Basics'!AT$53</f>
        <v>281.97325646956853</v>
      </c>
      <c r="AZ14" s="66">
        <f>$B14*'FOD Basics'!AU$53</f>
        <v>262.79206680445913</v>
      </c>
      <c r="BA14" s="66">
        <f>$B14*'FOD Basics'!AV$53</f>
        <v>244.92622528501579</v>
      </c>
      <c r="BB14" s="66">
        <f>$B14*'FOD Basics'!AW$53</f>
        <v>228.28386012941985</v>
      </c>
    </row>
    <row r="15" spans="1:83" x14ac:dyDescent="0.2">
      <c r="A15" s="64">
        <f t="shared" si="32"/>
        <v>2020</v>
      </c>
      <c r="B15" s="65">
        <f>'Input data'!M16</f>
        <v>230449.78000000003</v>
      </c>
      <c r="E15" s="67"/>
      <c r="F15" s="67"/>
      <c r="G15" s="67"/>
      <c r="H15" s="67"/>
      <c r="I15" s="67"/>
      <c r="J15" s="67"/>
      <c r="K15" s="66">
        <f>$B15*'FOD Basics'!E$53</f>
        <v>45608.540279468085</v>
      </c>
      <c r="L15" s="66">
        <f>$B15*'FOD Basics'!F$53</f>
        <v>32212.81983424256</v>
      </c>
      <c r="M15" s="66">
        <f>$B15*'FOD Basics'!G$53</f>
        <v>23099.45127778612</v>
      </c>
      <c r="N15" s="66">
        <f>$B15*'FOD Basics'!H$53</f>
        <v>16869.286847500989</v>
      </c>
      <c r="O15" s="66">
        <f>$B15*'FOD Basics'!I$53</f>
        <v>12583.030876257752</v>
      </c>
      <c r="P15" s="66">
        <f>$B15*'FOD Basics'!J$53</f>
        <v>9609.819736173371</v>
      </c>
      <c r="Q15" s="66">
        <f>$B15*'FOD Basics'!K$53</f>
        <v>7525.6957393806406</v>
      </c>
      <c r="R15" s="66">
        <f>$B15*'FOD Basics'!L$53</f>
        <v>6045.529881317766</v>
      </c>
      <c r="S15" s="66">
        <f>$B15*'FOD Basics'!M$53</f>
        <v>4977.3693350481817</v>
      </c>
      <c r="T15" s="66">
        <f>$B15*'FOD Basics'!N$53</f>
        <v>4191.8195187557576</v>
      </c>
      <c r="U15" s="66">
        <f>$B15*'FOD Basics'!O$53</f>
        <v>3601.5065224495679</v>
      </c>
      <c r="V15" s="66">
        <f>$B15*'FOD Basics'!P$53</f>
        <v>3147.2986218136289</v>
      </c>
      <c r="W15" s="66">
        <f>$B15*'FOD Basics'!Q$53</f>
        <v>2789.0602569564812</v>
      </c>
      <c r="X15" s="66">
        <f>$B15*'FOD Basics'!R$53</f>
        <v>2499.4456669303936</v>
      </c>
      <c r="Y15" s="66">
        <f>$B15*'FOD Basics'!S$53</f>
        <v>2259.7313005587707</v>
      </c>
      <c r="Z15" s="66">
        <f>$B15*'FOD Basics'!T$53</f>
        <v>2057.0159082366395</v>
      </c>
      <c r="AA15" s="66">
        <f>$B15*'FOD Basics'!U$53</f>
        <v>1882.3383088373118</v>
      </c>
      <c r="AB15" s="66">
        <f>$B15*'FOD Basics'!V$53</f>
        <v>1729.4110506867451</v>
      </c>
      <c r="AC15" s="66">
        <f>$B15*'FOD Basics'!W$53</f>
        <v>1593.7675640256234</v>
      </c>
      <c r="AD15" s="66">
        <f>$B15*'FOD Basics'!X$53</f>
        <v>1472.1870349782673</v>
      </c>
      <c r="AE15" s="66">
        <f>$B15*'FOD Basics'!Y$53</f>
        <v>1362.3059107742433</v>
      </c>
      <c r="AF15" s="66">
        <f>$B15*'FOD Basics'!Z$53</f>
        <v>1262.3549079933193</v>
      </c>
      <c r="AG15" s="66">
        <f>$B15*'FOD Basics'!AA$53</f>
        <v>1170.9804901574021</v>
      </c>
      <c r="AH15" s="66">
        <f>$B15*'FOD Basics'!AB$53</f>
        <v>1087.1232595765455</v>
      </c>
      <c r="AI15" s="66">
        <f>$B15*'FOD Basics'!AC$53</f>
        <v>1009.9347507664811</v>
      </c>
      <c r="AJ15" s="66">
        <f>$B15*'FOD Basics'!AD$53</f>
        <v>938.72018036451311</v>
      </c>
      <c r="AK15" s="66">
        <f>$B15*'FOD Basics'!AE$53</f>
        <v>872.89878104372576</v>
      </c>
      <c r="AL15" s="66">
        <f>$B15*'FOD Basics'!AF$53</f>
        <v>811.97608136825738</v>
      </c>
      <c r="AM15" s="66">
        <f>$B15*'FOD Basics'!AG$53</f>
        <v>755.52433030894883</v>
      </c>
      <c r="AN15" s="66">
        <f>$B15*'FOD Basics'!AH$53</f>
        <v>703.1684996076691</v>
      </c>
      <c r="AO15" s="66">
        <f>$B15*'FOD Basics'!AI$53</f>
        <v>654.57612741538344</v>
      </c>
      <c r="AP15" s="66">
        <f>$B15*'FOD Basics'!AJ$53</f>
        <v>609.44982548354187</v>
      </c>
      <c r="AQ15" s="66">
        <f>$B15*'FOD Basics'!AK$53</f>
        <v>567.52164877712471</v>
      </c>
      <c r="AR15" s="66">
        <f>$B15*'FOD Basics'!AL$53</f>
        <v>528.54878049157969</v>
      </c>
      <c r="AS15" s="66">
        <f>$B15*'FOD Basics'!AM$53</f>
        <v>492.31015721994856</v>
      </c>
      <c r="AT15" s="66">
        <f>$B15*'FOD Basics'!AN$53</f>
        <v>458.6037753660724</v>
      </c>
      <c r="AU15" s="66">
        <f>$B15*'FOD Basics'!AO$53</f>
        <v>427.24449892299651</v>
      </c>
      <c r="AV15" s="66">
        <f>$B15*'FOD Basics'!AP$53</f>
        <v>398.06224258513004</v>
      </c>
      <c r="AW15" s="66">
        <f>$B15*'FOD Basics'!AQ$53</f>
        <v>370.90044100777237</v>
      </c>
      <c r="AX15" s="66">
        <f>$B15*'FOD Basics'!AR$53</f>
        <v>345.61474036433236</v>
      </c>
      <c r="AY15" s="66">
        <f>$B15*'FOD Basics'!AS$53</f>
        <v>322.07186588065451</v>
      </c>
      <c r="AZ15" s="66">
        <f>$B15*'FOD Basics'!AT$53</f>
        <v>300.14863124220864</v>
      </c>
      <c r="BA15" s="66">
        <f>$B15*'FOD Basics'!AU$53</f>
        <v>279.73106435780761</v>
      </c>
      <c r="BB15" s="66">
        <f>$B15*'FOD Basics'!AV$53</f>
        <v>260.71363006211982</v>
      </c>
    </row>
    <row r="16" spans="1:83" x14ac:dyDescent="0.2">
      <c r="A16" s="64">
        <f t="shared" si="32"/>
        <v>2021</v>
      </c>
      <c r="B16" s="65">
        <f>'Input data'!M17</f>
        <v>252932.81</v>
      </c>
      <c r="E16" s="67"/>
      <c r="F16" s="67"/>
      <c r="G16" s="67"/>
      <c r="H16" s="67"/>
      <c r="I16" s="67"/>
      <c r="J16" s="67"/>
      <c r="K16" s="67"/>
      <c r="L16" s="66">
        <f>$B16*'FOD Basics'!E$53</f>
        <v>50058.178631735063</v>
      </c>
      <c r="M16" s="66">
        <f>$B16*'FOD Basics'!F$53</f>
        <v>35355.551386070772</v>
      </c>
      <c r="N16" s="66">
        <f>$B16*'FOD Basics'!G$53</f>
        <v>25353.068773372375</v>
      </c>
      <c r="O16" s="66">
        <f>$B16*'FOD Basics'!H$53</f>
        <v>18515.080053599817</v>
      </c>
      <c r="P16" s="66">
        <f>$B16*'FOD Basics'!I$53</f>
        <v>13810.650449953282</v>
      </c>
      <c r="Q16" s="66">
        <f>$B16*'FOD Basics'!J$53</f>
        <v>10547.3683223468</v>
      </c>
      <c r="R16" s="66">
        <f>$B16*'FOD Basics'!K$53</f>
        <v>8259.9140279785588</v>
      </c>
      <c r="S16" s="66">
        <f>$B16*'FOD Basics'!L$53</f>
        <v>6635.3409442207712</v>
      </c>
      <c r="T16" s="66">
        <f>$B16*'FOD Basics'!M$53</f>
        <v>5462.9690352560456</v>
      </c>
      <c r="U16" s="66">
        <f>$B16*'FOD Basics'!N$53</f>
        <v>4600.7797876471886</v>
      </c>
      <c r="V16" s="66">
        <f>$B16*'FOD Basics'!O$53</f>
        <v>3952.8749602472922</v>
      </c>
      <c r="W16" s="66">
        <f>$B16*'FOD Basics'!P$53</f>
        <v>3454.353848046409</v>
      </c>
      <c r="X16" s="66">
        <f>$B16*'FOD Basics'!Q$53</f>
        <v>3061.1652050669122</v>
      </c>
      <c r="Y16" s="66">
        <f>$B16*'FOD Basics'!R$53</f>
        <v>2743.2953764548115</v>
      </c>
      <c r="Z16" s="66">
        <f>$B16*'FOD Basics'!S$53</f>
        <v>2480.1941129875859</v>
      </c>
      <c r="AA16" s="66">
        <f>$B16*'FOD Basics'!T$53</f>
        <v>2257.7014995848349</v>
      </c>
      <c r="AB16" s="66">
        <f>$B16*'FOD Basics'!U$53</f>
        <v>2065.9820887000587</v>
      </c>
      <c r="AC16" s="66">
        <f>$B16*'FOD Basics'!V$53</f>
        <v>1898.1350153393541</v>
      </c>
      <c r="AD16" s="66">
        <f>$B16*'FOD Basics'!W$53</f>
        <v>1749.2579444244025</v>
      </c>
      <c r="AE16" s="66">
        <f>$B16*'FOD Basics'!X$53</f>
        <v>1615.8158345936429</v>
      </c>
      <c r="AF16" s="66">
        <f>$B16*'FOD Basics'!Y$53</f>
        <v>1495.214541284173</v>
      </c>
      <c r="AG16" s="66">
        <f>$B16*'FOD Basics'!Z$53</f>
        <v>1385.5121671022714</v>
      </c>
      <c r="AH16" s="66">
        <f>$B16*'FOD Basics'!AA$53</f>
        <v>1285.2231224984853</v>
      </c>
      <c r="AI16" s="66">
        <f>$B16*'FOD Basics'!AB$53</f>
        <v>1193.1846533377252</v>
      </c>
      <c r="AJ16" s="66">
        <f>$B16*'FOD Basics'!AC$53</f>
        <v>1108.4655165564302</v>
      </c>
      <c r="AK16" s="66">
        <f>$B16*'FOD Basics'!AD$53</f>
        <v>1030.3031446734428</v>
      </c>
      <c r="AL16" s="66">
        <f>$B16*'FOD Basics'!AE$53</f>
        <v>958.06010982073519</v>
      </c>
      <c r="AM16" s="66">
        <f>$B16*'FOD Basics'!AF$53</f>
        <v>891.19369917932636</v>
      </c>
      <c r="AN16" s="66">
        <f>$B16*'FOD Basics'!AG$53</f>
        <v>829.23442968099414</v>
      </c>
      <c r="AO16" s="66">
        <f>$B16*'FOD Basics'!AH$53</f>
        <v>771.77068474203634</v>
      </c>
      <c r="AP16" s="66">
        <f>$B16*'FOD Basics'!AI$53</f>
        <v>718.43756703126792</v>
      </c>
      <c r="AQ16" s="66">
        <f>$B16*'FOD Basics'!AJ$53</f>
        <v>668.90867465163922</v>
      </c>
      <c r="AR16" s="66">
        <f>$B16*'FOD Basics'!AK$53</f>
        <v>622.88992144419137</v>
      </c>
      <c r="AS16" s="66">
        <f>$B16*'FOD Basics'!AL$53</f>
        <v>580.11480102870314</v>
      </c>
      <c r="AT16" s="66">
        <f>$B16*'FOD Basics'!AM$53</f>
        <v>540.34068271700392</v>
      </c>
      <c r="AU16" s="66">
        <f>$B16*'FOD Basics'!AN$53</f>
        <v>503.34585513576735</v>
      </c>
      <c r="AV16" s="66">
        <f>$B16*'FOD Basics'!AO$53</f>
        <v>468.92712012845254</v>
      </c>
      <c r="AW16" s="66">
        <f>$B16*'FOD Basics'!AP$53</f>
        <v>436.8977986091312</v>
      </c>
      <c r="AX16" s="66">
        <f>$B16*'FOD Basics'!AQ$53</f>
        <v>407.08605048065175</v>
      </c>
      <c r="AY16" s="66">
        <f>$B16*'FOD Basics'!AR$53</f>
        <v>379.33343853819684</v>
      </c>
      <c r="AZ16" s="66">
        <f>$B16*'FOD Basics'!AS$53</f>
        <v>353.49368551854144</v>
      </c>
      <c r="BA16" s="66">
        <f>$B16*'FOD Basics'!AT$53</f>
        <v>329.43158686350495</v>
      </c>
      <c r="BB16" s="66">
        <f>$B16*'FOD Basics'!AU$53</f>
        <v>307.02205119185237</v>
      </c>
    </row>
    <row r="17" spans="1:54" x14ac:dyDescent="0.2">
      <c r="A17" s="64">
        <f t="shared" si="32"/>
        <v>2022</v>
      </c>
      <c r="B17" s="65">
        <f>'Input data'!M18</f>
        <v>215339.63999999996</v>
      </c>
      <c r="E17" s="67"/>
      <c r="F17" s="67"/>
      <c r="G17" s="67"/>
      <c r="H17" s="67"/>
      <c r="I17" s="67"/>
      <c r="J17" s="67"/>
      <c r="K17" s="67"/>
      <c r="L17" s="67"/>
      <c r="M17" s="66">
        <f>$B17*'FOD Basics'!E$53</f>
        <v>42618.077763867484</v>
      </c>
      <c r="N17" s="66">
        <f>$B17*'FOD Basics'!F$53</f>
        <v>30100.688429776979</v>
      </c>
      <c r="O17" s="66">
        <f>$B17*'FOD Basics'!G$53</f>
        <v>21584.865571822207</v>
      </c>
      <c r="P17" s="66">
        <f>$B17*'FOD Basics'!H$53</f>
        <v>15763.200801483068</v>
      </c>
      <c r="Q17" s="66">
        <f>$B17*'FOD Basics'!I$53</f>
        <v>11757.986225902354</v>
      </c>
      <c r="R17" s="66">
        <f>$B17*'FOD Basics'!J$53</f>
        <v>8979.7227077086736</v>
      </c>
      <c r="S17" s="66">
        <f>$B17*'FOD Basics'!K$53</f>
        <v>7032.2506329481439</v>
      </c>
      <c r="T17" s="66">
        <f>$B17*'FOD Basics'!L$53</f>
        <v>5649.136346548954</v>
      </c>
      <c r="U17" s="66">
        <f>$B17*'FOD Basics'!M$53</f>
        <v>4651.012991881852</v>
      </c>
      <c r="V17" s="66">
        <f>$B17*'FOD Basics'!N$53</f>
        <v>3916.9701360263298</v>
      </c>
      <c r="W17" s="66">
        <f>$B17*'FOD Basics'!O$53</f>
        <v>3365.3628048676883</v>
      </c>
      <c r="X17" s="66">
        <f>$B17*'FOD Basics'!P$53</f>
        <v>2940.9364252543123</v>
      </c>
      <c r="Y17" s="66">
        <f>$B17*'FOD Basics'!Q$53</f>
        <v>2606.1870472226788</v>
      </c>
      <c r="Z17" s="66">
        <f>$B17*'FOD Basics'!R$53</f>
        <v>2335.5619177260687</v>
      </c>
      <c r="AA17" s="66">
        <f>$B17*'FOD Basics'!S$53</f>
        <v>2111.5651521084433</v>
      </c>
      <c r="AB17" s="66">
        <f>$B17*'FOD Basics'!T$53</f>
        <v>1922.1414103929751</v>
      </c>
      <c r="AC17" s="66">
        <f>$B17*'FOD Basics'!U$53</f>
        <v>1758.9170785202546</v>
      </c>
      <c r="AD17" s="66">
        <f>$B17*'FOD Basics'!V$53</f>
        <v>1616.0169606883778</v>
      </c>
      <c r="AE17" s="66">
        <f>$B17*'FOD Basics'!W$53</f>
        <v>1489.2673513550526</v>
      </c>
      <c r="AF17" s="66">
        <f>$B17*'FOD Basics'!X$53</f>
        <v>1375.6586190921396</v>
      </c>
      <c r="AG17" s="66">
        <f>$B17*'FOD Basics'!Y$53</f>
        <v>1272.9821846477682</v>
      </c>
      <c r="AH17" s="66">
        <f>$B17*'FOD Basics'!Z$53</f>
        <v>1179.5847730447581</v>
      </c>
      <c r="AI17" s="66">
        <f>$B17*'FOD Basics'!AA$53</f>
        <v>1094.2015965366443</v>
      </c>
      <c r="AJ17" s="66">
        <f>$B17*'FOD Basics'!AB$53</f>
        <v>1015.8427200617843</v>
      </c>
      <c r="AK17" s="66">
        <f>$B17*'FOD Basics'!AC$53</f>
        <v>943.71531035327394</v>
      </c>
      <c r="AL17" s="66">
        <f>$B17*'FOD Basics'!AD$53</f>
        <v>877.17013963054876</v>
      </c>
      <c r="AM17" s="66">
        <f>$B17*'FOD Basics'!AE$53</f>
        <v>815.66452034102474</v>
      </c>
      <c r="AN17" s="66">
        <f>$B17*'FOD Basics'!AF$53</f>
        <v>758.73640257088198</v>
      </c>
      <c r="AO17" s="66">
        <f>$B17*'FOD Basics'!AG$53</f>
        <v>705.98608208682197</v>
      </c>
      <c r="AP17" s="66">
        <f>$B17*'FOD Basics'!AH$53</f>
        <v>657.06312049790438</v>
      </c>
      <c r="AQ17" s="66">
        <f>$B17*'FOD Basics'!AI$53</f>
        <v>611.65685482634331</v>
      </c>
      <c r="AR17" s="66">
        <f>$B17*'FOD Basics'!AJ$53</f>
        <v>569.4893959876581</v>
      </c>
      <c r="AS17" s="66">
        <f>$B17*'FOD Basics'!AK$53</f>
        <v>530.31036757714605</v>
      </c>
      <c r="AT17" s="66">
        <f>$B17*'FOD Basics'!AL$53</f>
        <v>493.89287381179423</v>
      </c>
      <c r="AU17" s="66">
        <f>$B17*'FOD Basics'!AM$53</f>
        <v>460.03034597857754</v>
      </c>
      <c r="AV17" s="66">
        <f>$B17*'FOD Basics'!AN$53</f>
        <v>428.53402546086556</v>
      </c>
      <c r="AW17" s="66">
        <f>$B17*'FOD Basics'!AO$53</f>
        <v>399.23091525649721</v>
      </c>
      <c r="AX17" s="66">
        <f>$B17*'FOD Basics'!AP$53</f>
        <v>371.96208221971204</v>
      </c>
      <c r="AY17" s="66">
        <f>$B17*'FOD Basics'!AQ$53</f>
        <v>346.58122668832624</v>
      </c>
      <c r="AZ17" s="66">
        <f>$B17*'FOD Basics'!AR$53</f>
        <v>322.95345983297869</v>
      </c>
      <c r="BA17" s="66">
        <f>$B17*'FOD Basics'!AS$53</f>
        <v>300.95424544500935</v>
      </c>
      <c r="BB17" s="66">
        <f>$B17*'FOD Basics'!AT$53</f>
        <v>280.46847429487644</v>
      </c>
    </row>
    <row r="18" spans="1:54" x14ac:dyDescent="0.2">
      <c r="A18" s="64">
        <f t="shared" si="32"/>
        <v>2023</v>
      </c>
      <c r="B18" s="65">
        <f>'Input data'!M19</f>
        <v>246556</v>
      </c>
      <c r="C18" s="1"/>
      <c r="E18" s="67"/>
      <c r="F18" s="67"/>
      <c r="G18" s="67"/>
      <c r="H18" s="67"/>
      <c r="I18" s="67"/>
      <c r="J18" s="67"/>
      <c r="K18" s="67"/>
      <c r="L18" s="67"/>
      <c r="M18" s="67"/>
      <c r="N18" s="66">
        <f>$B18*'FOD Basics'!E$53</f>
        <v>48796.137957452302</v>
      </c>
      <c r="O18" s="66">
        <f>$B18*'FOD Basics'!F$53</f>
        <v>34464.185676599511</v>
      </c>
      <c r="P18" s="66">
        <f>$B18*'FOD Basics'!G$53</f>
        <v>24713.880435233368</v>
      </c>
      <c r="Q18" s="66">
        <f>$B18*'FOD Basics'!H$53</f>
        <v>18048.287518315068</v>
      </c>
      <c r="R18" s="66">
        <f>$B18*'FOD Basics'!I$53</f>
        <v>13462.463538592252</v>
      </c>
      <c r="S18" s="66">
        <f>$B18*'FOD Basics'!J$53</f>
        <v>10281.453576878925</v>
      </c>
      <c r="T18" s="66">
        <f>$B18*'FOD Basics'!K$53</f>
        <v>8051.669386357119</v>
      </c>
      <c r="U18" s="66">
        <f>$B18*'FOD Basics'!L$53</f>
        <v>6468.0541913217839</v>
      </c>
      <c r="V18" s="66">
        <f>$B18*'FOD Basics'!M$53</f>
        <v>5325.2395110645775</v>
      </c>
      <c r="W18" s="66">
        <f>$B18*'FOD Basics'!N$53</f>
        <v>4484.7873287895718</v>
      </c>
      <c r="X18" s="66">
        <f>$B18*'FOD Basics'!O$53</f>
        <v>3853.2171397563307</v>
      </c>
      <c r="Y18" s="66">
        <f>$B18*'FOD Basics'!P$53</f>
        <v>3367.2644816579168</v>
      </c>
      <c r="Z18" s="66">
        <f>$B18*'FOD Basics'!Q$53</f>
        <v>2983.9887055399322</v>
      </c>
      <c r="AA18" s="66">
        <f>$B18*'FOD Basics'!R$53</f>
        <v>2674.1328451504273</v>
      </c>
      <c r="AB18" s="66">
        <f>$B18*'FOD Basics'!S$53</f>
        <v>2417.6647534250983</v>
      </c>
      <c r="AC18" s="66">
        <f>$B18*'FOD Basics'!T$53</f>
        <v>2200.7815076724864</v>
      </c>
      <c r="AD18" s="66">
        <f>$B18*'FOD Basics'!U$53</f>
        <v>2013.8956265165114</v>
      </c>
      <c r="AE18" s="66">
        <f>$B18*'FOD Basics'!V$53</f>
        <v>1850.2802259699317</v>
      </c>
      <c r="AF18" s="66">
        <f>$B18*'FOD Basics'!W$53</f>
        <v>1705.1565660678937</v>
      </c>
      <c r="AG18" s="66">
        <f>$B18*'FOD Basics'!X$53</f>
        <v>1575.0787290667042</v>
      </c>
      <c r="AH18" s="66">
        <f>$B18*'FOD Basics'!Y$53</f>
        <v>1457.5179726222966</v>
      </c>
      <c r="AI18" s="66">
        <f>$B18*'FOD Basics'!Z$53</f>
        <v>1350.5813574445626</v>
      </c>
      <c r="AJ18" s="66">
        <f>$B18*'FOD Basics'!AA$53</f>
        <v>1252.8207478924405</v>
      </c>
      <c r="AK18" s="66">
        <f>$B18*'FOD Basics'!AB$53</f>
        <v>1163.102704581253</v>
      </c>
      <c r="AL18" s="66">
        <f>$B18*'FOD Basics'!AC$53</f>
        <v>1080.5194624615415</v>
      </c>
      <c r="AM18" s="66">
        <f>$B18*'FOD Basics'!AD$53</f>
        <v>1004.3276795054995</v>
      </c>
      <c r="AN18" s="66">
        <f>$B18*'FOD Basics'!AE$53</f>
        <v>933.90599834383363</v>
      </c>
      <c r="AO18" s="66">
        <f>$B18*'FOD Basics'!AF$53</f>
        <v>868.72538874991346</v>
      </c>
      <c r="AP18" s="66">
        <f>$B18*'FOD Basics'!AG$53</f>
        <v>808.32820401760921</v>
      </c>
      <c r="AQ18" s="66">
        <f>$B18*'FOD Basics'!AH$53</f>
        <v>752.31320502570429</v>
      </c>
      <c r="AR18" s="66">
        <f>$B18*'FOD Basics'!AI$53</f>
        <v>700.32469404408744</v>
      </c>
      <c r="AS18" s="66">
        <f>$B18*'FOD Basics'!AJ$53</f>
        <v>652.04449824998801</v>
      </c>
      <c r="AT18" s="66">
        <f>$B18*'FOD Basics'!AK$53</f>
        <v>607.18594583120341</v>
      </c>
      <c r="AU18" s="66">
        <f>$B18*'FOD Basics'!AL$53</f>
        <v>565.48924942728036</v>
      </c>
      <c r="AV18" s="66">
        <f>$B18*'FOD Basics'!AM$53</f>
        <v>526.71789542832983</v>
      </c>
      <c r="AW18" s="66">
        <f>$B18*'FOD Basics'!AN$53</f>
        <v>490.65576213245828</v>
      </c>
      <c r="AX18" s="66">
        <f>$B18*'FOD Basics'!AO$53</f>
        <v>457.10477430899829</v>
      </c>
      <c r="AY18" s="66">
        <f>$B18*'FOD Basics'!AP$53</f>
        <v>425.88295932770825</v>
      </c>
      <c r="AZ18" s="66">
        <f>$B18*'FOD Basics'!AQ$53</f>
        <v>396.82280943428242</v>
      </c>
      <c r="BA18" s="66">
        <f>$B18*'FOD Basics'!AR$53</f>
        <v>369.76988186002308</v>
      </c>
      <c r="BB18" s="66">
        <f>$B18*'FOD Basics'!AS$53</f>
        <v>344.58158720772332</v>
      </c>
    </row>
    <row r="19" spans="1:54" x14ac:dyDescent="0.2">
      <c r="A19" s="64">
        <f t="shared" si="32"/>
        <v>2024</v>
      </c>
      <c r="B19" s="65">
        <f>'Input data'!M20</f>
        <v>239904</v>
      </c>
      <c r="E19" s="67"/>
      <c r="F19" s="67"/>
      <c r="G19" s="67"/>
      <c r="H19" s="67"/>
      <c r="I19" s="67"/>
      <c r="J19" s="67"/>
      <c r="K19" s="67"/>
      <c r="L19" s="67"/>
      <c r="M19" s="67"/>
      <c r="N19" s="67"/>
      <c r="O19" s="66">
        <f>$B19*'FOD Basics'!E$53</f>
        <v>47479.634162399765</v>
      </c>
      <c r="P19" s="66">
        <f>$B19*'FOD Basics'!F$53</f>
        <v>33534.353252644141</v>
      </c>
      <c r="Q19" s="66">
        <f>$B19*'FOD Basics'!G$53</f>
        <v>24047.108048209033</v>
      </c>
      <c r="R19" s="66">
        <f>$B19*'FOD Basics'!H$53</f>
        <v>17561.35064161431</v>
      </c>
      <c r="S19" s="66">
        <f>$B19*'FOD Basics'!I$53</f>
        <v>13099.250688534999</v>
      </c>
      <c r="T19" s="66">
        <f>$B19*'FOD Basics'!J$53</f>
        <v>10004.063332093161</v>
      </c>
      <c r="U19" s="66">
        <f>$B19*'FOD Basics'!K$53</f>
        <v>7834.4379875753102</v>
      </c>
      <c r="V19" s="66">
        <f>$B19*'FOD Basics'!L$53</f>
        <v>6293.5482110143794</v>
      </c>
      <c r="W19" s="66">
        <f>$B19*'FOD Basics'!M$53</f>
        <v>5181.5662959426518</v>
      </c>
      <c r="X19" s="66">
        <f>$B19*'FOD Basics'!N$53</f>
        <v>4363.7892378442757</v>
      </c>
      <c r="Y19" s="66">
        <f>$B19*'FOD Basics'!O$53</f>
        <v>3749.2586053314571</v>
      </c>
      <c r="Z19" s="66">
        <f>$B19*'FOD Basics'!P$53</f>
        <v>3276.4167905370823</v>
      </c>
      <c r="AA19" s="66">
        <f>$B19*'FOD Basics'!Q$53</f>
        <v>2903.4816691293331</v>
      </c>
      <c r="AB19" s="66">
        <f>$B19*'FOD Basics'!R$53</f>
        <v>2601.9856182083104</v>
      </c>
      <c r="AC19" s="66">
        <f>$B19*'FOD Basics'!S$53</f>
        <v>2352.4369514661771</v>
      </c>
      <c r="AD19" s="66">
        <f>$B19*'FOD Basics'!T$53</f>
        <v>2141.4051445377936</v>
      </c>
      <c r="AE19" s="66">
        <f>$B19*'FOD Basics'!U$53</f>
        <v>1959.5613831495366</v>
      </c>
      <c r="AF19" s="66">
        <f>$B19*'FOD Basics'!V$53</f>
        <v>1800.3602724374605</v>
      </c>
      <c r="AG19" s="66">
        <f>$B19*'FOD Basics'!W$53</f>
        <v>1659.1520012733495</v>
      </c>
      <c r="AH19" s="66">
        <f>$B19*'FOD Basics'!X$53</f>
        <v>1532.5836216438399</v>
      </c>
      <c r="AI19" s="66">
        <f>$B19*'FOD Basics'!Y$53</f>
        <v>1418.1946158437818</v>
      </c>
      <c r="AJ19" s="66">
        <f>$B19*'FOD Basics'!Z$53</f>
        <v>1314.1431154641557</v>
      </c>
      <c r="AK19" s="66">
        <f>$B19*'FOD Basics'!AA$53</f>
        <v>1219.0200550884508</v>
      </c>
      <c r="AL19" s="66">
        <f>$B19*'FOD Basics'!AB$53</f>
        <v>1131.7225751547758</v>
      </c>
      <c r="AM19" s="66">
        <f>$B19*'FOD Basics'!AC$53</f>
        <v>1051.3674018169245</v>
      </c>
      <c r="AN19" s="66">
        <f>$B19*'FOD Basics'!AD$53</f>
        <v>977.23124817115524</v>
      </c>
      <c r="AO19" s="66">
        <f>$B19*'FOD Basics'!AE$53</f>
        <v>908.70952086616853</v>
      </c>
      <c r="AP19" s="66">
        <f>$B19*'FOD Basics'!AF$53</f>
        <v>845.2874627373061</v>
      </c>
      <c r="AQ19" s="66">
        <f>$B19*'FOD Basics'!AG$53</f>
        <v>786.51977423644325</v>
      </c>
      <c r="AR19" s="66">
        <f>$B19*'FOD Basics'!AH$53</f>
        <v>732.01604154223196</v>
      </c>
      <c r="AS19" s="66">
        <f>$B19*'FOD Basics'!AI$53</f>
        <v>681.43016353263658</v>
      </c>
      <c r="AT19" s="66">
        <f>$B19*'FOD Basics'!AJ$53</f>
        <v>634.45255158327166</v>
      </c>
      <c r="AU19" s="66">
        <f>$B19*'FOD Basics'!AK$53</f>
        <v>590.80426819338822</v>
      </c>
      <c r="AV19" s="66">
        <f>$B19*'FOD Basics'!AL$53</f>
        <v>550.23253498029771</v>
      </c>
      <c r="AW19" s="66">
        <f>$B19*'FOD Basics'!AM$53</f>
        <v>512.50721939372011</v>
      </c>
      <c r="AX19" s="66">
        <f>$B19*'FOD Basics'!AN$53</f>
        <v>477.41803062438254</v>
      </c>
      <c r="AY19" s="66">
        <f>$B19*'FOD Basics'!AO$53</f>
        <v>444.77223744636484</v>
      </c>
      <c r="AZ19" s="66">
        <f>$B19*'FOD Basics'!AP$53</f>
        <v>414.39277679129498</v>
      </c>
      <c r="BA19" s="66">
        <f>$B19*'FOD Basics'!AQ$53</f>
        <v>386.11666020912935</v>
      </c>
      <c r="BB19" s="66">
        <f>$B19*'FOD Basics'!AR$53</f>
        <v>359.79361174640644</v>
      </c>
    </row>
    <row r="20" spans="1:54" x14ac:dyDescent="0.2">
      <c r="A20" s="64">
        <f t="shared" si="32"/>
        <v>2025</v>
      </c>
      <c r="B20" s="65">
        <f>'Input data'!M21</f>
        <v>242303.04</v>
      </c>
      <c r="E20" s="67"/>
      <c r="F20" s="67"/>
      <c r="G20" s="67"/>
      <c r="H20" s="67"/>
      <c r="I20" s="67"/>
      <c r="J20" s="67"/>
      <c r="K20" s="67"/>
      <c r="L20" s="67"/>
      <c r="M20" s="67"/>
      <c r="N20" s="67"/>
      <c r="O20" s="67"/>
      <c r="P20" s="66">
        <f>$B20*'FOD Basics'!E$53</f>
        <v>47954.43050402376</v>
      </c>
      <c r="Q20" s="66">
        <f>$B20*'FOD Basics'!F$53</f>
        <v>33869.696785170585</v>
      </c>
      <c r="R20" s="66">
        <f>$B20*'FOD Basics'!G$53</f>
        <v>24287.579128691123</v>
      </c>
      <c r="S20" s="66">
        <f>$B20*'FOD Basics'!H$53</f>
        <v>17736.964148030453</v>
      </c>
      <c r="T20" s="66">
        <f>$B20*'FOD Basics'!I$53</f>
        <v>13230.243195420351</v>
      </c>
      <c r="U20" s="66">
        <f>$B20*'FOD Basics'!J$53</f>
        <v>10104.103965414093</v>
      </c>
      <c r="V20" s="66">
        <f>$B20*'FOD Basics'!K$53</f>
        <v>7912.7823674510637</v>
      </c>
      <c r="W20" s="66">
        <f>$B20*'FOD Basics'!L$53</f>
        <v>6356.4836931245227</v>
      </c>
      <c r="X20" s="66">
        <f>$B20*'FOD Basics'!M$53</f>
        <v>5233.3819589020777</v>
      </c>
      <c r="Y20" s="66">
        <f>$B20*'FOD Basics'!N$53</f>
        <v>4407.4271302227189</v>
      </c>
      <c r="Z20" s="66">
        <f>$B20*'FOD Basics'!O$53</f>
        <v>3786.7511913847716</v>
      </c>
      <c r="AA20" s="66">
        <f>$B20*'FOD Basics'!P$53</f>
        <v>3309.1809584424532</v>
      </c>
      <c r="AB20" s="66">
        <f>$B20*'FOD Basics'!Q$53</f>
        <v>2932.5164858206267</v>
      </c>
      <c r="AC20" s="66">
        <f>$B20*'FOD Basics'!R$53</f>
        <v>2628.0054743903934</v>
      </c>
      <c r="AD20" s="66">
        <f>$B20*'FOD Basics'!S$53</f>
        <v>2375.961320980839</v>
      </c>
      <c r="AE20" s="66">
        <f>$B20*'FOD Basics'!T$53</f>
        <v>2162.8191959831715</v>
      </c>
      <c r="AF20" s="66">
        <f>$B20*'FOD Basics'!U$53</f>
        <v>1979.1569969810321</v>
      </c>
      <c r="AG20" s="66">
        <f>$B20*'FOD Basics'!V$53</f>
        <v>1818.3638751618353</v>
      </c>
      <c r="AH20" s="66">
        <f>$B20*'FOD Basics'!W$53</f>
        <v>1675.743521286083</v>
      </c>
      <c r="AI20" s="66">
        <f>$B20*'FOD Basics'!X$53</f>
        <v>1547.9094578602785</v>
      </c>
      <c r="AJ20" s="66">
        <f>$B20*'FOD Basics'!Y$53</f>
        <v>1432.3765620022198</v>
      </c>
      <c r="AK20" s="66">
        <f>$B20*'FOD Basics'!Z$53</f>
        <v>1327.2845466187973</v>
      </c>
      <c r="AL20" s="66">
        <f>$B20*'FOD Basics'!AA$53</f>
        <v>1231.2102556393352</v>
      </c>
      <c r="AM20" s="66">
        <f>$B20*'FOD Basics'!AB$53</f>
        <v>1143.0398009063235</v>
      </c>
      <c r="AN20" s="66">
        <f>$B20*'FOD Basics'!AC$53</f>
        <v>1061.8810758350937</v>
      </c>
      <c r="AO20" s="66">
        <f>$B20*'FOD Basics'!AD$53</f>
        <v>987.00356065286678</v>
      </c>
      <c r="AP20" s="66">
        <f>$B20*'FOD Basics'!AE$53</f>
        <v>917.79661607483024</v>
      </c>
      <c r="AQ20" s="66">
        <f>$B20*'FOD Basics'!AF$53</f>
        <v>853.74033736467925</v>
      </c>
      <c r="AR20" s="66">
        <f>$B20*'FOD Basics'!AG$53</f>
        <v>794.38497197880781</v>
      </c>
      <c r="AS20" s="66">
        <f>$B20*'FOD Basics'!AH$53</f>
        <v>739.33620195765434</v>
      </c>
      <c r="AT20" s="66">
        <f>$B20*'FOD Basics'!AI$53</f>
        <v>688.24446516796297</v>
      </c>
      <c r="AU20" s="66">
        <f>$B20*'FOD Basics'!AJ$53</f>
        <v>640.7970770991044</v>
      </c>
      <c r="AV20" s="66">
        <f>$B20*'FOD Basics'!AK$53</f>
        <v>596.71231087532215</v>
      </c>
      <c r="AW20" s="66">
        <f>$B20*'FOD Basics'!AL$53</f>
        <v>555.73486033010067</v>
      </c>
      <c r="AX20" s="66">
        <f>$B20*'FOD Basics'!AM$53</f>
        <v>517.63229158765728</v>
      </c>
      <c r="AY20" s="66">
        <f>$B20*'FOD Basics'!AN$53</f>
        <v>482.1922109306264</v>
      </c>
      <c r="AZ20" s="66">
        <f>$B20*'FOD Basics'!AO$53</f>
        <v>449.21995982082848</v>
      </c>
      <c r="BA20" s="66">
        <f>$B20*'FOD Basics'!AP$53</f>
        <v>418.53670455920792</v>
      </c>
      <c r="BB20" s="66">
        <f>$B20*'FOD Basics'!AQ$53</f>
        <v>389.97782681122067</v>
      </c>
    </row>
    <row r="21" spans="1:54" x14ac:dyDescent="0.2">
      <c r="A21" s="64">
        <f t="shared" si="32"/>
        <v>2026</v>
      </c>
      <c r="B21" s="65">
        <f>'Input data'!M22</f>
        <v>244726.0704</v>
      </c>
      <c r="E21" s="67"/>
      <c r="F21" s="67"/>
      <c r="G21" s="67"/>
      <c r="H21" s="67"/>
      <c r="I21" s="67"/>
      <c r="J21" s="67"/>
      <c r="K21" s="67"/>
      <c r="L21" s="67"/>
      <c r="M21" s="67"/>
      <c r="N21" s="67"/>
      <c r="O21" s="67"/>
      <c r="P21" s="67"/>
      <c r="Q21" s="66">
        <f>$B21*'FOD Basics'!E$53</f>
        <v>48433.974809063999</v>
      </c>
      <c r="R21" s="66">
        <f>$B21*'FOD Basics'!F$53</f>
        <v>34208.393753022283</v>
      </c>
      <c r="S21" s="66">
        <f>$B21*'FOD Basics'!G$53</f>
        <v>24530.454919978034</v>
      </c>
      <c r="T21" s="66">
        <f>$B21*'FOD Basics'!H$53</f>
        <v>17914.333789510758</v>
      </c>
      <c r="U21" s="66">
        <f>$B21*'FOD Basics'!I$53</f>
        <v>13362.545627374553</v>
      </c>
      <c r="V21" s="66">
        <f>$B21*'FOD Basics'!J$53</f>
        <v>10205.145005068234</v>
      </c>
      <c r="W21" s="66">
        <f>$B21*'FOD Basics'!K$53</f>
        <v>7991.9101911255739</v>
      </c>
      <c r="X21" s="66">
        <f>$B21*'FOD Basics'!L$53</f>
        <v>6420.0485300557684</v>
      </c>
      <c r="Y21" s="66">
        <f>$B21*'FOD Basics'!M$53</f>
        <v>5285.7157784910987</v>
      </c>
      <c r="Z21" s="66">
        <f>$B21*'FOD Basics'!N$53</f>
        <v>4451.5014015249462</v>
      </c>
      <c r="AA21" s="66">
        <f>$B21*'FOD Basics'!O$53</f>
        <v>3824.618703298619</v>
      </c>
      <c r="AB21" s="66">
        <f>$B21*'FOD Basics'!P$53</f>
        <v>3342.2727680268777</v>
      </c>
      <c r="AC21" s="66">
        <f>$B21*'FOD Basics'!Q$53</f>
        <v>2961.8416506788326</v>
      </c>
      <c r="AD21" s="66">
        <f>$B21*'FOD Basics'!R$53</f>
        <v>2654.2855291342971</v>
      </c>
      <c r="AE21" s="66">
        <f>$B21*'FOD Basics'!S$53</f>
        <v>2399.7209341906473</v>
      </c>
      <c r="AF21" s="66">
        <f>$B21*'FOD Basics'!T$53</f>
        <v>2184.4473879430029</v>
      </c>
      <c r="AG21" s="66">
        <f>$B21*'FOD Basics'!U$53</f>
        <v>1998.9485669508422</v>
      </c>
      <c r="AH21" s="66">
        <f>$B21*'FOD Basics'!V$53</f>
        <v>1836.5475139134535</v>
      </c>
      <c r="AI21" s="66">
        <f>$B21*'FOD Basics'!W$53</f>
        <v>1692.5009564989439</v>
      </c>
      <c r="AJ21" s="66">
        <f>$B21*'FOD Basics'!X$53</f>
        <v>1563.3885524388811</v>
      </c>
      <c r="AK21" s="66">
        <f>$B21*'FOD Basics'!Y$53</f>
        <v>1446.7003276222417</v>
      </c>
      <c r="AL21" s="66">
        <f>$B21*'FOD Basics'!Z$53</f>
        <v>1340.5573920849852</v>
      </c>
      <c r="AM21" s="66">
        <f>$B21*'FOD Basics'!AA$53</f>
        <v>1243.5223581957287</v>
      </c>
      <c r="AN21" s="66">
        <f>$B21*'FOD Basics'!AB$53</f>
        <v>1154.4701989153868</v>
      </c>
      <c r="AO21" s="66">
        <f>$B21*'FOD Basics'!AC$53</f>
        <v>1072.4998865934447</v>
      </c>
      <c r="AP21" s="66">
        <f>$B21*'FOD Basics'!AD$53</f>
        <v>996.87359625939541</v>
      </c>
      <c r="AQ21" s="66">
        <f>$B21*'FOD Basics'!AE$53</f>
        <v>926.97458223557851</v>
      </c>
      <c r="AR21" s="66">
        <f>$B21*'FOD Basics'!AF$53</f>
        <v>862.27774073832597</v>
      </c>
      <c r="AS21" s="66">
        <f>$B21*'FOD Basics'!AG$53</f>
        <v>802.32882169859579</v>
      </c>
      <c r="AT21" s="66">
        <f>$B21*'FOD Basics'!AH$53</f>
        <v>746.7295639772309</v>
      </c>
      <c r="AU21" s="66">
        <f>$B21*'FOD Basics'!AI$53</f>
        <v>695.12690981964261</v>
      </c>
      <c r="AV21" s="66">
        <f>$B21*'FOD Basics'!AJ$53</f>
        <v>647.20504787009543</v>
      </c>
      <c r="AW21" s="66">
        <f>$B21*'FOD Basics'!AK$53</f>
        <v>602.67943398407533</v>
      </c>
      <c r="AX21" s="66">
        <f>$B21*'FOD Basics'!AL$53</f>
        <v>561.29220893340164</v>
      </c>
      <c r="AY21" s="66">
        <f>$B21*'FOD Basics'!AM$53</f>
        <v>522.80861450353382</v>
      </c>
      <c r="AZ21" s="66">
        <f>$B21*'FOD Basics'!AN$53</f>
        <v>487.01413303993263</v>
      </c>
      <c r="BA21" s="66">
        <f>$B21*'FOD Basics'!AO$53</f>
        <v>453.71215941903677</v>
      </c>
      <c r="BB21" s="66">
        <f>$B21*'FOD Basics'!AP$53</f>
        <v>422.72207160479996</v>
      </c>
    </row>
    <row r="22" spans="1:54" x14ac:dyDescent="0.2">
      <c r="A22" s="64">
        <f t="shared" si="32"/>
        <v>2027</v>
      </c>
      <c r="B22" s="65">
        <f>'Input data'!M23</f>
        <v>247173.33110400001</v>
      </c>
      <c r="E22" s="67"/>
      <c r="F22" s="67"/>
      <c r="G22" s="67"/>
      <c r="H22" s="67"/>
      <c r="I22" s="67"/>
      <c r="J22" s="67"/>
      <c r="K22" s="67"/>
      <c r="L22" s="67"/>
      <c r="M22" s="67"/>
      <c r="N22" s="67"/>
      <c r="O22" s="67"/>
      <c r="P22" s="67"/>
      <c r="Q22" s="67"/>
      <c r="R22" s="66">
        <f>$B22*'FOD Basics'!E$53</f>
        <v>48918.314557154641</v>
      </c>
      <c r="S22" s="66">
        <f>$B22*'FOD Basics'!F$53</f>
        <v>34550.477690552514</v>
      </c>
      <c r="T22" s="66">
        <f>$B22*'FOD Basics'!G$53</f>
        <v>24775.759469177814</v>
      </c>
      <c r="U22" s="66">
        <f>$B22*'FOD Basics'!H$53</f>
        <v>18093.477127405866</v>
      </c>
      <c r="V22" s="66">
        <f>$B22*'FOD Basics'!I$53</f>
        <v>13496.1710836483</v>
      </c>
      <c r="W22" s="66">
        <f>$B22*'FOD Basics'!J$53</f>
        <v>10307.196455118918</v>
      </c>
      <c r="X22" s="66">
        <f>$B22*'FOD Basics'!K$53</f>
        <v>8071.8292930368307</v>
      </c>
      <c r="Y22" s="66">
        <f>$B22*'FOD Basics'!L$53</f>
        <v>6484.2490153563258</v>
      </c>
      <c r="Z22" s="66">
        <f>$B22*'FOD Basics'!M$53</f>
        <v>5338.5729362760103</v>
      </c>
      <c r="AA22" s="66">
        <f>$B22*'FOD Basics'!N$53</f>
        <v>4496.0164155401953</v>
      </c>
      <c r="AB22" s="66">
        <f>$B22*'FOD Basics'!O$53</f>
        <v>3862.8648903316057</v>
      </c>
      <c r="AC22" s="66">
        <f>$B22*'FOD Basics'!P$53</f>
        <v>3375.6954957071466</v>
      </c>
      <c r="AD22" s="66">
        <f>$B22*'FOD Basics'!Q$53</f>
        <v>2991.460067185621</v>
      </c>
      <c r="AE22" s="66">
        <f>$B22*'FOD Basics'!R$53</f>
        <v>2680.8283844256403</v>
      </c>
      <c r="AF22" s="66">
        <f>$B22*'FOD Basics'!S$53</f>
        <v>2423.7181435325542</v>
      </c>
      <c r="AG22" s="66">
        <f>$B22*'FOD Basics'!T$53</f>
        <v>2206.291861822433</v>
      </c>
      <c r="AH22" s="66">
        <f>$B22*'FOD Basics'!U$53</f>
        <v>2018.9380526203508</v>
      </c>
      <c r="AI22" s="66">
        <f>$B22*'FOD Basics'!V$53</f>
        <v>1854.912989052588</v>
      </c>
      <c r="AJ22" s="66">
        <f>$B22*'FOD Basics'!W$53</f>
        <v>1709.4259660639334</v>
      </c>
      <c r="AK22" s="66">
        <f>$B22*'FOD Basics'!X$53</f>
        <v>1579.02243796327</v>
      </c>
      <c r="AL22" s="66">
        <f>$B22*'FOD Basics'!Y$53</f>
        <v>1461.1673308984643</v>
      </c>
      <c r="AM22" s="66">
        <f>$B22*'FOD Basics'!Z$53</f>
        <v>1353.9629660058351</v>
      </c>
      <c r="AN22" s="66">
        <f>$B22*'FOD Basics'!AA$53</f>
        <v>1255.9575817776858</v>
      </c>
      <c r="AO22" s="66">
        <f>$B22*'FOD Basics'!AB$53</f>
        <v>1166.0149009045408</v>
      </c>
      <c r="AP22" s="66">
        <f>$B22*'FOD Basics'!AC$53</f>
        <v>1083.2248854593793</v>
      </c>
      <c r="AQ22" s="66">
        <f>$B22*'FOD Basics'!AD$53</f>
        <v>1006.8423322219894</v>
      </c>
      <c r="AR22" s="66">
        <f>$B22*'FOD Basics'!AE$53</f>
        <v>936.24432805793435</v>
      </c>
      <c r="AS22" s="66">
        <f>$B22*'FOD Basics'!AF$53</f>
        <v>870.90051814570927</v>
      </c>
      <c r="AT22" s="66">
        <f>$B22*'FOD Basics'!AG$53</f>
        <v>810.35210991558176</v>
      </c>
      <c r="AU22" s="66">
        <f>$B22*'FOD Basics'!AH$53</f>
        <v>754.19685961700327</v>
      </c>
      <c r="AV22" s="66">
        <f>$B22*'FOD Basics'!AI$53</f>
        <v>702.07817891783907</v>
      </c>
      <c r="AW22" s="66">
        <f>$B22*'FOD Basics'!AJ$53</f>
        <v>653.67709834879645</v>
      </c>
      <c r="AX22" s="66">
        <f>$B22*'FOD Basics'!AK$53</f>
        <v>608.70622832391609</v>
      </c>
      <c r="AY22" s="66">
        <f>$B22*'FOD Basics'!AL$53</f>
        <v>566.90513102273576</v>
      </c>
      <c r="AZ22" s="66">
        <f>$B22*'FOD Basics'!AM$53</f>
        <v>528.03670064856919</v>
      </c>
      <c r="BA22" s="66">
        <f>$B22*'FOD Basics'!AN$53</f>
        <v>491.88427437033198</v>
      </c>
      <c r="BB22" s="66">
        <f>$B22*'FOD Basics'!AO$53</f>
        <v>458.24928101322718</v>
      </c>
    </row>
    <row r="23" spans="1:54" x14ac:dyDescent="0.2">
      <c r="A23" s="64">
        <f t="shared" si="32"/>
        <v>2028</v>
      </c>
      <c r="B23" s="65">
        <f>'Input data'!M24</f>
        <v>249645.06441504002</v>
      </c>
      <c r="S23" s="66">
        <f>$B23*'FOD Basics'!E$53</f>
        <v>49407.497702726192</v>
      </c>
      <c r="T23" s="66">
        <f>$B23*'FOD Basics'!F$53</f>
        <v>34895.982467458038</v>
      </c>
      <c r="U23" s="66">
        <f>$B23*'FOD Basics'!G$53</f>
        <v>25023.517063869593</v>
      </c>
      <c r="V23" s="66">
        <f>$B23*'FOD Basics'!H$53</f>
        <v>18274.411898679926</v>
      </c>
      <c r="W23" s="66">
        <f>$B23*'FOD Basics'!I$53</f>
        <v>13631.132794484784</v>
      </c>
      <c r="X23" s="66">
        <f>$B23*'FOD Basics'!J$53</f>
        <v>10410.268419670107</v>
      </c>
      <c r="Y23" s="66">
        <f>$B23*'FOD Basics'!K$53</f>
        <v>8152.5475859671988</v>
      </c>
      <c r="Z23" s="66">
        <f>$B23*'FOD Basics'!L$53</f>
        <v>6549.0915055098894</v>
      </c>
      <c r="AA23" s="66">
        <f>$B23*'FOD Basics'!M$53</f>
        <v>5391.9586656387701</v>
      </c>
      <c r="AB23" s="66">
        <f>$B23*'FOD Basics'!N$53</f>
        <v>4540.976579695598</v>
      </c>
      <c r="AC23" s="66">
        <f>$B23*'FOD Basics'!O$53</f>
        <v>3901.4935392349216</v>
      </c>
      <c r="AD23" s="66">
        <f>$B23*'FOD Basics'!P$53</f>
        <v>3409.4524506642183</v>
      </c>
      <c r="AE23" s="66">
        <f>$B23*'FOD Basics'!Q$53</f>
        <v>3021.3746678574776</v>
      </c>
      <c r="AF23" s="66">
        <f>$B23*'FOD Basics'!R$53</f>
        <v>2707.6366682698967</v>
      </c>
      <c r="AG23" s="66">
        <f>$B23*'FOD Basics'!S$53</f>
        <v>2447.9553249678797</v>
      </c>
      <c r="AH23" s="66">
        <f>$B23*'FOD Basics'!T$53</f>
        <v>2228.3547804406576</v>
      </c>
      <c r="AI23" s="66">
        <f>$B23*'FOD Basics'!U$53</f>
        <v>2039.1274331465543</v>
      </c>
      <c r="AJ23" s="66">
        <f>$B23*'FOD Basics'!V$53</f>
        <v>1873.4621189431141</v>
      </c>
      <c r="AK23" s="66">
        <f>$B23*'FOD Basics'!W$53</f>
        <v>1726.5202257245726</v>
      </c>
      <c r="AL23" s="66">
        <f>$B23*'FOD Basics'!X$53</f>
        <v>1594.8126623429027</v>
      </c>
      <c r="AM23" s="66">
        <f>$B23*'FOD Basics'!Y$53</f>
        <v>1475.7790042074489</v>
      </c>
      <c r="AN23" s="66">
        <f>$B23*'FOD Basics'!Z$53</f>
        <v>1367.5025956658935</v>
      </c>
      <c r="AO23" s="66">
        <f>$B23*'FOD Basics'!AA$53</f>
        <v>1268.5171575954628</v>
      </c>
      <c r="AP23" s="66">
        <f>$B23*'FOD Basics'!AB$53</f>
        <v>1177.6750499135862</v>
      </c>
      <c r="AQ23" s="66">
        <f>$B23*'FOD Basics'!AC$53</f>
        <v>1094.0571343139729</v>
      </c>
      <c r="AR23" s="66">
        <f>$B23*'FOD Basics'!AD$53</f>
        <v>1016.9107555442093</v>
      </c>
      <c r="AS23" s="66">
        <f>$B23*'FOD Basics'!AE$53</f>
        <v>945.60677133851379</v>
      </c>
      <c r="AT23" s="66">
        <f>$B23*'FOD Basics'!AF$53</f>
        <v>879.60952332716636</v>
      </c>
      <c r="AU23" s="66">
        <f>$B23*'FOD Basics'!AG$53</f>
        <v>818.45563101473761</v>
      </c>
      <c r="AV23" s="66">
        <f>$B23*'FOD Basics'!AH$53</f>
        <v>761.73882821317329</v>
      </c>
      <c r="AW23" s="66">
        <f>$B23*'FOD Basics'!AI$53</f>
        <v>709.09896070701745</v>
      </c>
      <c r="AX23" s="66">
        <f>$B23*'FOD Basics'!AJ$53</f>
        <v>660.21386933228439</v>
      </c>
      <c r="AY23" s="66">
        <f>$B23*'FOD Basics'!AK$53</f>
        <v>614.7932906071552</v>
      </c>
      <c r="AZ23" s="66">
        <f>$B23*'FOD Basics'!AL$53</f>
        <v>572.57418233296312</v>
      </c>
      <c r="BA23" s="66">
        <f>$B23*'FOD Basics'!AM$53</f>
        <v>533.31706765505487</v>
      </c>
      <c r="BB23" s="66">
        <f>$B23*'FOD Basics'!AN$53</f>
        <v>496.80311711403533</v>
      </c>
    </row>
    <row r="24" spans="1:54" x14ac:dyDescent="0.2">
      <c r="A24" s="64">
        <f t="shared" si="32"/>
        <v>2029</v>
      </c>
      <c r="B24" s="65">
        <f>'Input data'!M25</f>
        <v>252141.51505919042</v>
      </c>
      <c r="S24" s="66"/>
      <c r="T24" s="66">
        <f>$B24*'FOD Basics'!E$53</f>
        <v>49901.572679753452</v>
      </c>
      <c r="U24" s="66">
        <f>$B24*'FOD Basics'!F$53</f>
        <v>35244.942292132619</v>
      </c>
      <c r="V24" s="66">
        <f>$B24*'FOD Basics'!G$53</f>
        <v>25273.752234508291</v>
      </c>
      <c r="W24" s="66">
        <f>$B24*'FOD Basics'!H$53</f>
        <v>18457.156017666726</v>
      </c>
      <c r="X24" s="66">
        <f>$B24*'FOD Basics'!I$53</f>
        <v>13767.444122429632</v>
      </c>
      <c r="Y24" s="66">
        <f>$B24*'FOD Basics'!J$53</f>
        <v>10514.371103866808</v>
      </c>
      <c r="Z24" s="66">
        <f>$B24*'FOD Basics'!K$53</f>
        <v>8234.0730618268717</v>
      </c>
      <c r="AA24" s="66">
        <f>$B24*'FOD Basics'!L$53</f>
        <v>6614.5824205649888</v>
      </c>
      <c r="AB24" s="66">
        <f>$B24*'FOD Basics'!M$53</f>
        <v>5445.8782522951578</v>
      </c>
      <c r="AC24" s="66">
        <f>$B24*'FOD Basics'!N$53</f>
        <v>4586.386345492554</v>
      </c>
      <c r="AD24" s="66">
        <f>$B24*'FOD Basics'!O$53</f>
        <v>3940.508474627271</v>
      </c>
      <c r="AE24" s="66">
        <f>$B24*'FOD Basics'!P$53</f>
        <v>3443.5469751708606</v>
      </c>
      <c r="AF24" s="66">
        <f>$B24*'FOD Basics'!Q$53</f>
        <v>3051.5884145360524</v>
      </c>
      <c r="AG24" s="66">
        <f>$B24*'FOD Basics'!R$53</f>
        <v>2734.713034952596</v>
      </c>
      <c r="AH24" s="66">
        <f>$B24*'FOD Basics'!S$53</f>
        <v>2472.4348782175584</v>
      </c>
      <c r="AI24" s="66">
        <f>$B24*'FOD Basics'!T$53</f>
        <v>2250.6383282450643</v>
      </c>
      <c r="AJ24" s="66">
        <f>$B24*'FOD Basics'!U$53</f>
        <v>2059.5187074780197</v>
      </c>
      <c r="AK24" s="66">
        <f>$B24*'FOD Basics'!V$53</f>
        <v>1892.1967401325453</v>
      </c>
      <c r="AL24" s="66">
        <f>$B24*'FOD Basics'!W$53</f>
        <v>1743.7854279818184</v>
      </c>
      <c r="AM24" s="66">
        <f>$B24*'FOD Basics'!X$53</f>
        <v>1610.760788966332</v>
      </c>
      <c r="AN24" s="66">
        <f>$B24*'FOD Basics'!Y$53</f>
        <v>1490.5367942495236</v>
      </c>
      <c r="AO24" s="66">
        <f>$B24*'FOD Basics'!Z$53</f>
        <v>1381.1776216225524</v>
      </c>
      <c r="AP24" s="66">
        <f>$B24*'FOD Basics'!AA$53</f>
        <v>1281.2023291714174</v>
      </c>
      <c r="AQ24" s="66">
        <f>$B24*'FOD Basics'!AB$53</f>
        <v>1189.4518004127222</v>
      </c>
      <c r="AR24" s="66">
        <f>$B24*'FOD Basics'!AC$53</f>
        <v>1104.9977056571129</v>
      </c>
      <c r="AS24" s="66">
        <f>$B24*'FOD Basics'!AD$53</f>
        <v>1027.0798630996514</v>
      </c>
      <c r="AT24" s="66">
        <f>$B24*'FOD Basics'!AE$53</f>
        <v>955.06283905189889</v>
      </c>
      <c r="AU24" s="66">
        <f>$B24*'FOD Basics'!AF$53</f>
        <v>888.40561856043803</v>
      </c>
      <c r="AV24" s="66">
        <f>$B24*'FOD Basics'!AG$53</f>
        <v>826.64018732488501</v>
      </c>
      <c r="AW24" s="66">
        <f>$B24*'FOD Basics'!AH$53</f>
        <v>769.35621649530503</v>
      </c>
      <c r="AX24" s="66">
        <f>$B24*'FOD Basics'!AI$53</f>
        <v>716.1899503140877</v>
      </c>
      <c r="AY24" s="66">
        <f>$B24*'FOD Basics'!AJ$53</f>
        <v>666.81600802560729</v>
      </c>
      <c r="AZ24" s="66">
        <f>$B24*'FOD Basics'!AK$53</f>
        <v>620.94122351322676</v>
      </c>
      <c r="BA24" s="66">
        <f>$B24*'FOD Basics'!AL$53</f>
        <v>578.29992415629272</v>
      </c>
      <c r="BB24" s="66">
        <f>$B24*'FOD Basics'!AM$53</f>
        <v>538.65023833160546</v>
      </c>
    </row>
    <row r="25" spans="1:54" x14ac:dyDescent="0.2">
      <c r="A25" s="64">
        <f t="shared" si="32"/>
        <v>2030</v>
      </c>
      <c r="B25" s="65">
        <f>'Input data'!M26</f>
        <v>254662.93020978232</v>
      </c>
      <c r="S25" s="66"/>
      <c r="T25" s="66"/>
      <c r="U25" s="66">
        <f>$B25*'FOD Basics'!E$53</f>
        <v>50400.588406550989</v>
      </c>
      <c r="V25" s="66">
        <f>$B25*'FOD Basics'!F$53</f>
        <v>35597.391715053942</v>
      </c>
      <c r="W25" s="66">
        <f>$B25*'FOD Basics'!G$53</f>
        <v>25526.489756853374</v>
      </c>
      <c r="X25" s="66">
        <f>$B25*'FOD Basics'!H$53</f>
        <v>18641.72757784339</v>
      </c>
      <c r="Y25" s="66">
        <f>$B25*'FOD Basics'!I$53</f>
        <v>13905.118563653927</v>
      </c>
      <c r="Z25" s="66">
        <f>$B25*'FOD Basics'!J$53</f>
        <v>10619.514814905477</v>
      </c>
      <c r="AA25" s="66">
        <f>$B25*'FOD Basics'!K$53</f>
        <v>8316.4137924451406</v>
      </c>
      <c r="AB25" s="66">
        <f>$B25*'FOD Basics'!L$53</f>
        <v>6680.7282447706384</v>
      </c>
      <c r="AC25" s="66">
        <f>$B25*'FOD Basics'!M$53</f>
        <v>5500.3370348181097</v>
      </c>
      <c r="AD25" s="66">
        <f>$B25*'FOD Basics'!N$53</f>
        <v>4632.2502089474792</v>
      </c>
      <c r="AE25" s="66">
        <f>$B25*'FOD Basics'!O$53</f>
        <v>3979.9135593735436</v>
      </c>
      <c r="AF25" s="66">
        <f>$B25*'FOD Basics'!P$53</f>
        <v>3477.9824449225689</v>
      </c>
      <c r="AG25" s="66">
        <f>$B25*'FOD Basics'!Q$53</f>
        <v>3082.1042986814127</v>
      </c>
      <c r="AH25" s="66">
        <f>$B25*'FOD Basics'!R$53</f>
        <v>2762.0601653021217</v>
      </c>
      <c r="AI25" s="66">
        <f>$B25*'FOD Basics'!S$53</f>
        <v>2497.1592269997341</v>
      </c>
      <c r="AJ25" s="66">
        <f>$B25*'FOD Basics'!T$53</f>
        <v>2273.144711527515</v>
      </c>
      <c r="AK25" s="66">
        <f>$B25*'FOD Basics'!U$53</f>
        <v>2080.1138945528</v>
      </c>
      <c r="AL25" s="66">
        <f>$B25*'FOD Basics'!V$53</f>
        <v>1911.1187075338707</v>
      </c>
      <c r="AM25" s="66">
        <f>$B25*'FOD Basics'!W$53</f>
        <v>1761.2232822616365</v>
      </c>
      <c r="AN25" s="66">
        <f>$B25*'FOD Basics'!X$53</f>
        <v>1626.8683968559951</v>
      </c>
      <c r="AO25" s="66">
        <f>$B25*'FOD Basics'!Y$53</f>
        <v>1505.4421621920187</v>
      </c>
      <c r="AP25" s="66">
        <f>$B25*'FOD Basics'!Z$53</f>
        <v>1394.9893978387779</v>
      </c>
      <c r="AQ25" s="66">
        <f>$B25*'FOD Basics'!AA$53</f>
        <v>1294.0143524631317</v>
      </c>
      <c r="AR25" s="66">
        <f>$B25*'FOD Basics'!AB$53</f>
        <v>1201.3463184168493</v>
      </c>
      <c r="AS25" s="66">
        <f>$B25*'FOD Basics'!AC$53</f>
        <v>1116.0476827136838</v>
      </c>
      <c r="AT25" s="66">
        <f>$B25*'FOD Basics'!AD$53</f>
        <v>1037.350661730648</v>
      </c>
      <c r="AU25" s="66">
        <f>$B25*'FOD Basics'!AE$53</f>
        <v>964.61346744241791</v>
      </c>
      <c r="AV25" s="66">
        <f>$B25*'FOD Basics'!AF$53</f>
        <v>897.28967474604246</v>
      </c>
      <c r="AW25" s="66">
        <f>$B25*'FOD Basics'!AG$53</f>
        <v>834.90658919813393</v>
      </c>
      <c r="AX25" s="66">
        <f>$B25*'FOD Basics'!AH$53</f>
        <v>777.04977866025808</v>
      </c>
      <c r="AY25" s="66">
        <f>$B25*'FOD Basics'!AI$53</f>
        <v>723.35184981722853</v>
      </c>
      <c r="AZ25" s="66">
        <f>$B25*'FOD Basics'!AJ$53</f>
        <v>673.48416810586332</v>
      </c>
      <c r="BA25" s="66">
        <f>$B25*'FOD Basics'!AK$53</f>
        <v>627.15063574835904</v>
      </c>
      <c r="BB25" s="66">
        <f>$B25*'FOD Basics'!AL$53</f>
        <v>584.08292339785567</v>
      </c>
    </row>
    <row r="26" spans="1:54" x14ac:dyDescent="0.2">
      <c r="A26" s="64">
        <f t="shared" si="32"/>
        <v>2031</v>
      </c>
      <c r="B26" s="65">
        <f>'Input data'!M27</f>
        <v>257209.55951188016</v>
      </c>
      <c r="S26" s="66"/>
      <c r="T26" s="66"/>
      <c r="U26" s="66"/>
      <c r="V26" s="66">
        <f>$B26*'FOD Basics'!E$53</f>
        <v>50904.5942906165</v>
      </c>
      <c r="W26" s="66">
        <f>$B26*'FOD Basics'!F$53</f>
        <v>35953.365632204484</v>
      </c>
      <c r="X26" s="66">
        <f>$B26*'FOD Basics'!G$53</f>
        <v>25781.754654421908</v>
      </c>
      <c r="Y26" s="66">
        <f>$B26*'FOD Basics'!H$53</f>
        <v>18828.144853621827</v>
      </c>
      <c r="Z26" s="66">
        <f>$B26*'FOD Basics'!I$53</f>
        <v>14044.169749290468</v>
      </c>
      <c r="AA26" s="66">
        <f>$B26*'FOD Basics'!J$53</f>
        <v>10725.709963054531</v>
      </c>
      <c r="AB26" s="66">
        <f>$B26*'FOD Basics'!K$53</f>
        <v>8399.5779303695908</v>
      </c>
      <c r="AC26" s="66">
        <f>$B26*'FOD Basics'!L$53</f>
        <v>6747.5355272183451</v>
      </c>
      <c r="AD26" s="66">
        <f>$B26*'FOD Basics'!M$53</f>
        <v>5555.340405166291</v>
      </c>
      <c r="AE26" s="66">
        <f>$B26*'FOD Basics'!N$53</f>
        <v>4678.5727110369544</v>
      </c>
      <c r="AF26" s="66">
        <f>$B26*'FOD Basics'!O$53</f>
        <v>4019.7126949672793</v>
      </c>
      <c r="AG26" s="66">
        <f>$B26*'FOD Basics'!P$53</f>
        <v>3512.7622693717949</v>
      </c>
      <c r="AH26" s="66">
        <f>$B26*'FOD Basics'!Q$53</f>
        <v>3112.9253416682272</v>
      </c>
      <c r="AI26" s="66">
        <f>$B26*'FOD Basics'!R$53</f>
        <v>2789.6807669551431</v>
      </c>
      <c r="AJ26" s="66">
        <f>$B26*'FOD Basics'!S$53</f>
        <v>2522.1308192697315</v>
      </c>
      <c r="AK26" s="66">
        <f>$B26*'FOD Basics'!T$53</f>
        <v>2295.87615864279</v>
      </c>
      <c r="AL26" s="66">
        <f>$B26*'FOD Basics'!U$53</f>
        <v>2100.9150334983283</v>
      </c>
      <c r="AM26" s="66">
        <f>$B26*'FOD Basics'!V$53</f>
        <v>1930.2298946092094</v>
      </c>
      <c r="AN26" s="66">
        <f>$B26*'FOD Basics'!W$53</f>
        <v>1778.8355150842531</v>
      </c>
      <c r="AO26" s="66">
        <f>$B26*'FOD Basics'!X$53</f>
        <v>1643.1370808245551</v>
      </c>
      <c r="AP26" s="66">
        <f>$B26*'FOD Basics'!Y$53</f>
        <v>1520.496583813939</v>
      </c>
      <c r="AQ26" s="66">
        <f>$B26*'FOD Basics'!Z$53</f>
        <v>1408.9392918171657</v>
      </c>
      <c r="AR26" s="66">
        <f>$B26*'FOD Basics'!AA$53</f>
        <v>1306.954495987763</v>
      </c>
      <c r="AS26" s="66">
        <f>$B26*'FOD Basics'!AB$53</f>
        <v>1213.3597816010179</v>
      </c>
      <c r="AT26" s="66">
        <f>$B26*'FOD Basics'!AC$53</f>
        <v>1127.2081595408208</v>
      </c>
      <c r="AU26" s="66">
        <f>$B26*'FOD Basics'!AD$53</f>
        <v>1047.7241683479544</v>
      </c>
      <c r="AV26" s="66">
        <f>$B26*'FOD Basics'!AE$53</f>
        <v>974.25960211684207</v>
      </c>
      <c r="AW26" s="66">
        <f>$B26*'FOD Basics'!AF$53</f>
        <v>906.26257149350283</v>
      </c>
      <c r="AX26" s="66">
        <f>$B26*'FOD Basics'!AG$53</f>
        <v>843.25565509011528</v>
      </c>
      <c r="AY26" s="66">
        <f>$B26*'FOD Basics'!AH$53</f>
        <v>784.8202764468607</v>
      </c>
      <c r="AZ26" s="66">
        <f>$B26*'FOD Basics'!AI$53</f>
        <v>730.58536831540084</v>
      </c>
      <c r="BA26" s="66">
        <f>$B26*'FOD Basics'!AJ$53</f>
        <v>680.21900978692202</v>
      </c>
      <c r="BB26" s="66">
        <f>$B26*'FOD Basics'!AK$53</f>
        <v>633.42214210584268</v>
      </c>
    </row>
    <row r="27" spans="1:54" x14ac:dyDescent="0.2">
      <c r="A27" s="64">
        <f t="shared" si="32"/>
        <v>2032</v>
      </c>
      <c r="B27" s="65">
        <f>'Input data'!M28</f>
        <v>259781.65510699895</v>
      </c>
      <c r="S27" s="66"/>
      <c r="T27" s="66"/>
      <c r="U27" s="66"/>
      <c r="V27" s="66"/>
      <c r="W27" s="66">
        <f>$B27*'FOD Basics'!E$53</f>
        <v>51413.640233522659</v>
      </c>
      <c r="X27" s="66">
        <f>$B27*'FOD Basics'!F$53</f>
        <v>36312.899288526525</v>
      </c>
      <c r="Y27" s="66">
        <f>$B27*'FOD Basics'!G$53</f>
        <v>26039.572200966126</v>
      </c>
      <c r="Z27" s="66">
        <f>$B27*'FOD Basics'!H$53</f>
        <v>19016.426302158045</v>
      </c>
      <c r="AA27" s="66">
        <f>$B27*'FOD Basics'!I$53</f>
        <v>14184.61144678337</v>
      </c>
      <c r="AB27" s="66">
        <f>$B27*'FOD Basics'!J$53</f>
        <v>10832.967062685077</v>
      </c>
      <c r="AC27" s="66">
        <f>$B27*'FOD Basics'!K$53</f>
        <v>8483.5737096732864</v>
      </c>
      <c r="AD27" s="66">
        <f>$B27*'FOD Basics'!L$53</f>
        <v>6815.0108824905283</v>
      </c>
      <c r="AE27" s="66">
        <f>$B27*'FOD Basics'!M$53</f>
        <v>5610.8938092179533</v>
      </c>
      <c r="AF27" s="66">
        <f>$B27*'FOD Basics'!N$53</f>
        <v>4725.3584381473238</v>
      </c>
      <c r="AG27" s="66">
        <f>$B27*'FOD Basics'!O$53</f>
        <v>4059.9098219169518</v>
      </c>
      <c r="AH27" s="66">
        <f>$B27*'FOD Basics'!P$53</f>
        <v>3547.8898920655129</v>
      </c>
      <c r="AI27" s="66">
        <f>$B27*'FOD Basics'!Q$53</f>
        <v>3144.0545950849091</v>
      </c>
      <c r="AJ27" s="66">
        <f>$B27*'FOD Basics'!R$53</f>
        <v>2817.5775746246945</v>
      </c>
      <c r="AK27" s="66">
        <f>$B27*'FOD Basics'!S$53</f>
        <v>2547.3521274624286</v>
      </c>
      <c r="AL27" s="66">
        <f>$B27*'FOD Basics'!T$53</f>
        <v>2318.8349202292179</v>
      </c>
      <c r="AM27" s="66">
        <f>$B27*'FOD Basics'!U$53</f>
        <v>2121.9241838333114</v>
      </c>
      <c r="AN27" s="66">
        <f>$B27*'FOD Basics'!V$53</f>
        <v>1949.5321935553015</v>
      </c>
      <c r="AO27" s="66">
        <f>$B27*'FOD Basics'!W$53</f>
        <v>1796.6238702350954</v>
      </c>
      <c r="AP27" s="66">
        <f>$B27*'FOD Basics'!X$53</f>
        <v>1659.5684516328008</v>
      </c>
      <c r="AQ27" s="66">
        <f>$B27*'FOD Basics'!Y$53</f>
        <v>1535.7015496520783</v>
      </c>
      <c r="AR27" s="66">
        <f>$B27*'FOD Basics'!Z$53</f>
        <v>1423.0286847353373</v>
      </c>
      <c r="AS27" s="66">
        <f>$B27*'FOD Basics'!AA$53</f>
        <v>1320.0240409476405</v>
      </c>
      <c r="AT27" s="66">
        <f>$B27*'FOD Basics'!AB$53</f>
        <v>1225.4933794170279</v>
      </c>
      <c r="AU27" s="66">
        <f>$B27*'FOD Basics'!AC$53</f>
        <v>1138.4802411362289</v>
      </c>
      <c r="AV27" s="66">
        <f>$B27*'FOD Basics'!AD$53</f>
        <v>1058.2014100314341</v>
      </c>
      <c r="AW27" s="66">
        <f>$B27*'FOD Basics'!AE$53</f>
        <v>984.0021981380105</v>
      </c>
      <c r="AX27" s="66">
        <f>$B27*'FOD Basics'!AF$53</f>
        <v>915.32519720843788</v>
      </c>
      <c r="AY27" s="66">
        <f>$B27*'FOD Basics'!AG$53</f>
        <v>851.68821164101632</v>
      </c>
      <c r="AZ27" s="66">
        <f>$B27*'FOD Basics'!AH$53</f>
        <v>792.66847921132921</v>
      </c>
      <c r="BA27" s="66">
        <f>$B27*'FOD Basics'!AI$53</f>
        <v>737.8912219985549</v>
      </c>
      <c r="BB27" s="66">
        <f>$B27*'FOD Basics'!AJ$53</f>
        <v>687.02119988479114</v>
      </c>
    </row>
    <row r="28" spans="1:54" x14ac:dyDescent="0.2">
      <c r="A28" s="64">
        <f t="shared" si="32"/>
        <v>2033</v>
      </c>
      <c r="B28" s="65">
        <f>'Input data'!M29</f>
        <v>262379.47165806894</v>
      </c>
      <c r="S28" s="66"/>
      <c r="T28" s="66"/>
      <c r="U28" s="66"/>
      <c r="V28" s="66"/>
      <c r="W28" s="66"/>
      <c r="X28" s="66">
        <f>$B28*'FOD Basics'!E$53</f>
        <v>51927.776635857888</v>
      </c>
      <c r="Y28" s="66">
        <f>$B28*'FOD Basics'!F$53</f>
        <v>36676.028281411796</v>
      </c>
      <c r="Z28" s="66">
        <f>$B28*'FOD Basics'!G$53</f>
        <v>26299.967922975789</v>
      </c>
      <c r="AA28" s="66">
        <f>$B28*'FOD Basics'!H$53</f>
        <v>19206.590565179624</v>
      </c>
      <c r="AB28" s="66">
        <f>$B28*'FOD Basics'!I$53</f>
        <v>14326.457561251205</v>
      </c>
      <c r="AC28" s="66">
        <f>$B28*'FOD Basics'!J$53</f>
        <v>10941.296733311927</v>
      </c>
      <c r="AD28" s="66">
        <f>$B28*'FOD Basics'!K$53</f>
        <v>8568.4094467700197</v>
      </c>
      <c r="AE28" s="66">
        <f>$B28*'FOD Basics'!L$53</f>
        <v>6883.1609913154334</v>
      </c>
      <c r="AF28" s="66">
        <f>$B28*'FOD Basics'!M$53</f>
        <v>5667.0027473101336</v>
      </c>
      <c r="AG28" s="66">
        <f>$B28*'FOD Basics'!N$53</f>
        <v>4772.6120225287968</v>
      </c>
      <c r="AH28" s="66">
        <f>$B28*'FOD Basics'!O$53</f>
        <v>4100.5089201361216</v>
      </c>
      <c r="AI28" s="66">
        <f>$B28*'FOD Basics'!P$53</f>
        <v>3583.3687909861678</v>
      </c>
      <c r="AJ28" s="66">
        <f>$B28*'FOD Basics'!Q$53</f>
        <v>3175.4951410357585</v>
      </c>
      <c r="AK28" s="66">
        <f>$B28*'FOD Basics'!R$53</f>
        <v>2845.7533503709415</v>
      </c>
      <c r="AL28" s="66">
        <f>$B28*'FOD Basics'!S$53</f>
        <v>2572.8256487370531</v>
      </c>
      <c r="AM28" s="66">
        <f>$B28*'FOD Basics'!T$53</f>
        <v>2342.02326943151</v>
      </c>
      <c r="AN28" s="66">
        <f>$B28*'FOD Basics'!U$53</f>
        <v>2143.1434256716443</v>
      </c>
      <c r="AO28" s="66">
        <f>$B28*'FOD Basics'!V$53</f>
        <v>1969.0275154908545</v>
      </c>
      <c r="AP28" s="66">
        <f>$B28*'FOD Basics'!W$53</f>
        <v>1814.5901089374465</v>
      </c>
      <c r="AQ28" s="66">
        <f>$B28*'FOD Basics'!X$53</f>
        <v>1676.1641361491288</v>
      </c>
      <c r="AR28" s="66">
        <f>$B28*'FOD Basics'!Y$53</f>
        <v>1551.0585651485992</v>
      </c>
      <c r="AS28" s="66">
        <f>$B28*'FOD Basics'!Z$53</f>
        <v>1437.2589715826907</v>
      </c>
      <c r="AT28" s="66">
        <f>$B28*'FOD Basics'!AA$53</f>
        <v>1333.224281357117</v>
      </c>
      <c r="AU28" s="66">
        <f>$B28*'FOD Basics'!AB$53</f>
        <v>1237.7483132111984</v>
      </c>
      <c r="AV28" s="66">
        <f>$B28*'FOD Basics'!AC$53</f>
        <v>1149.8650435475913</v>
      </c>
      <c r="AW28" s="66">
        <f>$B28*'FOD Basics'!AD$53</f>
        <v>1068.7834241317485</v>
      </c>
      <c r="AX28" s="66">
        <f>$B28*'FOD Basics'!AE$53</f>
        <v>993.84222011939062</v>
      </c>
      <c r="AY28" s="66">
        <f>$B28*'FOD Basics'!AF$53</f>
        <v>924.47844918052226</v>
      </c>
      <c r="AZ28" s="66">
        <f>$B28*'FOD Basics'!AG$53</f>
        <v>860.20509375742654</v>
      </c>
      <c r="BA28" s="66">
        <f>$B28*'FOD Basics'!AH$53</f>
        <v>800.59516400344251</v>
      </c>
      <c r="BB28" s="66">
        <f>$B28*'FOD Basics'!AI$53</f>
        <v>745.27013421854042</v>
      </c>
    </row>
    <row r="29" spans="1:54" x14ac:dyDescent="0.2">
      <c r="A29" s="64">
        <f t="shared" si="32"/>
        <v>2034</v>
      </c>
      <c r="B29" s="65">
        <f>'Input data'!M30</f>
        <v>265003.26637464965</v>
      </c>
      <c r="S29" s="66"/>
      <c r="T29" s="66"/>
      <c r="U29" s="66"/>
      <c r="V29" s="66"/>
      <c r="W29" s="66"/>
      <c r="X29" s="66"/>
      <c r="Y29" s="66">
        <f>$B29*'FOD Basics'!E$53</f>
        <v>52447.054402216469</v>
      </c>
      <c r="Z29" s="66">
        <f>$B29*'FOD Basics'!F$53</f>
        <v>37042.788564225913</v>
      </c>
      <c r="AA29" s="66">
        <f>$B29*'FOD Basics'!G$53</f>
        <v>26562.967602205546</v>
      </c>
      <c r="AB29" s="66">
        <f>$B29*'FOD Basics'!H$53</f>
        <v>19398.656470831422</v>
      </c>
      <c r="AC29" s="66">
        <f>$B29*'FOD Basics'!I$53</f>
        <v>14469.722136863718</v>
      </c>
      <c r="AD29" s="66">
        <f>$B29*'FOD Basics'!J$53</f>
        <v>11050.709700645048</v>
      </c>
      <c r="AE29" s="66">
        <f>$B29*'FOD Basics'!K$53</f>
        <v>8654.0935412377203</v>
      </c>
      <c r="AF29" s="66">
        <f>$B29*'FOD Basics'!L$53</f>
        <v>6951.9926012285887</v>
      </c>
      <c r="AG29" s="66">
        <f>$B29*'FOD Basics'!M$53</f>
        <v>5723.6727747832347</v>
      </c>
      <c r="AH29" s="66">
        <f>$B29*'FOD Basics'!N$53</f>
        <v>4820.3381427540853</v>
      </c>
      <c r="AI29" s="66">
        <f>$B29*'FOD Basics'!O$53</f>
        <v>4141.514009337483</v>
      </c>
      <c r="AJ29" s="66">
        <f>$B29*'FOD Basics'!P$53</f>
        <v>3619.2024788960298</v>
      </c>
      <c r="AK29" s="66">
        <f>$B29*'FOD Basics'!Q$53</f>
        <v>3207.250092446116</v>
      </c>
      <c r="AL29" s="66">
        <f>$B29*'FOD Basics'!R$53</f>
        <v>2874.2108838746508</v>
      </c>
      <c r="AM29" s="66">
        <f>$B29*'FOD Basics'!S$53</f>
        <v>2598.5539052244239</v>
      </c>
      <c r="AN29" s="66">
        <f>$B29*'FOD Basics'!T$53</f>
        <v>2365.4435021258255</v>
      </c>
      <c r="AO29" s="66">
        <f>$B29*'FOD Basics'!U$53</f>
        <v>2164.5748599283611</v>
      </c>
      <c r="AP29" s="66">
        <f>$B29*'FOD Basics'!V$53</f>
        <v>1988.7177906457632</v>
      </c>
      <c r="AQ29" s="66">
        <f>$B29*'FOD Basics'!W$53</f>
        <v>1832.7360100268211</v>
      </c>
      <c r="AR29" s="66">
        <f>$B29*'FOD Basics'!X$53</f>
        <v>1692.9257775106203</v>
      </c>
      <c r="AS29" s="66">
        <f>$B29*'FOD Basics'!Y$53</f>
        <v>1566.5691508000853</v>
      </c>
      <c r="AT29" s="66">
        <f>$B29*'FOD Basics'!Z$53</f>
        <v>1451.6315612985177</v>
      </c>
      <c r="AU29" s="66">
        <f>$B29*'FOD Basics'!AA$53</f>
        <v>1346.5565241706884</v>
      </c>
      <c r="AV29" s="66">
        <f>$B29*'FOD Basics'!AB$53</f>
        <v>1250.1257963433104</v>
      </c>
      <c r="AW29" s="66">
        <f>$B29*'FOD Basics'!AC$53</f>
        <v>1161.3636939830674</v>
      </c>
      <c r="AX29" s="66">
        <f>$B29*'FOD Basics'!AD$53</f>
        <v>1079.4712583730659</v>
      </c>
      <c r="AY29" s="66">
        <f>$B29*'FOD Basics'!AE$53</f>
        <v>1003.7806423205845</v>
      </c>
      <c r="AZ29" s="66">
        <f>$B29*'FOD Basics'!AF$53</f>
        <v>933.72323367232752</v>
      </c>
      <c r="BA29" s="66">
        <f>$B29*'FOD Basics'!AG$53</f>
        <v>868.80714469500094</v>
      </c>
      <c r="BB29" s="66">
        <f>$B29*'FOD Basics'!AH$53</f>
        <v>808.60111564347699</v>
      </c>
    </row>
    <row r="30" spans="1:54" x14ac:dyDescent="0.2">
      <c r="A30" s="64">
        <f t="shared" si="32"/>
        <v>2035</v>
      </c>
      <c r="B30" s="65">
        <f>'Input data'!M31</f>
        <v>267653.29903839616</v>
      </c>
      <c r="S30" s="66"/>
      <c r="T30" s="66"/>
      <c r="U30" s="66"/>
      <c r="V30" s="66"/>
      <c r="W30" s="66"/>
      <c r="X30" s="66"/>
      <c r="Y30" s="66"/>
      <c r="Z30" s="66">
        <f>$B30*'FOD Basics'!E$53</f>
        <v>52971.524946238635</v>
      </c>
      <c r="AA30" s="66">
        <f>$B30*'FOD Basics'!F$53</f>
        <v>37413.216449868174</v>
      </c>
      <c r="AB30" s="66">
        <f>$B30*'FOD Basics'!G$53</f>
        <v>26828.597278227604</v>
      </c>
      <c r="AC30" s="66">
        <f>$B30*'FOD Basics'!H$53</f>
        <v>19592.643035539739</v>
      </c>
      <c r="AD30" s="66">
        <f>$B30*'FOD Basics'!I$53</f>
        <v>14614.419358232355</v>
      </c>
      <c r="AE30" s="66">
        <f>$B30*'FOD Basics'!J$53</f>
        <v>11161.216797651497</v>
      </c>
      <c r="AF30" s="66">
        <f>$B30*'FOD Basics'!K$53</f>
        <v>8740.6344766500988</v>
      </c>
      <c r="AG30" s="66">
        <f>$B30*'FOD Basics'!L$53</f>
        <v>7021.512527240875</v>
      </c>
      <c r="AH30" s="66">
        <f>$B30*'FOD Basics'!M$53</f>
        <v>5780.9095025310671</v>
      </c>
      <c r="AI30" s="66">
        <f>$B30*'FOD Basics'!N$53</f>
        <v>4868.5415241816263</v>
      </c>
      <c r="AJ30" s="66">
        <f>$B30*'FOD Basics'!O$53</f>
        <v>4182.9291494308582</v>
      </c>
      <c r="AK30" s="66">
        <f>$B30*'FOD Basics'!P$53</f>
        <v>3655.3945036849905</v>
      </c>
      <c r="AL30" s="66">
        <f>$B30*'FOD Basics'!Q$53</f>
        <v>3239.3225933705776</v>
      </c>
      <c r="AM30" s="66">
        <f>$B30*'FOD Basics'!R$53</f>
        <v>2902.9529927133976</v>
      </c>
      <c r="AN30" s="66">
        <f>$B30*'FOD Basics'!S$53</f>
        <v>2624.5394442766678</v>
      </c>
      <c r="AO30" s="66">
        <f>$B30*'FOD Basics'!T$53</f>
        <v>2389.0979371470839</v>
      </c>
      <c r="AP30" s="66">
        <f>$B30*'FOD Basics'!U$53</f>
        <v>2186.2206085276448</v>
      </c>
      <c r="AQ30" s="66">
        <f>$B30*'FOD Basics'!V$53</f>
        <v>2008.604968552221</v>
      </c>
      <c r="AR30" s="66">
        <f>$B30*'FOD Basics'!W$53</f>
        <v>1851.0633701270895</v>
      </c>
      <c r="AS30" s="66">
        <f>$B30*'FOD Basics'!X$53</f>
        <v>1709.8550352857264</v>
      </c>
      <c r="AT30" s="66">
        <f>$B30*'FOD Basics'!Y$53</f>
        <v>1582.2348423080862</v>
      </c>
      <c r="AU30" s="66">
        <f>$B30*'FOD Basics'!Z$53</f>
        <v>1466.1478769115031</v>
      </c>
      <c r="AV30" s="66">
        <f>$B30*'FOD Basics'!AA$53</f>
        <v>1360.0220894123952</v>
      </c>
      <c r="AW30" s="66">
        <f>$B30*'FOD Basics'!AB$53</f>
        <v>1262.6270543067435</v>
      </c>
      <c r="AX30" s="66">
        <f>$B30*'FOD Basics'!AC$53</f>
        <v>1172.9773309228981</v>
      </c>
      <c r="AY30" s="66">
        <f>$B30*'FOD Basics'!AD$53</f>
        <v>1090.2659709567965</v>
      </c>
      <c r="AZ30" s="66">
        <f>$B30*'FOD Basics'!AE$53</f>
        <v>1013.8184487437904</v>
      </c>
      <c r="BA30" s="66">
        <f>$B30*'FOD Basics'!AF$53</f>
        <v>943.06046600905086</v>
      </c>
      <c r="BB30" s="66">
        <f>$B30*'FOD Basics'!AG$53</f>
        <v>877.49521614195089</v>
      </c>
    </row>
    <row r="31" spans="1:54" x14ac:dyDescent="0.2">
      <c r="A31" s="64">
        <f t="shared" si="32"/>
        <v>2036</v>
      </c>
      <c r="B31" s="65">
        <f>'Input data'!M32</f>
        <v>270329.83202878013</v>
      </c>
      <c r="S31" s="66"/>
      <c r="T31" s="66"/>
      <c r="U31" s="66"/>
      <c r="V31" s="66"/>
      <c r="W31" s="66"/>
      <c r="X31" s="66"/>
      <c r="Y31" s="66"/>
      <c r="Z31" s="66"/>
      <c r="AA31" s="66">
        <f>$B31*'FOD Basics'!E$53</f>
        <v>53501.240195701022</v>
      </c>
      <c r="AB31" s="66">
        <f>$B31*'FOD Basics'!F$53</f>
        <v>37787.348614366856</v>
      </c>
      <c r="AC31" s="66">
        <f>$B31*'FOD Basics'!G$53</f>
        <v>27096.88325100988</v>
      </c>
      <c r="AD31" s="66">
        <f>$B31*'FOD Basics'!H$53</f>
        <v>19788.569465895136</v>
      </c>
      <c r="AE31" s="66">
        <f>$B31*'FOD Basics'!I$53</f>
        <v>14760.563551814681</v>
      </c>
      <c r="AF31" s="66">
        <f>$B31*'FOD Basics'!J$53</f>
        <v>11272.828965628014</v>
      </c>
      <c r="AG31" s="66">
        <f>$B31*'FOD Basics'!K$53</f>
        <v>8828.0408214166</v>
      </c>
      <c r="AH31" s="66">
        <f>$B31*'FOD Basics'!L$53</f>
        <v>7091.7276525132838</v>
      </c>
      <c r="AI31" s="66">
        <f>$B31*'FOD Basics'!M$53</f>
        <v>5838.7185975563789</v>
      </c>
      <c r="AJ31" s="66">
        <f>$B31*'FOD Basics'!N$53</f>
        <v>4917.2269394234427</v>
      </c>
      <c r="AK31" s="66">
        <f>$B31*'FOD Basics'!O$53</f>
        <v>4224.7584409251667</v>
      </c>
      <c r="AL31" s="66">
        <f>$B31*'FOD Basics'!P$53</f>
        <v>3691.9484487218401</v>
      </c>
      <c r="AM31" s="66">
        <f>$B31*'FOD Basics'!Q$53</f>
        <v>3271.7158193042833</v>
      </c>
      <c r="AN31" s="66">
        <f>$B31*'FOD Basics'!R$53</f>
        <v>2931.9825226405319</v>
      </c>
      <c r="AO31" s="66">
        <f>$B31*'FOD Basics'!S$53</f>
        <v>2650.7848387194349</v>
      </c>
      <c r="AP31" s="66">
        <f>$B31*'FOD Basics'!T$53</f>
        <v>2412.9889165185546</v>
      </c>
      <c r="AQ31" s="66">
        <f>$B31*'FOD Basics'!U$53</f>
        <v>2208.0828146129215</v>
      </c>
      <c r="AR31" s="66">
        <f>$B31*'FOD Basics'!V$53</f>
        <v>2028.6910182377433</v>
      </c>
      <c r="AS31" s="66">
        <f>$B31*'FOD Basics'!W$53</f>
        <v>1869.5740038283604</v>
      </c>
      <c r="AT31" s="66">
        <f>$B31*'FOD Basics'!X$53</f>
        <v>1726.9535856385837</v>
      </c>
      <c r="AU31" s="66">
        <f>$B31*'FOD Basics'!Y$53</f>
        <v>1598.0571907311671</v>
      </c>
      <c r="AV31" s="66">
        <f>$B31*'FOD Basics'!Z$53</f>
        <v>1480.8093556806182</v>
      </c>
      <c r="AW31" s="66">
        <f>$B31*'FOD Basics'!AA$53</f>
        <v>1373.6223103065192</v>
      </c>
      <c r="AX31" s="66">
        <f>$B31*'FOD Basics'!AB$53</f>
        <v>1275.253324849811</v>
      </c>
      <c r="AY31" s="66">
        <f>$B31*'FOD Basics'!AC$53</f>
        <v>1184.707104232127</v>
      </c>
      <c r="AZ31" s="66">
        <f>$B31*'FOD Basics'!AD$53</f>
        <v>1101.1686306663646</v>
      </c>
      <c r="BA31" s="66">
        <f>$B31*'FOD Basics'!AE$53</f>
        <v>1023.9566332312285</v>
      </c>
      <c r="BB31" s="66">
        <f>$B31*'FOD Basics'!AF$53</f>
        <v>952.49107066914144</v>
      </c>
    </row>
    <row r="32" spans="1:54" x14ac:dyDescent="0.2">
      <c r="A32" s="64">
        <f t="shared" si="32"/>
        <v>2037</v>
      </c>
      <c r="B32" s="65">
        <f>'Input data'!M33</f>
        <v>273033.13034906791</v>
      </c>
      <c r="S32" s="66"/>
      <c r="T32" s="66"/>
      <c r="U32" s="66"/>
      <c r="V32" s="66"/>
      <c r="W32" s="66"/>
      <c r="X32" s="66"/>
      <c r="Y32" s="66"/>
      <c r="Z32" s="66"/>
      <c r="AA32" s="66"/>
      <c r="AB32" s="66">
        <f>$B32*'FOD Basics'!E$53</f>
        <v>54036.252597658029</v>
      </c>
      <c r="AC32" s="66">
        <f>$B32*'FOD Basics'!F$53</f>
        <v>38165.222100510524</v>
      </c>
      <c r="AD32" s="66">
        <f>$B32*'FOD Basics'!G$53</f>
        <v>27367.852083519978</v>
      </c>
      <c r="AE32" s="66">
        <f>$B32*'FOD Basics'!H$53</f>
        <v>19986.455160554087</v>
      </c>
      <c r="AF32" s="66">
        <f>$B32*'FOD Basics'!I$53</f>
        <v>14908.169187332825</v>
      </c>
      <c r="AG32" s="66">
        <f>$B32*'FOD Basics'!J$53</f>
        <v>11385.557255284293</v>
      </c>
      <c r="AH32" s="66">
        <f>$B32*'FOD Basics'!K$53</f>
        <v>8916.3212296307647</v>
      </c>
      <c r="AI32" s="66">
        <f>$B32*'FOD Basics'!L$53</f>
        <v>7162.6449290384162</v>
      </c>
      <c r="AJ32" s="66">
        <f>$B32*'FOD Basics'!M$53</f>
        <v>5897.1057835319416</v>
      </c>
      <c r="AK32" s="66">
        <f>$B32*'FOD Basics'!N$53</f>
        <v>4966.3992088176765</v>
      </c>
      <c r="AL32" s="66">
        <f>$B32*'FOD Basics'!O$53</f>
        <v>4267.0060253344182</v>
      </c>
      <c r="AM32" s="66">
        <f>$B32*'FOD Basics'!P$53</f>
        <v>3728.8679332090583</v>
      </c>
      <c r="AN32" s="66">
        <f>$B32*'FOD Basics'!Q$53</f>
        <v>3304.4329774973257</v>
      </c>
      <c r="AO32" s="66">
        <f>$B32*'FOD Basics'!R$53</f>
        <v>2961.302347866937</v>
      </c>
      <c r="AP32" s="66">
        <f>$B32*'FOD Basics'!S$53</f>
        <v>2677.2926871066288</v>
      </c>
      <c r="AQ32" s="66">
        <f>$B32*'FOD Basics'!T$53</f>
        <v>2437.11880568374</v>
      </c>
      <c r="AR32" s="66">
        <f>$B32*'FOD Basics'!U$53</f>
        <v>2230.1636427590502</v>
      </c>
      <c r="AS32" s="66">
        <f>$B32*'FOD Basics'!V$53</f>
        <v>2048.9779284201204</v>
      </c>
      <c r="AT32" s="66">
        <f>$B32*'FOD Basics'!W$53</f>
        <v>1888.2697438666439</v>
      </c>
      <c r="AU32" s="66">
        <f>$B32*'FOD Basics'!X$53</f>
        <v>1744.2231214949695</v>
      </c>
      <c r="AV32" s="66">
        <f>$B32*'FOD Basics'!Y$53</f>
        <v>1614.0377626384786</v>
      </c>
      <c r="AW32" s="66">
        <f>$B32*'FOD Basics'!Z$53</f>
        <v>1495.6174492374241</v>
      </c>
      <c r="AX32" s="66">
        <f>$B32*'FOD Basics'!AA$53</f>
        <v>1387.3585334095842</v>
      </c>
      <c r="AY32" s="66">
        <f>$B32*'FOD Basics'!AB$53</f>
        <v>1288.0058580983091</v>
      </c>
      <c r="AZ32" s="66">
        <f>$B32*'FOD Basics'!AC$53</f>
        <v>1196.5541752744482</v>
      </c>
      <c r="BA32" s="66">
        <f>$B32*'FOD Basics'!AD$53</f>
        <v>1112.1803169730283</v>
      </c>
      <c r="BB32" s="66">
        <f>$B32*'FOD Basics'!AE$53</f>
        <v>1034.1961995635406</v>
      </c>
    </row>
    <row r="33" spans="1:82" x14ac:dyDescent="0.2">
      <c r="A33" s="64">
        <f t="shared" si="32"/>
        <v>2038</v>
      </c>
      <c r="B33" s="65">
        <f>'Input data'!M34</f>
        <v>275763.46165255859</v>
      </c>
      <c r="S33" s="66"/>
      <c r="T33" s="66"/>
      <c r="U33" s="66"/>
      <c r="V33" s="66"/>
      <c r="W33" s="66"/>
      <c r="X33" s="66"/>
      <c r="Y33" s="66"/>
      <c r="Z33" s="66"/>
      <c r="AA33" s="66"/>
      <c r="AB33" s="66"/>
      <c r="AC33" s="66">
        <f>$B33*'FOD Basics'!E$53</f>
        <v>54576.615123634612</v>
      </c>
      <c r="AD33" s="66">
        <f>$B33*'FOD Basics'!F$53</f>
        <v>38546.874321515628</v>
      </c>
      <c r="AE33" s="66">
        <f>$B33*'FOD Basics'!G$53</f>
        <v>27641.530604355179</v>
      </c>
      <c r="AF33" s="66">
        <f>$B33*'FOD Basics'!H$53</f>
        <v>20186.319712159628</v>
      </c>
      <c r="AG33" s="66">
        <f>$B33*'FOD Basics'!I$53</f>
        <v>15057.250879206154</v>
      </c>
      <c r="AH33" s="66">
        <f>$B33*'FOD Basics'!J$53</f>
        <v>11499.412827837135</v>
      </c>
      <c r="AI33" s="66">
        <f>$B33*'FOD Basics'!K$53</f>
        <v>9005.4844419270721</v>
      </c>
      <c r="AJ33" s="66">
        <f>$B33*'FOD Basics'!L$53</f>
        <v>7234.2713783288</v>
      </c>
      <c r="AK33" s="66">
        <f>$B33*'FOD Basics'!M$53</f>
        <v>5956.0768413672613</v>
      </c>
      <c r="AL33" s="66">
        <f>$B33*'FOD Basics'!N$53</f>
        <v>5016.0632009058536</v>
      </c>
      <c r="AM33" s="66">
        <f>$B33*'FOD Basics'!O$53</f>
        <v>4309.6760855877619</v>
      </c>
      <c r="AN33" s="66">
        <f>$B33*'FOD Basics'!P$53</f>
        <v>3766.1566125411491</v>
      </c>
      <c r="AO33" s="66">
        <f>$B33*'FOD Basics'!Q$53</f>
        <v>3337.4773072722992</v>
      </c>
      <c r="AP33" s="66">
        <f>$B33*'FOD Basics'!R$53</f>
        <v>2990.9153713456062</v>
      </c>
      <c r="AQ33" s="66">
        <f>$B33*'FOD Basics'!S$53</f>
        <v>2704.0656139776952</v>
      </c>
      <c r="AR33" s="66">
        <f>$B33*'FOD Basics'!T$53</f>
        <v>2461.4899937405776</v>
      </c>
      <c r="AS33" s="66">
        <f>$B33*'FOD Basics'!U$53</f>
        <v>2252.4652791866411</v>
      </c>
      <c r="AT33" s="66">
        <f>$B33*'FOD Basics'!V$53</f>
        <v>2069.4677077043216</v>
      </c>
      <c r="AU33" s="66">
        <f>$B33*'FOD Basics'!W$53</f>
        <v>1907.1524413053103</v>
      </c>
      <c r="AV33" s="66">
        <f>$B33*'FOD Basics'!X$53</f>
        <v>1761.665352709919</v>
      </c>
      <c r="AW33" s="66">
        <f>$B33*'FOD Basics'!Y$53</f>
        <v>1630.1781402648635</v>
      </c>
      <c r="AX33" s="66">
        <f>$B33*'FOD Basics'!Z$53</f>
        <v>1510.5736237297983</v>
      </c>
      <c r="AY33" s="66">
        <f>$B33*'FOD Basics'!AA$53</f>
        <v>1401.2321187436801</v>
      </c>
      <c r="AZ33" s="66">
        <f>$B33*'FOD Basics'!AB$53</f>
        <v>1300.885916679292</v>
      </c>
      <c r="BA33" s="66">
        <f>$B33*'FOD Basics'!AC$53</f>
        <v>1208.5197170271927</v>
      </c>
      <c r="BB33" s="66">
        <f>$B33*'FOD Basics'!AD$53</f>
        <v>1123.3021201427584</v>
      </c>
    </row>
    <row r="34" spans="1:82" ht="14.25" x14ac:dyDescent="0.2">
      <c r="A34" s="64">
        <f t="shared" si="32"/>
        <v>2039</v>
      </c>
      <c r="B34" s="65">
        <f>'Input data'!M35</f>
        <v>278521.0962690842</v>
      </c>
      <c r="C34" s="68"/>
      <c r="S34" s="66"/>
      <c r="T34" s="66"/>
      <c r="U34" s="66"/>
      <c r="V34" s="66"/>
      <c r="W34" s="66"/>
      <c r="X34" s="66"/>
      <c r="Y34" s="66"/>
      <c r="Z34" s="66"/>
      <c r="AA34" s="66"/>
      <c r="AB34" s="66"/>
      <c r="AC34" s="66"/>
      <c r="AD34" s="66">
        <f>$B34*'FOD Basics'!E$53</f>
        <v>55122.381274870961</v>
      </c>
      <c r="AE34" s="66">
        <f>$B34*'FOD Basics'!F$53</f>
        <v>38932.343064730791</v>
      </c>
      <c r="AF34" s="66">
        <f>$B34*'FOD Basics'!G$53</f>
        <v>27917.945910398732</v>
      </c>
      <c r="AG34" s="66">
        <f>$B34*'FOD Basics'!H$53</f>
        <v>20388.182909281226</v>
      </c>
      <c r="AH34" s="66">
        <f>$B34*'FOD Basics'!I$53</f>
        <v>15207.823387998216</v>
      </c>
      <c r="AI34" s="66">
        <f>$B34*'FOD Basics'!J$53</f>
        <v>11614.406956115508</v>
      </c>
      <c r="AJ34" s="66">
        <f>$B34*'FOD Basics'!K$53</f>
        <v>9095.5392863463439</v>
      </c>
      <c r="AK34" s="66">
        <f>$B34*'FOD Basics'!L$53</f>
        <v>7306.6140921120887</v>
      </c>
      <c r="AL34" s="66">
        <f>$B34*'FOD Basics'!M$53</f>
        <v>6015.6376097809343</v>
      </c>
      <c r="AM34" s="66">
        <f>$B34*'FOD Basics'!N$53</f>
        <v>5066.2238329149122</v>
      </c>
      <c r="AN34" s="66">
        <f>$B34*'FOD Basics'!O$53</f>
        <v>4352.7728464436404</v>
      </c>
      <c r="AO34" s="66">
        <f>$B34*'FOD Basics'!P$53</f>
        <v>3803.8181786665609</v>
      </c>
      <c r="AP34" s="66">
        <f>$B34*'FOD Basics'!Q$53</f>
        <v>3370.8520803450224</v>
      </c>
      <c r="AQ34" s="66">
        <f>$B34*'FOD Basics'!R$53</f>
        <v>3020.8245250590626</v>
      </c>
      <c r="AR34" s="66">
        <f>$B34*'FOD Basics'!S$53</f>
        <v>2731.1062701174724</v>
      </c>
      <c r="AS34" s="66">
        <f>$B34*'FOD Basics'!T$53</f>
        <v>2486.1048936779835</v>
      </c>
      <c r="AT34" s="66">
        <f>$B34*'FOD Basics'!U$53</f>
        <v>2274.9899319785072</v>
      </c>
      <c r="AU34" s="66">
        <f>$B34*'FOD Basics'!V$53</f>
        <v>2090.1623847813648</v>
      </c>
      <c r="AV34" s="66">
        <f>$B34*'FOD Basics'!W$53</f>
        <v>1926.2239657183634</v>
      </c>
      <c r="AW34" s="66">
        <f>$B34*'FOD Basics'!X$53</f>
        <v>1779.2820062370185</v>
      </c>
      <c r="AX34" s="66">
        <f>$B34*'FOD Basics'!Y$53</f>
        <v>1646.4799216675121</v>
      </c>
      <c r="AY34" s="66">
        <f>$B34*'FOD Basics'!Z$53</f>
        <v>1525.6793599670966</v>
      </c>
      <c r="AZ34" s="66">
        <f>$B34*'FOD Basics'!AA$53</f>
        <v>1415.2444399311171</v>
      </c>
      <c r="BA34" s="66">
        <f>$B34*'FOD Basics'!AB$53</f>
        <v>1313.8947758460852</v>
      </c>
      <c r="BB34" s="66">
        <f>$B34*'FOD Basics'!AC$53</f>
        <v>1220.6049141974647</v>
      </c>
    </row>
    <row r="35" spans="1:82" x14ac:dyDescent="0.2">
      <c r="A35" s="64">
        <f t="shared" si="32"/>
        <v>2040</v>
      </c>
      <c r="B35" s="65">
        <f>'Input data'!M36</f>
        <v>281306.30723177502</v>
      </c>
      <c r="S35" s="66"/>
      <c r="T35" s="66"/>
      <c r="U35" s="66"/>
      <c r="V35" s="66"/>
      <c r="W35" s="66"/>
      <c r="X35" s="66"/>
      <c r="Y35" s="66"/>
      <c r="Z35" s="66"/>
      <c r="AA35" s="66"/>
      <c r="AB35" s="66"/>
      <c r="AC35" s="66"/>
      <c r="AD35" s="66"/>
      <c r="AE35" s="66">
        <f>$B35*'FOD Basics'!E$53</f>
        <v>55673.605087619668</v>
      </c>
      <c r="AF35" s="66">
        <f>$B35*'FOD Basics'!F$53</f>
        <v>39321.666495378093</v>
      </c>
      <c r="AG35" s="66">
        <f>$B35*'FOD Basics'!G$53</f>
        <v>28197.125369502715</v>
      </c>
      <c r="AH35" s="66">
        <f>$B35*'FOD Basics'!H$53</f>
        <v>20592.064738374036</v>
      </c>
      <c r="AI35" s="66">
        <f>$B35*'FOD Basics'!I$53</f>
        <v>15359.901621878198</v>
      </c>
      <c r="AJ35" s="66">
        <f>$B35*'FOD Basics'!J$53</f>
        <v>11730.551025676661</v>
      </c>
      <c r="AK35" s="66">
        <f>$B35*'FOD Basics'!K$53</f>
        <v>9186.4946792098071</v>
      </c>
      <c r="AL35" s="66">
        <f>$B35*'FOD Basics'!L$53</f>
        <v>7379.6802330332093</v>
      </c>
      <c r="AM35" s="66">
        <f>$B35*'FOD Basics'!M$53</f>
        <v>6075.7939858787431</v>
      </c>
      <c r="AN35" s="66">
        <f>$B35*'FOD Basics'!N$53</f>
        <v>5116.886071244061</v>
      </c>
      <c r="AO35" s="66">
        <f>$B35*'FOD Basics'!O$53</f>
        <v>4396.3005749080767</v>
      </c>
      <c r="AP35" s="66">
        <f>$B35*'FOD Basics'!P$53</f>
        <v>3841.856360453226</v>
      </c>
      <c r="AQ35" s="66">
        <f>$B35*'FOD Basics'!Q$53</f>
        <v>3404.5606011484724</v>
      </c>
      <c r="AR35" s="66">
        <f>$B35*'FOD Basics'!R$53</f>
        <v>3051.0327703096527</v>
      </c>
      <c r="AS35" s="66">
        <f>$B35*'FOD Basics'!S$53</f>
        <v>2758.4173328186471</v>
      </c>
      <c r="AT35" s="66">
        <f>$B35*'FOD Basics'!T$53</f>
        <v>2510.9659426147632</v>
      </c>
      <c r="AU35" s="66">
        <f>$B35*'FOD Basics'!U$53</f>
        <v>2297.7398312982923</v>
      </c>
      <c r="AV35" s="66">
        <f>$B35*'FOD Basics'!V$53</f>
        <v>2111.0640086291787</v>
      </c>
      <c r="AW35" s="66">
        <f>$B35*'FOD Basics'!W$53</f>
        <v>1945.4862053755469</v>
      </c>
      <c r="AX35" s="66">
        <f>$B35*'FOD Basics'!X$53</f>
        <v>1797.0748262993886</v>
      </c>
      <c r="AY35" s="66">
        <f>$B35*'FOD Basics'!Y$53</f>
        <v>1662.9447208841871</v>
      </c>
      <c r="AZ35" s="66">
        <f>$B35*'FOD Basics'!Z$53</f>
        <v>1540.9361535667674</v>
      </c>
      <c r="BA35" s="66">
        <f>$B35*'FOD Basics'!AA$53</f>
        <v>1429.3968843304281</v>
      </c>
      <c r="BB35" s="66">
        <f>$B35*'FOD Basics'!AB$53</f>
        <v>1327.0337236045459</v>
      </c>
    </row>
    <row r="36" spans="1:82" x14ac:dyDescent="0.2">
      <c r="A36" s="64">
        <f t="shared" si="32"/>
        <v>2041</v>
      </c>
      <c r="B36" s="65">
        <f>'Input data'!M37</f>
        <v>284119.37030409276</v>
      </c>
      <c r="S36" s="66"/>
      <c r="T36" s="66"/>
      <c r="U36" s="66"/>
      <c r="V36" s="66"/>
      <c r="W36" s="66"/>
      <c r="X36" s="66"/>
      <c r="Y36" s="66"/>
      <c r="Z36" s="66"/>
      <c r="AA36" s="66"/>
      <c r="AB36" s="66"/>
      <c r="AC36" s="66"/>
      <c r="AD36" s="66"/>
      <c r="AE36" s="66"/>
      <c r="AF36" s="66">
        <f>$B36*'FOD Basics'!$E$53</f>
        <v>56230.341138495867</v>
      </c>
      <c r="AG36" s="66">
        <f>$B36*'FOD Basics'!$F$53</f>
        <v>39714.883160331876</v>
      </c>
      <c r="AH36" s="66">
        <f>$B36*'FOD Basics'!$G$53</f>
        <v>28479.096623197744</v>
      </c>
      <c r="AI36" s="66">
        <f>$B36*'FOD Basics'!$H$53</f>
        <v>20797.985385757776</v>
      </c>
      <c r="AJ36" s="66">
        <f>$B36*'FOD Basics'!$I$53</f>
        <v>15513.500638096979</v>
      </c>
      <c r="AK36" s="66">
        <f>$B36*'FOD Basics'!$J$53</f>
        <v>11847.856535933428</v>
      </c>
      <c r="AL36" s="66">
        <f>$B36*'FOD Basics'!$K$53</f>
        <v>9278.3596260019058</v>
      </c>
      <c r="AM36" s="66">
        <f>$B36*'FOD Basics'!$L$53</f>
        <v>7453.4770353635413</v>
      </c>
      <c r="AN36" s="66">
        <f>$B36*'FOD Basics'!$M$53</f>
        <v>6136.5519257375308</v>
      </c>
      <c r="AO36" s="66">
        <f>$B36*'FOD Basics'!$N$53</f>
        <v>5168.0549319565016</v>
      </c>
      <c r="AP36" s="66">
        <f>$B36*'FOD Basics'!$O$53</f>
        <v>4440.263580657157</v>
      </c>
      <c r="AQ36" s="66">
        <f>$B36*'FOD Basics'!$P$53</f>
        <v>3880.2749240577582</v>
      </c>
      <c r="AR36" s="66">
        <f>$B36*'FOD Basics'!$Q$53</f>
        <v>3438.6062071599572</v>
      </c>
      <c r="AS36" s="66">
        <f>$B36*'FOD Basics'!$R$53</f>
        <v>3081.5430980127494</v>
      </c>
      <c r="AT36" s="66">
        <f>$B36*'FOD Basics'!$S$53</f>
        <v>2786.0015061468334</v>
      </c>
      <c r="AU36" s="66">
        <f>$B36*'FOD Basics'!$T$53</f>
        <v>2536.0756020409108</v>
      </c>
      <c r="AV36" s="66">
        <f>$B36*'FOD Basics'!$U$53</f>
        <v>2320.7172296112753</v>
      </c>
      <c r="AW36" s="66">
        <f>$B36*'FOD Basics'!$V$53</f>
        <v>2132.1746487154701</v>
      </c>
      <c r="AX36" s="66">
        <f>$B36*'FOD Basics'!$W$53</f>
        <v>1964.9410674293024</v>
      </c>
      <c r="AY36" s="66">
        <f>$B36*'FOD Basics'!$X$53</f>
        <v>1815.0455745623824</v>
      </c>
      <c r="AZ36" s="66">
        <f>$B36*'FOD Basics'!$Y$53</f>
        <v>1679.5741680930289</v>
      </c>
      <c r="BA36" s="66">
        <f>$B36*'FOD Basics'!$Z$53</f>
        <v>1556.345515102435</v>
      </c>
      <c r="BB36" s="66">
        <f>$B36*'FOD Basics'!$AA$53</f>
        <v>1443.6908531737324</v>
      </c>
      <c r="BC36" s="66">
        <f>$B36*'FOD Basics'!$AB$53</f>
        <v>1340.3040608405913</v>
      </c>
      <c r="BD36" s="66">
        <f>$B36*'FOD Basics'!$AC$53</f>
        <v>1245.1390729728337</v>
      </c>
      <c r="BE36" s="66">
        <f>$B36*'FOD Basics'!$AD$53</f>
        <v>1157.3392976852042</v>
      </c>
      <c r="BF36" s="66">
        <f>$B36*'FOD Basics'!$AE$53</f>
        <v>1076.1887123925806</v>
      </c>
      <c r="BG36" s="66">
        <f>$B36*'FOD Basics'!$AF$53</f>
        <v>1001.0776879037769</v>
      </c>
      <c r="BH36" s="66">
        <f>$B36*'FOD Basics'!$AG$53</f>
        <v>931.4788539906607</v>
      </c>
      <c r="BI36" s="66">
        <f>$B36*'FOD Basics'!$AH$53</f>
        <v>866.9298418345403</v>
      </c>
      <c r="BJ36" s="66">
        <f>$B36*'FOD Basics'!$AI$53</f>
        <v>807.02076234288575</v>
      </c>
      <c r="BK36" s="66">
        <f>$B36*'FOD Basics'!$AJ$53</f>
        <v>751.38496833593467</v>
      </c>
      <c r="BL36" s="66">
        <f>$B36*'FOD Basics'!$AK$53</f>
        <v>699.692112895474</v>
      </c>
      <c r="BM36" s="66">
        <f>$B36*'FOD Basics'!$AL$53</f>
        <v>651.64282946273045</v>
      </c>
      <c r="BN36" s="66">
        <f>$B36*'FOD Basics'!$AM$53</f>
        <v>606.96457103860405</v>
      </c>
      <c r="BO36" s="66">
        <f>$B36*'FOD Basics'!$AN$53</f>
        <v>565.40828928579617</v>
      </c>
      <c r="BP36" s="66">
        <f>$B36*'FOD Basics'!$AO$53</f>
        <v>526.74573175938542</v>
      </c>
      <c r="BQ36" s="66">
        <f>$B36*'FOD Basics'!$AP$53</f>
        <v>490.76720188286646</v>
      </c>
      <c r="BR36" s="66">
        <f>$B36*'FOD Basics'!$AQ$53</f>
        <v>457.27967171258996</v>
      </c>
      <c r="BS36" s="66">
        <f>$B36*'FOD Basics'!$AR$53</f>
        <v>426.10516877094267</v>
      </c>
      <c r="BT36" s="66">
        <f>$B36*'FOD Basics'!$AS$53</f>
        <v>397.07937984004923</v>
      </c>
      <c r="BU36" s="66">
        <f>$B36*'FOD Basics'!$AT$53</f>
        <v>370.05042966919581</v>
      </c>
      <c r="BV36" s="66">
        <f>$B36*'FOD Basics'!$AU$53</f>
        <v>344.87780313712574</v>
      </c>
      <c r="BW36" s="66">
        <f>$B36*'FOD Basics'!$AV$53</f>
        <v>321.43138692926351</v>
      </c>
      <c r="BX36" s="66">
        <f>$B36*'FOD Basics'!$AW$53</f>
        <v>299.59061219180336</v>
      </c>
      <c r="BY36" s="66">
        <f>$B36*'FOD Basics'!$AX$53</f>
        <v>279.24368355650546</v>
      </c>
      <c r="BZ36" s="66">
        <f>$B36*'FOD Basics'!$AY$53</f>
        <v>260.2868828332945</v>
      </c>
      <c r="CA36" s="66">
        <f>$B36*'FOD Basics'!$AZ$53</f>
        <v>242.62393784458749</v>
      </c>
      <c r="CB36" s="66">
        <f>$B36*'FOD Basics'!$BA$53</f>
        <v>226.16544853372494</v>
      </c>
      <c r="CC36" s="66">
        <f>$B36*'FOD Basics'!$BB$53</f>
        <v>210.82836376397006</v>
      </c>
      <c r="CD36" s="66">
        <f>$B36*'FOD Basics'!$BC$53</f>
        <v>196.53550323477299</v>
      </c>
    </row>
    <row r="37" spans="1:82" x14ac:dyDescent="0.2">
      <c r="A37" s="64">
        <f t="shared" si="32"/>
        <v>2042</v>
      </c>
      <c r="B37" s="65">
        <f>'Input data'!M38</f>
        <v>286960.56400713371</v>
      </c>
      <c r="S37" s="66"/>
      <c r="T37" s="66"/>
      <c r="U37" s="66"/>
      <c r="V37" s="66"/>
      <c r="W37" s="66"/>
      <c r="X37" s="66"/>
      <c r="Y37" s="66"/>
      <c r="Z37" s="66"/>
      <c r="AA37" s="66"/>
      <c r="AB37" s="66"/>
      <c r="AC37" s="66"/>
      <c r="AD37" s="66"/>
      <c r="AE37" s="66"/>
      <c r="AG37" s="66">
        <f>$B37*'FOD Basics'!$E$53</f>
        <v>56792.644549880824</v>
      </c>
      <c r="AH37" s="66">
        <f>$B37*'FOD Basics'!$F$53</f>
        <v>40112.031991935197</v>
      </c>
      <c r="AI37" s="66">
        <f>$B37*'FOD Basics'!$G$53</f>
        <v>28763.887589429723</v>
      </c>
      <c r="AJ37" s="66">
        <f>$B37*'FOD Basics'!$H$53</f>
        <v>21005.965239615354</v>
      </c>
      <c r="AK37" s="66">
        <f>$B37*'FOD Basics'!$I$53</f>
        <v>15668.63564447795</v>
      </c>
      <c r="AL37" s="66">
        <f>$B37*'FOD Basics'!$J$53</f>
        <v>11966.335101292763</v>
      </c>
      <c r="AM37" s="66">
        <f>$B37*'FOD Basics'!$K$53</f>
        <v>9371.1432222619242</v>
      </c>
      <c r="AN37" s="66">
        <f>$B37*'FOD Basics'!$L$53</f>
        <v>7528.0118057171767</v>
      </c>
      <c r="AO37" s="66">
        <f>$B37*'FOD Basics'!$M$53</f>
        <v>6197.917444994906</v>
      </c>
      <c r="AP37" s="66">
        <f>$B37*'FOD Basics'!$N$53</f>
        <v>5219.7354812760668</v>
      </c>
      <c r="AQ37" s="66">
        <f>$B37*'FOD Basics'!$O$53</f>
        <v>4484.6662164637291</v>
      </c>
      <c r="AR37" s="66">
        <f>$B37*'FOD Basics'!$P$53</f>
        <v>3919.0776732983363</v>
      </c>
      <c r="AS37" s="66">
        <f>$B37*'FOD Basics'!$Q$53</f>
        <v>3472.9922692315567</v>
      </c>
      <c r="AT37" s="66">
        <f>$B37*'FOD Basics'!$R$53</f>
        <v>3112.3585289928769</v>
      </c>
      <c r="AU37" s="66">
        <f>$B37*'FOD Basics'!$S$53</f>
        <v>2813.8615212083018</v>
      </c>
      <c r="AV37" s="66">
        <f>$B37*'FOD Basics'!$T$53</f>
        <v>2561.4363580613199</v>
      </c>
      <c r="AW37" s="66">
        <f>$B37*'FOD Basics'!$U$53</f>
        <v>2343.9244019073881</v>
      </c>
      <c r="AX37" s="66">
        <f>$B37*'FOD Basics'!$V$53</f>
        <v>2153.4963952026251</v>
      </c>
      <c r="AY37" s="66">
        <f>$B37*'FOD Basics'!$W$53</f>
        <v>1984.5904781035956</v>
      </c>
      <c r="AZ37" s="66">
        <f>$B37*'FOD Basics'!$X$53</f>
        <v>1833.1960303080064</v>
      </c>
      <c r="BA37" s="66">
        <f>$B37*'FOD Basics'!$Y$53</f>
        <v>1696.3699097739593</v>
      </c>
      <c r="BB37" s="66">
        <f>$B37*'FOD Basics'!$Z$53</f>
        <v>1571.9089702534595</v>
      </c>
      <c r="BC37" s="66">
        <f>$B37*'FOD Basics'!$AA$53</f>
        <v>1458.1277617054698</v>
      </c>
      <c r="BD37" s="66">
        <f>$B37*'FOD Basics'!$AB$53</f>
        <v>1353.7071014489973</v>
      </c>
      <c r="BE37" s="66">
        <f>$B37*'FOD Basics'!$AC$53</f>
        <v>1257.5904637025621</v>
      </c>
      <c r="BF37" s="66">
        <f>$B37*'FOD Basics'!$AD$53</f>
        <v>1168.9126906620563</v>
      </c>
      <c r="BG37" s="66">
        <f>$B37*'FOD Basics'!$AE$53</f>
        <v>1086.9505995165066</v>
      </c>
      <c r="BH37" s="66">
        <f>$B37*'FOD Basics'!$AF$53</f>
        <v>1011.0884647828148</v>
      </c>
      <c r="BI37" s="66">
        <f>$B37*'FOD Basics'!$AG$53</f>
        <v>940.79364253056747</v>
      </c>
      <c r="BJ37" s="66">
        <f>$B37*'FOD Basics'!$AH$53</f>
        <v>875.59914025288583</v>
      </c>
      <c r="BK37" s="66">
        <f>$B37*'FOD Basics'!$AI$53</f>
        <v>815.09096996631467</v>
      </c>
      <c r="BL37" s="66">
        <f>$B37*'FOD Basics'!$AJ$53</f>
        <v>758.89881801929414</v>
      </c>
      <c r="BM37" s="66">
        <f>$B37*'FOD Basics'!$AK$53</f>
        <v>706.68903402442879</v>
      </c>
      <c r="BN37" s="66">
        <f>$B37*'FOD Basics'!$AL$53</f>
        <v>658.15925775735775</v>
      </c>
      <c r="BO37" s="66">
        <f>$B37*'FOD Basics'!$AM$53</f>
        <v>613.03421674899016</v>
      </c>
      <c r="BP37" s="66">
        <f>$B37*'FOD Basics'!$AN$53</f>
        <v>571.06237217865419</v>
      </c>
      <c r="BQ37" s="66">
        <f>$B37*'FOD Basics'!$AO$53</f>
        <v>532.0131890769793</v>
      </c>
      <c r="BR37" s="66">
        <f>$B37*'FOD Basics'!$AP$53</f>
        <v>495.67487390169515</v>
      </c>
      <c r="BS37" s="66">
        <f>$B37*'FOD Basics'!$AQ$53</f>
        <v>461.85246842971588</v>
      </c>
      <c r="BT37" s="66">
        <f>$B37*'FOD Basics'!$AR$53</f>
        <v>430.36622045865209</v>
      </c>
      <c r="BU37" s="66">
        <f>$B37*'FOD Basics'!$AS$53</f>
        <v>401.05017363844973</v>
      </c>
      <c r="BV37" s="66">
        <f>$B37*'FOD Basics'!$AT$53</f>
        <v>373.75093396588778</v>
      </c>
      <c r="BW37" s="66">
        <f>$B37*'FOD Basics'!$AU$53</f>
        <v>348.326581168497</v>
      </c>
      <c r="BX37" s="66">
        <f>$B37*'FOD Basics'!$AV$53</f>
        <v>324.64570079855622</v>
      </c>
      <c r="BY37" s="66">
        <f>$B37*'FOD Basics'!$AW$53</f>
        <v>302.58651831372146</v>
      </c>
      <c r="BZ37" s="66">
        <f>$B37*'FOD Basics'!$AX$53</f>
        <v>282.03612039207053</v>
      </c>
      <c r="CA37" s="66">
        <f>$B37*'FOD Basics'!$AY$53</f>
        <v>262.88975166162743</v>
      </c>
      <c r="CB37" s="66">
        <f>$B37*'FOD Basics'!$AZ$53</f>
        <v>245.05017722303339</v>
      </c>
      <c r="CC37" s="66">
        <f>$B37*'FOD Basics'!$BA$53</f>
        <v>228.4271030190622</v>
      </c>
      <c r="CD37" s="66">
        <f>$B37*'FOD Basics'!$BB$53</f>
        <v>212.93664740160978</v>
      </c>
    </row>
    <row r="38" spans="1:82" x14ac:dyDescent="0.2">
      <c r="A38" s="64">
        <f t="shared" si="32"/>
        <v>2043</v>
      </c>
      <c r="B38" s="65">
        <f>'Input data'!M39</f>
        <v>289830.16964720504</v>
      </c>
      <c r="S38" s="66"/>
      <c r="T38" s="66"/>
      <c r="U38" s="66"/>
      <c r="V38" s="66"/>
      <c r="W38" s="66"/>
      <c r="X38" s="66"/>
      <c r="Y38" s="66"/>
      <c r="Z38" s="66"/>
      <c r="AA38" s="66"/>
      <c r="AB38" s="66"/>
      <c r="AC38" s="66"/>
      <c r="AD38" s="66"/>
      <c r="AE38" s="66"/>
      <c r="AG38" s="67"/>
      <c r="AH38" s="66">
        <f>$B38*'FOD Basics'!$E$53</f>
        <v>57360.570995379632</v>
      </c>
      <c r="AI38" s="66">
        <f>$B38*'FOD Basics'!$F$53</f>
        <v>40513.152311854545</v>
      </c>
      <c r="AJ38" s="66">
        <f>$B38*'FOD Basics'!$G$53</f>
        <v>29051.526465324019</v>
      </c>
      <c r="AK38" s="66">
        <f>$B38*'FOD Basics'!$H$53</f>
        <v>21216.024892011508</v>
      </c>
      <c r="AL38" s="66">
        <f>$B38*'FOD Basics'!$I$53</f>
        <v>15825.32200092273</v>
      </c>
      <c r="AM38" s="66">
        <f>$B38*'FOD Basics'!$J$53</f>
        <v>12085.99845230569</v>
      </c>
      <c r="AN38" s="66">
        <f>$B38*'FOD Basics'!$K$53</f>
        <v>9464.8546544845431</v>
      </c>
      <c r="AO38" s="66">
        <f>$B38*'FOD Basics'!$L$53</f>
        <v>7603.2919237743481</v>
      </c>
      <c r="AP38" s="66">
        <f>$B38*'FOD Basics'!$M$53</f>
        <v>6259.8966194448549</v>
      </c>
      <c r="AQ38" s="66">
        <f>$B38*'FOD Basics'!$N$53</f>
        <v>5271.9328360888276</v>
      </c>
      <c r="AR38" s="66">
        <f>$B38*'FOD Basics'!$O$53</f>
        <v>4529.5128786283658</v>
      </c>
      <c r="AS38" s="66">
        <f>$B38*'FOD Basics'!$P$53</f>
        <v>3958.2684500313194</v>
      </c>
      <c r="AT38" s="66">
        <f>$B38*'FOD Basics'!$Q$53</f>
        <v>3507.7221919238723</v>
      </c>
      <c r="AU38" s="66">
        <f>$B38*'FOD Basics'!$R$53</f>
        <v>3143.4821142828059</v>
      </c>
      <c r="AV38" s="66">
        <f>$B38*'FOD Basics'!$S$53</f>
        <v>2842.0001364203849</v>
      </c>
      <c r="AW38" s="66">
        <f>$B38*'FOD Basics'!$T$53</f>
        <v>2587.0507216419328</v>
      </c>
      <c r="AX38" s="66">
        <f>$B38*'FOD Basics'!$U$53</f>
        <v>2367.3636459264621</v>
      </c>
      <c r="AY38" s="66">
        <f>$B38*'FOD Basics'!$V$53</f>
        <v>2175.0313591546515</v>
      </c>
      <c r="AZ38" s="66">
        <f>$B38*'FOD Basics'!$W$53</f>
        <v>2004.4363828846315</v>
      </c>
      <c r="BA38" s="66">
        <f>$B38*'FOD Basics'!$X$53</f>
        <v>1851.5279906110864</v>
      </c>
      <c r="BB38" s="66">
        <f>$B38*'FOD Basics'!$Y$53</f>
        <v>1713.333608871699</v>
      </c>
      <c r="BC38" s="66">
        <f>$B38*'FOD Basics'!$Z$53</f>
        <v>1587.6280599559941</v>
      </c>
      <c r="BD38" s="66">
        <f>$B38*'FOD Basics'!$AA$53</f>
        <v>1472.7090393225244</v>
      </c>
      <c r="BE38" s="66">
        <f>$B38*'FOD Basics'!$AB$53</f>
        <v>1367.2441724634873</v>
      </c>
      <c r="BF38" s="66">
        <f>$B38*'FOD Basics'!$AC$53</f>
        <v>1270.1663683395875</v>
      </c>
      <c r="BG38" s="66">
        <f>$B38*'FOD Basics'!$AD$53</f>
        <v>1180.6018175686768</v>
      </c>
      <c r="BH38" s="66">
        <f>$B38*'FOD Basics'!$AE$53</f>
        <v>1097.8201055116715</v>
      </c>
      <c r="BI38" s="66">
        <f>$B38*'FOD Basics'!$AF$53</f>
        <v>1021.1993494306429</v>
      </c>
      <c r="BJ38" s="66">
        <f>$B38*'FOD Basics'!$AG$53</f>
        <v>950.20157895587306</v>
      </c>
      <c r="BK38" s="66">
        <f>$B38*'FOD Basics'!$AH$53</f>
        <v>884.35513165541465</v>
      </c>
      <c r="BL38" s="66">
        <f>$B38*'FOD Basics'!$AI$53</f>
        <v>823.24187966597788</v>
      </c>
      <c r="BM38" s="66">
        <f>$B38*'FOD Basics'!$AJ$53</f>
        <v>766.48780619948707</v>
      </c>
      <c r="BN38" s="66">
        <f>$B38*'FOD Basics'!$AK$53</f>
        <v>713.75592436467309</v>
      </c>
      <c r="BO38" s="66">
        <f>$B38*'FOD Basics'!$AL$53</f>
        <v>664.74085033493134</v>
      </c>
      <c r="BP38" s="66">
        <f>$B38*'FOD Basics'!$AM$53</f>
        <v>619.16455891648002</v>
      </c>
      <c r="BQ38" s="66">
        <f>$B38*'FOD Basics'!$AN$53</f>
        <v>576.77299590044072</v>
      </c>
      <c r="BR38" s="66">
        <f>$B38*'FOD Basics'!$AO$53</f>
        <v>537.33332096774916</v>
      </c>
      <c r="BS38" s="66">
        <f>$B38*'FOD Basics'!$AP$53</f>
        <v>500.63162264071207</v>
      </c>
      <c r="BT38" s="66">
        <f>$B38*'FOD Basics'!$AQ$53</f>
        <v>466.47099311401303</v>
      </c>
      <c r="BU38" s="66">
        <f>$B38*'FOD Basics'!$AR$53</f>
        <v>434.66988266323864</v>
      </c>
      <c r="BV38" s="66">
        <f>$B38*'FOD Basics'!$AS$53</f>
        <v>405.0606753748342</v>
      </c>
      <c r="BW38" s="66">
        <f>$B38*'FOD Basics'!$AT$53</f>
        <v>377.48844330554664</v>
      </c>
      <c r="BX38" s="66">
        <f>$B38*'FOD Basics'!$AU$53</f>
        <v>351.80984698018199</v>
      </c>
      <c r="BY38" s="66">
        <f>$B38*'FOD Basics'!$AV$53</f>
        <v>327.89215780654172</v>
      </c>
      <c r="BZ38" s="66">
        <f>$B38*'FOD Basics'!$AW$53</f>
        <v>305.61238349685863</v>
      </c>
      <c r="CA38" s="66">
        <f>$B38*'FOD Basics'!$AX$53</f>
        <v>284.85648159599123</v>
      </c>
      <c r="CB38" s="66">
        <f>$B38*'FOD Basics'!$AY$53</f>
        <v>265.51864917824372</v>
      </c>
      <c r="CC38" s="66">
        <f>$B38*'FOD Basics'!$AZ$53</f>
        <v>247.50067899526371</v>
      </c>
      <c r="CD38" s="66">
        <f>$B38*'FOD Basics'!$BA$53</f>
        <v>230.71137404925284</v>
      </c>
    </row>
    <row r="39" spans="1:82" x14ac:dyDescent="0.2">
      <c r="A39" s="64">
        <f t="shared" si="32"/>
        <v>2044</v>
      </c>
      <c r="B39" s="65">
        <f>'Input data'!M40</f>
        <v>292728.47134367708</v>
      </c>
      <c r="S39" s="66"/>
      <c r="T39" s="66"/>
      <c r="U39" s="66"/>
      <c r="V39" s="66"/>
      <c r="W39" s="66"/>
      <c r="X39" s="66"/>
      <c r="Y39" s="66"/>
      <c r="Z39" s="66"/>
      <c r="AA39" s="66"/>
      <c r="AB39" s="66"/>
      <c r="AC39" s="66"/>
      <c r="AD39" s="66"/>
      <c r="AE39" s="66"/>
      <c r="AG39" s="67"/>
      <c r="AH39" s="67"/>
      <c r="AI39" s="66">
        <f>$B39*'FOD Basics'!$E$53</f>
        <v>57934.176705333426</v>
      </c>
      <c r="AJ39" s="66">
        <f>$B39*'FOD Basics'!$F$53</f>
        <v>40918.283834973088</v>
      </c>
      <c r="AK39" s="66">
        <f>$B39*'FOD Basics'!$G$53</f>
        <v>29342.04172997726</v>
      </c>
      <c r="AL39" s="66">
        <f>$B39*'FOD Basics'!$H$53</f>
        <v>21428.185140931622</v>
      </c>
      <c r="AM39" s="66">
        <f>$B39*'FOD Basics'!$I$53</f>
        <v>15983.575220931956</v>
      </c>
      <c r="AN39" s="66">
        <f>$B39*'FOD Basics'!$J$53</f>
        <v>12206.858436828747</v>
      </c>
      <c r="AO39" s="66">
        <f>$B39*'FOD Basics'!$K$53</f>
        <v>9559.5032010293889</v>
      </c>
      <c r="AP39" s="66">
        <f>$B39*'FOD Basics'!$L$53</f>
        <v>7679.3248430120921</v>
      </c>
      <c r="AQ39" s="66">
        <f>$B39*'FOD Basics'!$M$53</f>
        <v>6322.4955856393035</v>
      </c>
      <c r="AR39" s="66">
        <f>$B39*'FOD Basics'!$N$53</f>
        <v>5324.6521644497161</v>
      </c>
      <c r="AS39" s="66">
        <f>$B39*'FOD Basics'!$O$53</f>
        <v>4574.8080074146492</v>
      </c>
      <c r="AT39" s="66">
        <f>$B39*'FOD Basics'!$P$53</f>
        <v>3997.8511345316324</v>
      </c>
      <c r="AU39" s="66">
        <f>$B39*'FOD Basics'!$Q$53</f>
        <v>3542.7994138431109</v>
      </c>
      <c r="AV39" s="66">
        <f>$B39*'FOD Basics'!$R$53</f>
        <v>3174.9169354256337</v>
      </c>
      <c r="AW39" s="66">
        <f>$B39*'FOD Basics'!$S$53</f>
        <v>2870.4201377845884</v>
      </c>
      <c r="AX39" s="66">
        <f>$B39*'FOD Basics'!$T$53</f>
        <v>2612.9212288583522</v>
      </c>
      <c r="AY39" s="66">
        <f>$B39*'FOD Basics'!$U$53</f>
        <v>2391.0372823857265</v>
      </c>
      <c r="AZ39" s="66">
        <f>$B39*'FOD Basics'!$V$53</f>
        <v>2196.7816727461977</v>
      </c>
      <c r="BA39" s="66">
        <f>$B39*'FOD Basics'!$W$53</f>
        <v>2024.4807467134776</v>
      </c>
      <c r="BB39" s="66">
        <f>$B39*'FOD Basics'!$X$53</f>
        <v>1870.0432705171972</v>
      </c>
      <c r="BC39" s="66">
        <f>$B39*'FOD Basics'!$Y$53</f>
        <v>1730.466944960416</v>
      </c>
      <c r="BD39" s="66">
        <f>$B39*'FOD Basics'!$Z$53</f>
        <v>1603.5043405555539</v>
      </c>
      <c r="BE39" s="66">
        <f>$B39*'FOD Basics'!$AA$53</f>
        <v>1487.4361297157495</v>
      </c>
      <c r="BF39" s="66">
        <f>$B39*'FOD Basics'!$AB$53</f>
        <v>1380.9166141881221</v>
      </c>
      <c r="BG39" s="66">
        <f>$B39*'FOD Basics'!$AC$53</f>
        <v>1282.8680320229835</v>
      </c>
      <c r="BH39" s="66">
        <f>$B39*'FOD Basics'!$AD$53</f>
        <v>1192.4078357443636</v>
      </c>
      <c r="BI39" s="66">
        <f>$B39*'FOD Basics'!$AE$53</f>
        <v>1108.7983065667881</v>
      </c>
      <c r="BJ39" s="66">
        <f>$B39*'FOD Basics'!$AF$53</f>
        <v>1031.4113429249492</v>
      </c>
      <c r="BK39" s="66">
        <f>$B39*'FOD Basics'!$AG$53</f>
        <v>959.70359474543181</v>
      </c>
      <c r="BL39" s="66">
        <f>$B39*'FOD Basics'!$AH$53</f>
        <v>893.19868297196876</v>
      </c>
      <c r="BM39" s="66">
        <f>$B39*'FOD Basics'!$AI$53</f>
        <v>831.47429846263765</v>
      </c>
      <c r="BN39" s="66">
        <f>$B39*'FOD Basics'!$AJ$53</f>
        <v>774.15268426148191</v>
      </c>
      <c r="BO39" s="66">
        <f>$B39*'FOD Basics'!$AK$53</f>
        <v>720.8934836083198</v>
      </c>
      <c r="BP39" s="66">
        <f>$B39*'FOD Basics'!$AL$53</f>
        <v>671.38825883828065</v>
      </c>
      <c r="BQ39" s="66">
        <f>$B39*'FOD Basics'!$AM$53</f>
        <v>625.35620450564477</v>
      </c>
      <c r="BR39" s="66">
        <f>$B39*'FOD Basics'!$AN$53</f>
        <v>582.54072585944505</v>
      </c>
      <c r="BS39" s="66">
        <f>$B39*'FOD Basics'!$AO$53</f>
        <v>542.70665417742657</v>
      </c>
      <c r="BT39" s="66">
        <f>$B39*'FOD Basics'!$AP$53</f>
        <v>505.6379388671192</v>
      </c>
      <c r="BU39" s="66">
        <f>$B39*'FOD Basics'!$AQ$53</f>
        <v>471.13570304515315</v>
      </c>
      <c r="BV39" s="66">
        <f>$B39*'FOD Basics'!$AR$53</f>
        <v>439.01658148987099</v>
      </c>
      <c r="BW39" s="66">
        <f>$B39*'FOD Basics'!$AS$53</f>
        <v>409.11128212858256</v>
      </c>
      <c r="BX39" s="66">
        <f>$B39*'FOD Basics'!$AT$53</f>
        <v>381.26332773860213</v>
      </c>
      <c r="BY39" s="66">
        <f>$B39*'FOD Basics'!$AU$53</f>
        <v>355.32794544998382</v>
      </c>
      <c r="BZ39" s="66">
        <f>$B39*'FOD Basics'!$AV$53</f>
        <v>331.17107938460714</v>
      </c>
      <c r="CA39" s="66">
        <f>$B39*'FOD Basics'!$AW$53</f>
        <v>308.66850733182724</v>
      </c>
      <c r="CB39" s="66">
        <f>$B39*'FOD Basics'!$AX$53</f>
        <v>287.70504641195112</v>
      </c>
      <c r="CC39" s="66">
        <f>$B39*'FOD Basics'!$AY$53</f>
        <v>268.17383567002616</v>
      </c>
      <c r="CD39" s="66">
        <f>$B39*'FOD Basics'!$AZ$53</f>
        <v>249.97568578521634</v>
      </c>
    </row>
    <row r="40" spans="1:82" x14ac:dyDescent="0.2">
      <c r="A40" s="64">
        <f t="shared" si="32"/>
        <v>2045</v>
      </c>
      <c r="B40" s="65">
        <f>'Input data'!M41</f>
        <v>295655.75605711387</v>
      </c>
      <c r="S40" s="66"/>
      <c r="T40" s="66"/>
      <c r="U40" s="66"/>
      <c r="V40" s="66"/>
      <c r="W40" s="66"/>
      <c r="X40" s="66"/>
      <c r="Y40" s="66"/>
      <c r="Z40" s="66"/>
      <c r="AA40" s="66"/>
      <c r="AB40" s="66"/>
      <c r="AC40" s="66"/>
      <c r="AD40" s="66"/>
      <c r="AE40" s="66"/>
      <c r="AG40" s="67"/>
      <c r="AH40" s="67"/>
      <c r="AI40" s="67"/>
      <c r="AJ40" s="66">
        <f>$B40*'FOD Basics'!$E$53</f>
        <v>58513.518472386764</v>
      </c>
      <c r="AK40" s="66">
        <f>$B40*'FOD Basics'!$F$53</f>
        <v>41327.466673322822</v>
      </c>
      <c r="AL40" s="66">
        <f>$B40*'FOD Basics'!$G$53</f>
        <v>29635.462147277034</v>
      </c>
      <c r="AM40" s="66">
        <f>$B40*'FOD Basics'!$H$53</f>
        <v>21642.466992340938</v>
      </c>
      <c r="AN40" s="66">
        <f>$B40*'FOD Basics'!$I$53</f>
        <v>16143.410973141277</v>
      </c>
      <c r="AO40" s="66">
        <f>$B40*'FOD Basics'!$J$53</f>
        <v>12328.927021197036</v>
      </c>
      <c r="AP40" s="66">
        <f>$B40*'FOD Basics'!$K$53</f>
        <v>9655.0982330396837</v>
      </c>
      <c r="AQ40" s="66">
        <f>$B40*'FOD Basics'!$L$53</f>
        <v>7756.118091442213</v>
      </c>
      <c r="AR40" s="66">
        <f>$B40*'FOD Basics'!$M$53</f>
        <v>6385.720541495697</v>
      </c>
      <c r="AS40" s="66">
        <f>$B40*'FOD Basics'!$N$53</f>
        <v>5377.8986860942132</v>
      </c>
      <c r="AT40" s="66">
        <f>$B40*'FOD Basics'!$O$53</f>
        <v>4620.556087488796</v>
      </c>
      <c r="AU40" s="66">
        <f>$B40*'FOD Basics'!$P$53</f>
        <v>4037.8296458769491</v>
      </c>
      <c r="AV40" s="66">
        <f>$B40*'FOD Basics'!$Q$53</f>
        <v>3578.2274079815425</v>
      </c>
      <c r="AW40" s="66">
        <f>$B40*'FOD Basics'!$R$53</f>
        <v>3206.6661047798902</v>
      </c>
      <c r="AX40" s="66">
        <f>$B40*'FOD Basics'!$S$53</f>
        <v>2899.1243391624348</v>
      </c>
      <c r="AY40" s="66">
        <f>$B40*'FOD Basics'!$T$53</f>
        <v>2639.050441146936</v>
      </c>
      <c r="AZ40" s="66">
        <f>$B40*'FOD Basics'!$U$53</f>
        <v>2414.9476552095839</v>
      </c>
      <c r="BA40" s="66">
        <f>$B40*'FOD Basics'!$V$53</f>
        <v>2218.7494894736601</v>
      </c>
      <c r="BB40" s="66">
        <f>$B40*'FOD Basics'!$W$53</f>
        <v>2044.7255541806126</v>
      </c>
      <c r="BC40" s="66">
        <f>$B40*'FOD Basics'!$X$53</f>
        <v>1888.7437032223693</v>
      </c>
      <c r="BD40" s="66">
        <f>$B40*'FOD Basics'!$Y$53</f>
        <v>1747.7716144100202</v>
      </c>
      <c r="BE40" s="66">
        <f>$B40*'FOD Basics'!$Z$53</f>
        <v>1619.5393839611095</v>
      </c>
      <c r="BF40" s="66">
        <f>$B40*'FOD Basics'!$AA$53</f>
        <v>1502.3104910129073</v>
      </c>
      <c r="BG40" s="66">
        <f>$B40*'FOD Basics'!$AB$53</f>
        <v>1394.7257803300033</v>
      </c>
      <c r="BH40" s="66">
        <f>$B40*'FOD Basics'!$AC$53</f>
        <v>1295.6967123432134</v>
      </c>
      <c r="BI40" s="66">
        <f>$B40*'FOD Basics'!$AD$53</f>
        <v>1204.3319141018073</v>
      </c>
      <c r="BJ40" s="66">
        <f>$B40*'FOD Basics'!$AE$53</f>
        <v>1119.8862896324563</v>
      </c>
      <c r="BK40" s="66">
        <f>$B40*'FOD Basics'!$AF$53</f>
        <v>1041.7254563541987</v>
      </c>
      <c r="BL40" s="66">
        <f>$B40*'FOD Basics'!$AG$53</f>
        <v>969.3006306928861</v>
      </c>
      <c r="BM40" s="66">
        <f>$B40*'FOD Basics'!$AH$53</f>
        <v>902.13066980168855</v>
      </c>
      <c r="BN40" s="66">
        <f>$B40*'FOD Basics'!$AI$53</f>
        <v>839.78904144726403</v>
      </c>
      <c r="BO40" s="66">
        <f>$B40*'FOD Basics'!$AJ$53</f>
        <v>781.89421110409671</v>
      </c>
      <c r="BP40" s="66">
        <f>$B40*'FOD Basics'!$AK$53</f>
        <v>728.10241844440304</v>
      </c>
      <c r="BQ40" s="66">
        <f>$B40*'FOD Basics'!$AL$53</f>
        <v>678.10214142666348</v>
      </c>
      <c r="BR40" s="66">
        <f>$B40*'FOD Basics'!$AM$53</f>
        <v>631.60976655070124</v>
      </c>
      <c r="BS40" s="66">
        <f>$B40*'FOD Basics'!$AN$53</f>
        <v>588.36613311803956</v>
      </c>
      <c r="BT40" s="66">
        <f>$B40*'FOD Basics'!$AO$53</f>
        <v>548.13372071920094</v>
      </c>
      <c r="BU40" s="66">
        <f>$B40*'FOD Basics'!$AP$53</f>
        <v>510.69431825579039</v>
      </c>
      <c r="BV40" s="66">
        <f>$B40*'FOD Basics'!$AQ$53</f>
        <v>475.8470600756047</v>
      </c>
      <c r="BW40" s="66">
        <f>$B40*'FOD Basics'!$AR$53</f>
        <v>443.40674730476974</v>
      </c>
      <c r="BX40" s="66">
        <f>$B40*'FOD Basics'!$AS$53</f>
        <v>413.20239494986839</v>
      </c>
      <c r="BY40" s="66">
        <f>$B40*'FOD Basics'!$AT$53</f>
        <v>385.07596101598818</v>
      </c>
      <c r="BZ40" s="66">
        <f>$B40*'FOD Basics'!$AU$53</f>
        <v>358.88122490448364</v>
      </c>
      <c r="CA40" s="66">
        <f>$B40*'FOD Basics'!$AV$53</f>
        <v>334.48279017845323</v>
      </c>
      <c r="CB40" s="66">
        <f>$B40*'FOD Basics'!$AW$53</f>
        <v>311.75519240514552</v>
      </c>
      <c r="CC40" s="66">
        <f>$B40*'FOD Basics'!$AX$53</f>
        <v>290.58209687607064</v>
      </c>
      <c r="CD40" s="66">
        <f>$B40*'FOD Basics'!$AY$53</f>
        <v>270.8555740267264</v>
      </c>
    </row>
    <row r="41" spans="1:82" x14ac:dyDescent="0.2">
      <c r="A41" s="64">
        <f t="shared" si="32"/>
        <v>2046</v>
      </c>
      <c r="B41" s="65">
        <f>'Input data'!M42</f>
        <v>298612.31361768499</v>
      </c>
      <c r="S41" s="66"/>
      <c r="T41" s="66"/>
      <c r="U41" s="66"/>
      <c r="V41" s="66"/>
      <c r="W41" s="66"/>
      <c r="X41" s="66"/>
      <c r="Y41" s="66"/>
      <c r="Z41" s="66"/>
      <c r="AA41" s="66"/>
      <c r="AB41" s="66"/>
      <c r="AC41" s="66"/>
      <c r="AD41" s="66"/>
      <c r="AE41" s="66"/>
      <c r="AG41" s="67"/>
      <c r="AH41" s="67"/>
      <c r="AI41" s="67"/>
      <c r="AJ41" s="67"/>
      <c r="AK41" s="66">
        <f>$B41*'FOD Basics'!$E$53</f>
        <v>59098.653657110634</v>
      </c>
      <c r="AL41" s="66">
        <f>$B41*'FOD Basics'!$F$53</f>
        <v>41740.741340056047</v>
      </c>
      <c r="AM41" s="66">
        <f>$B41*'FOD Basics'!$G$53</f>
        <v>29931.816768749803</v>
      </c>
      <c r="AN41" s="66">
        <f>$B41*'FOD Basics'!$H$53</f>
        <v>21858.891662264348</v>
      </c>
      <c r="AO41" s="66">
        <f>$B41*'FOD Basics'!$I$53</f>
        <v>16304.845082872689</v>
      </c>
      <c r="AP41" s="66">
        <f>$B41*'FOD Basics'!$J$53</f>
        <v>12452.216291409006</v>
      </c>
      <c r="AQ41" s="66">
        <f>$B41*'FOD Basics'!$K$53</f>
        <v>9751.6492153700801</v>
      </c>
      <c r="AR41" s="66">
        <f>$B41*'FOD Basics'!$L$53</f>
        <v>7833.679272356635</v>
      </c>
      <c r="AS41" s="66">
        <f>$B41*'FOD Basics'!$M$53</f>
        <v>6449.5777469106533</v>
      </c>
      <c r="AT41" s="66">
        <f>$B41*'FOD Basics'!$N$53</f>
        <v>5431.6776729551548</v>
      </c>
      <c r="AU41" s="66">
        <f>$B41*'FOD Basics'!$O$53</f>
        <v>4666.7616483636839</v>
      </c>
      <c r="AV41" s="66">
        <f>$B41*'FOD Basics'!$P$53</f>
        <v>4078.2079423357181</v>
      </c>
      <c r="AW41" s="66">
        <f>$B41*'FOD Basics'!$Q$53</f>
        <v>3614.0096820613576</v>
      </c>
      <c r="AX41" s="66">
        <f>$B41*'FOD Basics'!$R$53</f>
        <v>3238.732765827689</v>
      </c>
      <c r="AY41" s="66">
        <f>$B41*'FOD Basics'!$S$53</f>
        <v>2928.1155825540591</v>
      </c>
      <c r="AZ41" s="66">
        <f>$B41*'FOD Basics'!$T$53</f>
        <v>2665.440945558405</v>
      </c>
      <c r="BA41" s="66">
        <f>$B41*'FOD Basics'!$U$53</f>
        <v>2439.0971317616795</v>
      </c>
      <c r="BB41" s="66">
        <f>$B41*'FOD Basics'!$V$53</f>
        <v>2240.9369843683962</v>
      </c>
      <c r="BC41" s="66">
        <f>$B41*'FOD Basics'!$W$53</f>
        <v>2065.1728097224186</v>
      </c>
      <c r="BD41" s="66">
        <f>$B41*'FOD Basics'!$X$53</f>
        <v>1907.6311402545928</v>
      </c>
      <c r="BE41" s="66">
        <f>$B41*'FOD Basics'!$Y$53</f>
        <v>1765.2493305541202</v>
      </c>
      <c r="BF41" s="66">
        <f>$B41*'FOD Basics'!$Z$53</f>
        <v>1635.7347778007206</v>
      </c>
      <c r="BG41" s="66">
        <f>$B41*'FOD Basics'!$AA$53</f>
        <v>1517.3335959230362</v>
      </c>
      <c r="BH41" s="66">
        <f>$B41*'FOD Basics'!$AB$53</f>
        <v>1408.6730381333034</v>
      </c>
      <c r="BI41" s="66">
        <f>$B41*'FOD Basics'!$AC$53</f>
        <v>1308.6536794666454</v>
      </c>
      <c r="BJ41" s="66">
        <f>$B41*'FOD Basics'!$AD$53</f>
        <v>1216.3752332428253</v>
      </c>
      <c r="BK41" s="66">
        <f>$B41*'FOD Basics'!$AE$53</f>
        <v>1131.0851525287806</v>
      </c>
      <c r="BL41" s="66">
        <f>$B41*'FOD Basics'!$AF$53</f>
        <v>1052.1427109177407</v>
      </c>
      <c r="BM41" s="66">
        <f>$B41*'FOD Basics'!$AG$53</f>
        <v>978.99363699981495</v>
      </c>
      <c r="BN41" s="66">
        <f>$B41*'FOD Basics'!$AH$53</f>
        <v>911.15197649970537</v>
      </c>
      <c r="BO41" s="66">
        <f>$B41*'FOD Basics'!$AI$53</f>
        <v>848.18693186173664</v>
      </c>
      <c r="BP41" s="66">
        <f>$B41*'FOD Basics'!$AJ$53</f>
        <v>789.71315321513771</v>
      </c>
      <c r="BQ41" s="66">
        <f>$B41*'FOD Basics'!$AK$53</f>
        <v>735.38344262884698</v>
      </c>
      <c r="BR41" s="66">
        <f>$B41*'FOD Basics'!$AL$53</f>
        <v>684.88316284093003</v>
      </c>
      <c r="BS41" s="66">
        <f>$B41*'FOD Basics'!$AM$53</f>
        <v>637.9258642162082</v>
      </c>
      <c r="BT41" s="66">
        <f>$B41*'FOD Basics'!$AN$53</f>
        <v>594.24979444921996</v>
      </c>
      <c r="BU41" s="66">
        <f>$B41*'FOD Basics'!$AO$53</f>
        <v>553.61505792639286</v>
      </c>
      <c r="BV41" s="66">
        <f>$B41*'FOD Basics'!$AP$53</f>
        <v>515.80126143834832</v>
      </c>
      <c r="BW41" s="66">
        <f>$B41*'FOD Basics'!$AQ$53</f>
        <v>480.60553067636073</v>
      </c>
      <c r="BX41" s="66">
        <f>$B41*'FOD Basics'!$AR$53</f>
        <v>447.8408147778174</v>
      </c>
      <c r="BY41" s="66">
        <f>$B41*'FOD Basics'!$AS$53</f>
        <v>417.33441889936705</v>
      </c>
      <c r="BZ41" s="66">
        <f>$B41*'FOD Basics'!$AT$53</f>
        <v>388.92672062614804</v>
      </c>
      <c r="CA41" s="66">
        <f>$B41*'FOD Basics'!$AU$53</f>
        <v>362.47003715352844</v>
      </c>
      <c r="CB41" s="66">
        <f>$B41*'FOD Basics'!$AV$53</f>
        <v>337.82761808023776</v>
      </c>
      <c r="CC41" s="66">
        <f>$B41*'FOD Basics'!$AW$53</f>
        <v>314.87274432919696</v>
      </c>
      <c r="CD41" s="66">
        <f>$B41*'FOD Basics'!$AX$53</f>
        <v>293.48791784483137</v>
      </c>
    </row>
    <row r="42" spans="1:82" x14ac:dyDescent="0.2">
      <c r="A42" s="64">
        <f t="shared" si="32"/>
        <v>2047</v>
      </c>
      <c r="B42" s="65">
        <f>'Input data'!M43</f>
        <v>301598.43675386184</v>
      </c>
      <c r="S42" s="66"/>
      <c r="T42" s="66"/>
      <c r="U42" s="66"/>
      <c r="V42" s="66"/>
      <c r="W42" s="66"/>
      <c r="X42" s="66"/>
      <c r="Y42" s="66"/>
      <c r="Z42" s="66"/>
      <c r="AA42" s="66"/>
      <c r="AB42" s="66"/>
      <c r="AC42" s="66"/>
      <c r="AD42" s="66"/>
      <c r="AE42" s="66"/>
      <c r="AG42" s="67"/>
      <c r="AH42" s="67"/>
      <c r="AI42" s="67"/>
      <c r="AJ42" s="67"/>
      <c r="AL42" s="66">
        <f>$B42*'FOD Basics'!$E$53</f>
        <v>59689.640193681735</v>
      </c>
      <c r="AM42" s="66">
        <f>$B42*'FOD Basics'!$F$53</f>
        <v>42158.148753456611</v>
      </c>
      <c r="AN42" s="66">
        <f>$B42*'FOD Basics'!$G$53</f>
        <v>30231.134936437298</v>
      </c>
      <c r="AO42" s="66">
        <f>$B42*'FOD Basics'!$H$53</f>
        <v>22077.480578886989</v>
      </c>
      <c r="AP42" s="66">
        <f>$B42*'FOD Basics'!$I$53</f>
        <v>16467.893533701415</v>
      </c>
      <c r="AQ42" s="66">
        <f>$B42*'FOD Basics'!$J$53</f>
        <v>12576.738454323095</v>
      </c>
      <c r="AR42" s="66">
        <f>$B42*'FOD Basics'!$K$53</f>
        <v>9849.1657075237799</v>
      </c>
      <c r="AS42" s="66">
        <f>$B42*'FOD Basics'!$L$53</f>
        <v>7912.0160650802009</v>
      </c>
      <c r="AT42" s="66">
        <f>$B42*'FOD Basics'!$M$53</f>
        <v>6514.0735243797599</v>
      </c>
      <c r="AU42" s="66">
        <f>$B42*'FOD Basics'!$N$53</f>
        <v>5485.9944496847065</v>
      </c>
      <c r="AV42" s="66">
        <f>$B42*'FOD Basics'!$O$53</f>
        <v>4713.4292648473211</v>
      </c>
      <c r="AW42" s="66">
        <f>$B42*'FOD Basics'!$P$53</f>
        <v>4118.9900217590757</v>
      </c>
      <c r="AX42" s="66">
        <f>$B42*'FOD Basics'!$Q$53</f>
        <v>3650.1497788819711</v>
      </c>
      <c r="AY42" s="66">
        <f>$B42*'FOD Basics'!$R$53</f>
        <v>3271.1200934859658</v>
      </c>
      <c r="AZ42" s="66">
        <f>$B42*'FOD Basics'!$S$53</f>
        <v>2957.3967383795994</v>
      </c>
      <c r="BA42" s="66">
        <f>$B42*'FOD Basics'!$T$53</f>
        <v>2692.0953550139893</v>
      </c>
      <c r="BB42" s="66">
        <f>$B42*'FOD Basics'!$U$53</f>
        <v>2463.4881030792963</v>
      </c>
      <c r="BC42" s="66">
        <f>$B42*'FOD Basics'!$V$53</f>
        <v>2263.3463542120803</v>
      </c>
      <c r="BD42" s="66">
        <f>$B42*'FOD Basics'!$W$53</f>
        <v>2085.824537819643</v>
      </c>
      <c r="BE42" s="66">
        <f>$B42*'FOD Basics'!$X$53</f>
        <v>1926.7074516571388</v>
      </c>
      <c r="BF42" s="66">
        <f>$B42*'FOD Basics'!$Y$53</f>
        <v>1782.9018238596614</v>
      </c>
      <c r="BG42" s="66">
        <f>$B42*'FOD Basics'!$Z$53</f>
        <v>1652.0921255787277</v>
      </c>
      <c r="BH42" s="66">
        <f>$B42*'FOD Basics'!$AA$53</f>
        <v>1532.5069318822666</v>
      </c>
      <c r="BI42" s="66">
        <f>$B42*'FOD Basics'!$AB$53</f>
        <v>1422.7597685146363</v>
      </c>
      <c r="BJ42" s="66">
        <f>$B42*'FOD Basics'!$AC$53</f>
        <v>1321.7402162613118</v>
      </c>
      <c r="BK42" s="66">
        <f>$B42*'FOD Basics'!$AD$53</f>
        <v>1228.5389855752535</v>
      </c>
      <c r="BL42" s="66">
        <f>$B42*'FOD Basics'!$AE$53</f>
        <v>1142.3960040540685</v>
      </c>
      <c r="BM42" s="66">
        <f>$B42*'FOD Basics'!$AF$53</f>
        <v>1062.6641380269182</v>
      </c>
      <c r="BN42" s="66">
        <f>$B42*'FOD Basics'!$AG$53</f>
        <v>988.7835733698131</v>
      </c>
      <c r="BO42" s="66">
        <f>$B42*'FOD Basics'!$AH$53</f>
        <v>920.26349626470244</v>
      </c>
      <c r="BP42" s="66">
        <f>$B42*'FOD Basics'!$AI$53</f>
        <v>856.66880118035397</v>
      </c>
      <c r="BQ42" s="66">
        <f>$B42*'FOD Basics'!$AJ$53</f>
        <v>797.61028474728903</v>
      </c>
      <c r="BR42" s="66">
        <f>$B42*'FOD Basics'!$AK$53</f>
        <v>742.73727705513545</v>
      </c>
      <c r="BS42" s="66">
        <f>$B42*'FOD Basics'!$AL$53</f>
        <v>691.73199446933938</v>
      </c>
      <c r="BT42" s="66">
        <f>$B42*'FOD Basics'!$AM$53</f>
        <v>644.30512285837028</v>
      </c>
      <c r="BU42" s="66">
        <f>$B42*'FOD Basics'!$AN$53</f>
        <v>600.19229239371214</v>
      </c>
      <c r="BV42" s="66">
        <f>$B42*'FOD Basics'!$AO$53</f>
        <v>559.15120850565677</v>
      </c>
      <c r="BW42" s="66">
        <f>$B42*'FOD Basics'!$AP$53</f>
        <v>520.95927405273176</v>
      </c>
      <c r="BX42" s="66">
        <f>$B42*'FOD Basics'!$AQ$53</f>
        <v>485.41158598312433</v>
      </c>
      <c r="BY42" s="66">
        <f>$B42*'FOD Basics'!$AR$53</f>
        <v>452.31922292559557</v>
      </c>
      <c r="BZ42" s="66">
        <f>$B42*'FOD Basics'!$AS$53</f>
        <v>421.50776308836072</v>
      </c>
      <c r="CA42" s="66">
        <f>$B42*'FOD Basics'!$AT$53</f>
        <v>392.81598783240952</v>
      </c>
      <c r="CB42" s="66">
        <f>$B42*'FOD Basics'!$AU$53</f>
        <v>366.09473752506375</v>
      </c>
      <c r="CC42" s="66">
        <f>$B42*'FOD Basics'!$AV$53</f>
        <v>341.20589426104016</v>
      </c>
      <c r="CD42" s="66">
        <f>$B42*'FOD Basics'!$AW$53</f>
        <v>318.02147177248889</v>
      </c>
    </row>
    <row r="43" spans="1:82" x14ac:dyDescent="0.2">
      <c r="A43" s="64">
        <f t="shared" si="32"/>
        <v>2048</v>
      </c>
      <c r="B43" s="65">
        <f>'Input data'!M44</f>
        <v>304614.42112140043</v>
      </c>
      <c r="S43" s="66"/>
      <c r="T43" s="66"/>
      <c r="U43" s="66"/>
      <c r="V43" s="66"/>
      <c r="W43" s="66"/>
      <c r="X43" s="66"/>
      <c r="Y43" s="66"/>
      <c r="Z43" s="66"/>
      <c r="AA43" s="66"/>
      <c r="AB43" s="66"/>
      <c r="AC43" s="66"/>
      <c r="AD43" s="66"/>
      <c r="AE43" s="66"/>
      <c r="AG43" s="67"/>
      <c r="AH43" s="67"/>
      <c r="AI43" s="67"/>
      <c r="AJ43" s="67"/>
      <c r="AL43" s="67"/>
      <c r="AM43" s="66">
        <f>$B43*'FOD Basics'!$E$53</f>
        <v>60286.536595618549</v>
      </c>
      <c r="AN43" s="66">
        <f>$B43*'FOD Basics'!$F$53</f>
        <v>42579.730240991172</v>
      </c>
      <c r="AO43" s="66">
        <f>$B43*'FOD Basics'!$G$53</f>
        <v>30533.44628580167</v>
      </c>
      <c r="AP43" s="66">
        <f>$B43*'FOD Basics'!$H$53</f>
        <v>22298.25538467586</v>
      </c>
      <c r="AQ43" s="66">
        <f>$B43*'FOD Basics'!$I$53</f>
        <v>16632.572469038427</v>
      </c>
      <c r="AR43" s="66">
        <f>$B43*'FOD Basics'!$J$53</f>
        <v>12702.505838866326</v>
      </c>
      <c r="AS43" s="66">
        <f>$B43*'FOD Basics'!$K$53</f>
        <v>9947.6573645990175</v>
      </c>
      <c r="AT43" s="66">
        <f>$B43*'FOD Basics'!$L$53</f>
        <v>7991.136225731002</v>
      </c>
      <c r="AU43" s="66">
        <f>$B43*'FOD Basics'!$M$53</f>
        <v>6579.2142596235572</v>
      </c>
      <c r="AV43" s="66">
        <f>$B43*'FOD Basics'!$N$53</f>
        <v>5540.8543941815533</v>
      </c>
      <c r="AW43" s="66">
        <f>$B43*'FOD Basics'!$O$53</f>
        <v>4760.5635574957932</v>
      </c>
      <c r="AX43" s="66">
        <f>$B43*'FOD Basics'!$P$53</f>
        <v>4160.1799219766663</v>
      </c>
      <c r="AY43" s="66">
        <f>$B43*'FOD Basics'!$Q$53</f>
        <v>3686.6512766707906</v>
      </c>
      <c r="AZ43" s="66">
        <f>$B43*'FOD Basics'!$R$53</f>
        <v>3303.8312944208251</v>
      </c>
      <c r="BA43" s="66">
        <f>$B43*'FOD Basics'!$S$53</f>
        <v>2986.970705763395</v>
      </c>
      <c r="BB43" s="66">
        <f>$B43*'FOD Basics'!$T$53</f>
        <v>2719.0163085641288</v>
      </c>
      <c r="BC43" s="66">
        <f>$B43*'FOD Basics'!$U$53</f>
        <v>2488.122984110089</v>
      </c>
      <c r="BD43" s="66">
        <f>$B43*'FOD Basics'!$V$53</f>
        <v>2285.9798177542011</v>
      </c>
      <c r="BE43" s="66">
        <f>$B43*'FOD Basics'!$W$53</f>
        <v>2106.6827831978389</v>
      </c>
      <c r="BF43" s="66">
        <f>$B43*'FOD Basics'!$X$53</f>
        <v>1945.97452617371</v>
      </c>
      <c r="BG43" s="66">
        <f>$B43*'FOD Basics'!$Y$53</f>
        <v>1800.7308420982579</v>
      </c>
      <c r="BH43" s="66">
        <f>$B43*'FOD Basics'!$Z$53</f>
        <v>1668.6130468345148</v>
      </c>
      <c r="BI43" s="66">
        <f>$B43*'FOD Basics'!$AA$53</f>
        <v>1547.832001201089</v>
      </c>
      <c r="BJ43" s="66">
        <f>$B43*'FOD Basics'!$AB$53</f>
        <v>1436.9873661997826</v>
      </c>
      <c r="BK43" s="66">
        <f>$B43*'FOD Basics'!$AC$53</f>
        <v>1334.9576184239249</v>
      </c>
      <c r="BL43" s="66">
        <f>$B43*'FOD Basics'!$AD$53</f>
        <v>1240.824375431006</v>
      </c>
      <c r="BM43" s="66">
        <f>$B43*'FOD Basics'!$AE$53</f>
        <v>1153.8199640946091</v>
      </c>
      <c r="BN43" s="66">
        <f>$B43*'FOD Basics'!$AF$53</f>
        <v>1073.2907794071873</v>
      </c>
      <c r="BO43" s="66">
        <f>$B43*'FOD Basics'!$AG$53</f>
        <v>998.67140910351111</v>
      </c>
      <c r="BP43" s="66">
        <f>$B43*'FOD Basics'!$AH$53</f>
        <v>929.46613122734936</v>
      </c>
      <c r="BQ43" s="66">
        <f>$B43*'FOD Basics'!$AI$53</f>
        <v>865.23548919215739</v>
      </c>
      <c r="BR43" s="66">
        <f>$B43*'FOD Basics'!$AJ$53</f>
        <v>805.58638759476185</v>
      </c>
      <c r="BS43" s="66">
        <f>$B43*'FOD Basics'!$AK$53</f>
        <v>750.16464982568675</v>
      </c>
      <c r="BT43" s="66">
        <f>$B43*'FOD Basics'!$AL$53</f>
        <v>698.64931441403269</v>
      </c>
      <c r="BU43" s="66">
        <f>$B43*'FOD Basics'!$AM$53</f>
        <v>650.74817408695401</v>
      </c>
      <c r="BV43" s="66">
        <f>$B43*'FOD Basics'!$AN$53</f>
        <v>606.1942153176492</v>
      </c>
      <c r="BW43" s="66">
        <f>$B43*'FOD Basics'!$AO$53</f>
        <v>564.74272059071325</v>
      </c>
      <c r="BX43" s="66">
        <f>$B43*'FOD Basics'!$AP$53</f>
        <v>526.16886679325899</v>
      </c>
      <c r="BY43" s="66">
        <f>$B43*'FOD Basics'!$AQ$53</f>
        <v>490.26570184295554</v>
      </c>
      <c r="BZ43" s="66">
        <f>$B43*'FOD Basics'!$AR$53</f>
        <v>456.84241515485149</v>
      </c>
      <c r="CA43" s="66">
        <f>$B43*'FOD Basics'!$AS$53</f>
        <v>425.72284071924429</v>
      </c>
      <c r="CB43" s="66">
        <f>$B43*'FOD Basics'!$AT$53</f>
        <v>396.74414771073356</v>
      </c>
      <c r="CC43" s="66">
        <f>$B43*'FOD Basics'!$AU$53</f>
        <v>369.75568490031435</v>
      </c>
      <c r="CD43" s="66">
        <f>$B43*'FOD Basics'!$AV$53</f>
        <v>344.61795320365053</v>
      </c>
    </row>
    <row r="44" spans="1:82" x14ac:dyDescent="0.2">
      <c r="A44" s="64">
        <f t="shared" si="32"/>
        <v>2049</v>
      </c>
      <c r="B44" s="65">
        <f>'Input data'!M45</f>
        <v>307660.56533261447</v>
      </c>
      <c r="S44" s="66"/>
      <c r="T44" s="66"/>
      <c r="U44" s="66"/>
      <c r="V44" s="66"/>
      <c r="W44" s="66"/>
      <c r="X44" s="66"/>
      <c r="Y44" s="66"/>
      <c r="Z44" s="66"/>
      <c r="AA44" s="66"/>
      <c r="AB44" s="66"/>
      <c r="AC44" s="66"/>
      <c r="AD44" s="66"/>
      <c r="AE44" s="66"/>
      <c r="AG44" s="67"/>
      <c r="AH44" s="67"/>
      <c r="AI44" s="67"/>
      <c r="AJ44" s="67"/>
      <c r="AL44" s="67"/>
      <c r="AM44" s="67"/>
      <c r="AN44" s="66">
        <f>$B44*'FOD Basics'!$E$53</f>
        <v>60889.401961574738</v>
      </c>
      <c r="AO44" s="66">
        <f>$B44*'FOD Basics'!$F$53</f>
        <v>43005.527543401091</v>
      </c>
      <c r="AP44" s="66">
        <f>$B44*'FOD Basics'!$G$53</f>
        <v>30838.78074865969</v>
      </c>
      <c r="AQ44" s="66">
        <f>$B44*'FOD Basics'!$H$53</f>
        <v>22521.23793852262</v>
      </c>
      <c r="AR44" s="66">
        <f>$B44*'FOD Basics'!$I$53</f>
        <v>16798.898193728815</v>
      </c>
      <c r="AS44" s="66">
        <f>$B44*'FOD Basics'!$J$53</f>
        <v>12829.53089725499</v>
      </c>
      <c r="AT44" s="66">
        <f>$B44*'FOD Basics'!$K$53</f>
        <v>10047.133938245008</v>
      </c>
      <c r="AU44" s="66">
        <f>$B44*'FOD Basics'!$L$53</f>
        <v>8071.0475879883134</v>
      </c>
      <c r="AV44" s="66">
        <f>$B44*'FOD Basics'!$M$53</f>
        <v>6645.006402219793</v>
      </c>
      <c r="AW44" s="66">
        <f>$B44*'FOD Basics'!$N$53</f>
        <v>5596.2629381233692</v>
      </c>
      <c r="AX44" s="66">
        <f>$B44*'FOD Basics'!$O$53</f>
        <v>4808.169193070752</v>
      </c>
      <c r="AY44" s="66">
        <f>$B44*'FOD Basics'!$P$53</f>
        <v>4201.781721196433</v>
      </c>
      <c r="AZ44" s="66">
        <f>$B44*'FOD Basics'!$Q$53</f>
        <v>3723.5177894374988</v>
      </c>
      <c r="BA44" s="66">
        <f>$B44*'FOD Basics'!$R$53</f>
        <v>3336.869607365034</v>
      </c>
      <c r="BB44" s="66">
        <f>$B44*'FOD Basics'!$S$53</f>
        <v>3016.8404128210295</v>
      </c>
      <c r="BC44" s="66">
        <f>$B44*'FOD Basics'!$T$53</f>
        <v>2746.2064716497703</v>
      </c>
      <c r="BD44" s="66">
        <f>$B44*'FOD Basics'!$U$53</f>
        <v>2513.0042139511902</v>
      </c>
      <c r="BE44" s="66">
        <f>$B44*'FOD Basics'!$V$53</f>
        <v>2308.8396159317431</v>
      </c>
      <c r="BF44" s="66">
        <f>$B44*'FOD Basics'!$W$53</f>
        <v>2127.7496110298175</v>
      </c>
      <c r="BG44" s="66">
        <f>$B44*'FOD Basics'!$X$53</f>
        <v>1965.4342714354473</v>
      </c>
      <c r="BH44" s="66">
        <f>$B44*'FOD Basics'!$Y$53</f>
        <v>1818.7381505192407</v>
      </c>
      <c r="BI44" s="66">
        <f>$B44*'FOD Basics'!$Z$53</f>
        <v>1685.2991773028602</v>
      </c>
      <c r="BJ44" s="66">
        <f>$B44*'FOD Basics'!$AA$53</f>
        <v>1563.3103212131002</v>
      </c>
      <c r="BK44" s="66">
        <f>$B44*'FOD Basics'!$AB$53</f>
        <v>1451.3572398617805</v>
      </c>
      <c r="BL44" s="66">
        <f>$B44*'FOD Basics'!$AC$53</f>
        <v>1348.3071946081643</v>
      </c>
      <c r="BM44" s="66">
        <f>$B44*'FOD Basics'!$AD$53</f>
        <v>1253.2326191853163</v>
      </c>
      <c r="BN44" s="66">
        <f>$B44*'FOD Basics'!$AE$53</f>
        <v>1165.3581637355553</v>
      </c>
      <c r="BO44" s="66">
        <f>$B44*'FOD Basics'!$AF$53</f>
        <v>1084.0236872012592</v>
      </c>
      <c r="BP44" s="66">
        <f>$B44*'FOD Basics'!$AG$53</f>
        <v>1008.6581231945463</v>
      </c>
      <c r="BQ44" s="66">
        <f>$B44*'FOD Basics'!$AH$53</f>
        <v>938.76079253962291</v>
      </c>
      <c r="BR44" s="66">
        <f>$B44*'FOD Basics'!$AI$53</f>
        <v>873.88784408407912</v>
      </c>
      <c r="BS44" s="66">
        <f>$B44*'FOD Basics'!$AJ$53</f>
        <v>813.64225147070954</v>
      </c>
      <c r="BT44" s="66">
        <f>$B44*'FOD Basics'!$AK$53</f>
        <v>757.6662963239437</v>
      </c>
      <c r="BU44" s="66">
        <f>$B44*'FOD Basics'!$AL$53</f>
        <v>705.63580755817304</v>
      </c>
      <c r="BV44" s="66">
        <f>$B44*'FOD Basics'!$AM$53</f>
        <v>657.2556558278236</v>
      </c>
      <c r="BW44" s="66">
        <f>$B44*'FOD Basics'!$AN$53</f>
        <v>612.25615747082577</v>
      </c>
      <c r="BX44" s="66">
        <f>$B44*'FOD Basics'!$AO$53</f>
        <v>570.39014779662045</v>
      </c>
      <c r="BY44" s="66">
        <f>$B44*'FOD Basics'!$AP$53</f>
        <v>531.43055546119172</v>
      </c>
      <c r="BZ44" s="66">
        <f>$B44*'FOD Basics'!$AQ$53</f>
        <v>495.16835886138512</v>
      </c>
      <c r="CA44" s="66">
        <f>$B44*'FOD Basics'!$AR$53</f>
        <v>461.41083930640002</v>
      </c>
      <c r="CB44" s="66">
        <f>$B44*'FOD Basics'!$AS$53</f>
        <v>429.98006912643677</v>
      </c>
      <c r="CC44" s="66">
        <f>$B44*'FOD Basics'!$AT$53</f>
        <v>400.71158918784096</v>
      </c>
      <c r="CD44" s="66">
        <f>$B44*'FOD Basics'!$AU$53</f>
        <v>373.45324174931756</v>
      </c>
    </row>
    <row r="45" spans="1:82" x14ac:dyDescent="0.2">
      <c r="A45" s="64">
        <f t="shared" si="32"/>
        <v>2050</v>
      </c>
      <c r="B45" s="65">
        <f>'Input data'!M46</f>
        <v>310737.17098594061</v>
      </c>
      <c r="S45" s="66"/>
      <c r="T45" s="66"/>
      <c r="U45" s="66"/>
      <c r="V45" s="66"/>
      <c r="W45" s="66"/>
      <c r="X45" s="66"/>
      <c r="Y45" s="66"/>
      <c r="Z45" s="66"/>
      <c r="AA45" s="66"/>
      <c r="AB45" s="66"/>
      <c r="AC45" s="66"/>
      <c r="AD45" s="66"/>
      <c r="AE45" s="66"/>
      <c r="AG45" s="67"/>
      <c r="AH45" s="67"/>
      <c r="AI45" s="67"/>
      <c r="AJ45" s="67"/>
      <c r="AL45" s="67"/>
      <c r="AM45" s="67"/>
      <c r="AN45" s="67"/>
      <c r="AO45" s="66">
        <f>$B45*'FOD Basics'!$E$53</f>
        <v>61498.295981190488</v>
      </c>
      <c r="AP45" s="66">
        <f>$B45*'FOD Basics'!$F$53</f>
        <v>43435.582818835101</v>
      </c>
      <c r="AQ45" s="66">
        <f>$B45*'FOD Basics'!$G$53</f>
        <v>31147.168556146287</v>
      </c>
      <c r="AR45" s="66">
        <f>$B45*'FOD Basics'!$H$53</f>
        <v>22746.450317907846</v>
      </c>
      <c r="AS45" s="66">
        <f>$B45*'FOD Basics'!$I$53</f>
        <v>16966.887175666103</v>
      </c>
      <c r="AT45" s="66">
        <f>$B45*'FOD Basics'!$J$53</f>
        <v>12957.826206227539</v>
      </c>
      <c r="AU45" s="66">
        <f>$B45*'FOD Basics'!$K$53</f>
        <v>10147.605277627459</v>
      </c>
      <c r="AV45" s="66">
        <f>$B45*'FOD Basics'!$L$53</f>
        <v>8151.7580638681966</v>
      </c>
      <c r="AW45" s="66">
        <f>$B45*'FOD Basics'!$M$53</f>
        <v>6711.4564662419907</v>
      </c>
      <c r="AX45" s="66">
        <f>$B45*'FOD Basics'!$N$53</f>
        <v>5652.2255675046026</v>
      </c>
      <c r="AY45" s="66">
        <f>$B45*'FOD Basics'!$O$53</f>
        <v>4856.2508850014592</v>
      </c>
      <c r="AZ45" s="66">
        <f>$B45*'FOD Basics'!$P$53</f>
        <v>4243.799538408397</v>
      </c>
      <c r="BA45" s="66">
        <f>$B45*'FOD Basics'!$Q$53</f>
        <v>3760.7529673318736</v>
      </c>
      <c r="BB45" s="66">
        <f>$B45*'FOD Basics'!$R$53</f>
        <v>3370.2383034386839</v>
      </c>
      <c r="BC45" s="66">
        <f>$B45*'FOD Basics'!$S$53</f>
        <v>3047.0088169492396</v>
      </c>
      <c r="BD45" s="66">
        <f>$B45*'FOD Basics'!$T$53</f>
        <v>2773.6685363662682</v>
      </c>
      <c r="BE45" s="66">
        <f>$B45*'FOD Basics'!$U$53</f>
        <v>2538.1342560907024</v>
      </c>
      <c r="BF45" s="66">
        <f>$B45*'FOD Basics'!$V$53</f>
        <v>2331.9280120910607</v>
      </c>
      <c r="BG45" s="66">
        <f>$B45*'FOD Basics'!$W$53</f>
        <v>2149.0271071401157</v>
      </c>
      <c r="BH45" s="66">
        <f>$B45*'FOD Basics'!$X$53</f>
        <v>1985.0886141498017</v>
      </c>
      <c r="BI45" s="66">
        <f>$B45*'FOD Basics'!$Y$53</f>
        <v>1836.9255320244331</v>
      </c>
      <c r="BJ45" s="66">
        <f>$B45*'FOD Basics'!$Z$53</f>
        <v>1702.1521690758889</v>
      </c>
      <c r="BK45" s="66">
        <f>$B45*'FOD Basics'!$AA$53</f>
        <v>1578.9434244252311</v>
      </c>
      <c r="BL45" s="66">
        <f>$B45*'FOD Basics'!$AB$53</f>
        <v>1465.8708122603985</v>
      </c>
      <c r="BM45" s="66">
        <f>$B45*'FOD Basics'!$AC$53</f>
        <v>1361.7902665542458</v>
      </c>
      <c r="BN45" s="66">
        <f>$B45*'FOD Basics'!$AD$53</f>
        <v>1265.7649453771694</v>
      </c>
      <c r="BO45" s="66">
        <f>$B45*'FOD Basics'!$AE$53</f>
        <v>1177.0117453729108</v>
      </c>
      <c r="BP45" s="66">
        <f>$B45*'FOD Basics'!$AF$53</f>
        <v>1094.8639240732718</v>
      </c>
      <c r="BQ45" s="66">
        <f>$B45*'FOD Basics'!$AG$53</f>
        <v>1018.7447044264918</v>
      </c>
      <c r="BR45" s="66">
        <f>$B45*'FOD Basics'!$AH$53</f>
        <v>948.14840046501911</v>
      </c>
      <c r="BS45" s="66">
        <f>$B45*'FOD Basics'!$AI$53</f>
        <v>882.62672252491984</v>
      </c>
      <c r="BT45" s="66">
        <f>$B45*'FOD Basics'!$AJ$53</f>
        <v>821.77867398541662</v>
      </c>
      <c r="BU45" s="66">
        <f>$B45*'FOD Basics'!$AK$53</f>
        <v>765.24295928718311</v>
      </c>
      <c r="BV45" s="66">
        <f>$B45*'FOD Basics'!$AL$53</f>
        <v>712.69216563375483</v>
      </c>
      <c r="BW45" s="66">
        <f>$B45*'FOD Basics'!$AM$53</f>
        <v>663.82821238610177</v>
      </c>
      <c r="BX45" s="66">
        <f>$B45*'FOD Basics'!$AN$53</f>
        <v>618.37871904553401</v>
      </c>
      <c r="BY45" s="66">
        <f>$B45*'FOD Basics'!$AO$53</f>
        <v>576.09404927458672</v>
      </c>
      <c r="BZ45" s="66">
        <f>$B45*'FOD Basics'!$AP$53</f>
        <v>536.74486101580362</v>
      </c>
      <c r="CA45" s="66">
        <f>$B45*'FOD Basics'!$AQ$53</f>
        <v>500.120042449999</v>
      </c>
      <c r="CB45" s="66">
        <f>$B45*'FOD Basics'!$AR$53</f>
        <v>466.02494769946406</v>
      </c>
      <c r="CC45" s="66">
        <f>$B45*'FOD Basics'!$AS$53</f>
        <v>434.27986981770113</v>
      </c>
      <c r="CD45" s="66">
        <f>$B45*'FOD Basics'!$AT$53</f>
        <v>404.71870507971931</v>
      </c>
    </row>
    <row r="46" spans="1:82" x14ac:dyDescent="0.2">
      <c r="A46" s="64">
        <f t="shared" si="32"/>
        <v>2051</v>
      </c>
      <c r="B46" s="65">
        <f>'Input data'!M47</f>
        <v>0</v>
      </c>
      <c r="S46" s="66"/>
      <c r="T46" s="66"/>
      <c r="U46" s="66"/>
      <c r="V46" s="66"/>
      <c r="W46" s="66"/>
      <c r="X46" s="66"/>
      <c r="Y46" s="66"/>
      <c r="Z46" s="66"/>
      <c r="AA46" s="66"/>
      <c r="AB46" s="66"/>
      <c r="AC46" s="66"/>
      <c r="AD46" s="66"/>
      <c r="AE46" s="66"/>
      <c r="AG46" s="67"/>
      <c r="AH46" s="67"/>
      <c r="AI46" s="67"/>
      <c r="AJ46" s="67"/>
      <c r="AL46" s="67"/>
      <c r="AM46" s="67"/>
      <c r="AN46" s="67"/>
      <c r="AO46" s="67"/>
      <c r="AP46" s="66">
        <f>$B46*'FOD Basics'!$E$53</f>
        <v>0</v>
      </c>
      <c r="AQ46" s="66">
        <f>$B46*'FOD Basics'!$F$53</f>
        <v>0</v>
      </c>
      <c r="AR46" s="66">
        <f>$B46*'FOD Basics'!$G$53</f>
        <v>0</v>
      </c>
      <c r="AS46" s="66">
        <f>$B46*'FOD Basics'!$H$53</f>
        <v>0</v>
      </c>
      <c r="AT46" s="66">
        <f>$B46*'FOD Basics'!$I$53</f>
        <v>0</v>
      </c>
      <c r="AU46" s="66">
        <f>$B46*'FOD Basics'!$J$53</f>
        <v>0</v>
      </c>
      <c r="AV46" s="66">
        <f>$B46*'FOD Basics'!$K$53</f>
        <v>0</v>
      </c>
      <c r="AW46" s="66">
        <f>$B46*'FOD Basics'!$L$53</f>
        <v>0</v>
      </c>
      <c r="AX46" s="66">
        <f>$B46*'FOD Basics'!$M$53</f>
        <v>0</v>
      </c>
      <c r="AY46" s="66">
        <f>$B46*'FOD Basics'!$N$53</f>
        <v>0</v>
      </c>
      <c r="AZ46" s="66">
        <f>$B46*'FOD Basics'!$O$53</f>
        <v>0</v>
      </c>
      <c r="BA46" s="66">
        <f>$B46*'FOD Basics'!$P$53</f>
        <v>0</v>
      </c>
      <c r="BB46" s="66">
        <f>$B46*'FOD Basics'!$Q$53</f>
        <v>0</v>
      </c>
      <c r="BC46" s="66">
        <f>$B46*'FOD Basics'!$R$53</f>
        <v>0</v>
      </c>
      <c r="BD46" s="66">
        <f>$B46*'FOD Basics'!$S$53</f>
        <v>0</v>
      </c>
      <c r="BE46" s="66">
        <f>$B46*'FOD Basics'!$T$53</f>
        <v>0</v>
      </c>
      <c r="BF46" s="66">
        <f>$B46*'FOD Basics'!$U$53</f>
        <v>0</v>
      </c>
      <c r="BG46" s="66">
        <f>$B46*'FOD Basics'!$V$53</f>
        <v>0</v>
      </c>
      <c r="BH46" s="66">
        <f>$B46*'FOD Basics'!$W$53</f>
        <v>0</v>
      </c>
      <c r="BI46" s="66">
        <f>$B46*'FOD Basics'!$X$53</f>
        <v>0</v>
      </c>
      <c r="BJ46" s="66">
        <f>$B46*'FOD Basics'!$Y$53</f>
        <v>0</v>
      </c>
      <c r="BK46" s="66">
        <f>$B46*'FOD Basics'!$Z$53</f>
        <v>0</v>
      </c>
      <c r="BL46" s="66">
        <f>$B46*'FOD Basics'!$AA$53</f>
        <v>0</v>
      </c>
      <c r="BM46" s="66">
        <f>$B46*'FOD Basics'!$AB$53</f>
        <v>0</v>
      </c>
      <c r="BN46" s="66">
        <f>$B46*'FOD Basics'!$AC$53</f>
        <v>0</v>
      </c>
      <c r="BO46" s="66">
        <f>$B46*'FOD Basics'!$AD$53</f>
        <v>0</v>
      </c>
      <c r="BP46" s="66">
        <f>$B46*'FOD Basics'!$AE$53</f>
        <v>0</v>
      </c>
      <c r="BQ46" s="66">
        <f>$B46*'FOD Basics'!$AF$53</f>
        <v>0</v>
      </c>
      <c r="BR46" s="66">
        <f>$B46*'FOD Basics'!$AG$53</f>
        <v>0</v>
      </c>
      <c r="BS46" s="66">
        <f>$B46*'FOD Basics'!$AH$53</f>
        <v>0</v>
      </c>
      <c r="BT46" s="66">
        <f>$B46*'FOD Basics'!$AI$53</f>
        <v>0</v>
      </c>
      <c r="BU46" s="66">
        <f>$B46*'FOD Basics'!$AJ$53</f>
        <v>0</v>
      </c>
      <c r="BV46" s="66">
        <f>$B46*'FOD Basics'!$AK$53</f>
        <v>0</v>
      </c>
      <c r="BW46" s="66">
        <f>$B46*'FOD Basics'!$AL$53</f>
        <v>0</v>
      </c>
      <c r="BX46" s="66">
        <f>$B46*'FOD Basics'!$AM$53</f>
        <v>0</v>
      </c>
      <c r="BY46" s="66">
        <f>$B46*'FOD Basics'!$AN$53</f>
        <v>0</v>
      </c>
      <c r="BZ46" s="66">
        <f>$B46*'FOD Basics'!$AO$53</f>
        <v>0</v>
      </c>
      <c r="CA46" s="66">
        <f>$B46*'FOD Basics'!$AP$53</f>
        <v>0</v>
      </c>
      <c r="CB46" s="66">
        <f>$B46*'FOD Basics'!$AQ$53</f>
        <v>0</v>
      </c>
      <c r="CC46" s="66">
        <f>$B46*'FOD Basics'!$AR$53</f>
        <v>0</v>
      </c>
      <c r="CD46" s="66">
        <f>$B46*'FOD Basics'!$AS$53</f>
        <v>0</v>
      </c>
    </row>
    <row r="47" spans="1:82" x14ac:dyDescent="0.2">
      <c r="A47" s="64">
        <f t="shared" si="32"/>
        <v>2052</v>
      </c>
      <c r="B47" s="65">
        <f>'Input data'!M48</f>
        <v>0</v>
      </c>
      <c r="S47" s="66"/>
      <c r="T47" s="66"/>
      <c r="U47" s="66"/>
      <c r="V47" s="66"/>
      <c r="W47" s="66"/>
      <c r="X47" s="66"/>
      <c r="Y47" s="66"/>
      <c r="Z47" s="66"/>
      <c r="AA47" s="66"/>
      <c r="AB47" s="66"/>
      <c r="AC47" s="66"/>
      <c r="AD47" s="66"/>
      <c r="AE47" s="66"/>
      <c r="AG47" s="67"/>
      <c r="AH47" s="67"/>
      <c r="AI47" s="67"/>
      <c r="AJ47" s="67"/>
      <c r="AL47" s="67"/>
      <c r="AM47" s="67"/>
      <c r="AN47" s="67"/>
      <c r="AO47" s="67"/>
      <c r="AP47" s="67"/>
      <c r="AQ47" s="66">
        <f>$B47*'FOD Basics'!$E$53</f>
        <v>0</v>
      </c>
      <c r="AR47" s="66">
        <f>$B47*'FOD Basics'!$F$53</f>
        <v>0</v>
      </c>
      <c r="AS47" s="66">
        <f>$B47*'FOD Basics'!$G$53</f>
        <v>0</v>
      </c>
      <c r="AT47" s="66">
        <f>$B47*'FOD Basics'!$H$53</f>
        <v>0</v>
      </c>
      <c r="AU47" s="66">
        <f>$B47*'FOD Basics'!$I$53</f>
        <v>0</v>
      </c>
      <c r="AV47" s="66">
        <f>$B47*'FOD Basics'!$J$53</f>
        <v>0</v>
      </c>
      <c r="AW47" s="66">
        <f>$B47*'FOD Basics'!$K$53</f>
        <v>0</v>
      </c>
      <c r="AX47" s="66">
        <f>$B47*'FOD Basics'!$L$53</f>
        <v>0</v>
      </c>
      <c r="AY47" s="66">
        <f>$B47*'FOD Basics'!$M$53</f>
        <v>0</v>
      </c>
      <c r="AZ47" s="66">
        <f>$B47*'FOD Basics'!$N$53</f>
        <v>0</v>
      </c>
      <c r="BA47" s="66">
        <f>$B47*'FOD Basics'!$O$53</f>
        <v>0</v>
      </c>
      <c r="BB47" s="66">
        <f>$B47*'FOD Basics'!$P$53</f>
        <v>0</v>
      </c>
      <c r="BC47" s="66">
        <f>$B47*'FOD Basics'!$Q$53</f>
        <v>0</v>
      </c>
      <c r="BD47" s="66">
        <f>$B47*'FOD Basics'!$R$53</f>
        <v>0</v>
      </c>
      <c r="BE47" s="66">
        <f>$B47*'FOD Basics'!$S$53</f>
        <v>0</v>
      </c>
      <c r="BF47" s="66">
        <f>$B47*'FOD Basics'!$T$53</f>
        <v>0</v>
      </c>
      <c r="BG47" s="66">
        <f>$B47*'FOD Basics'!$U$53</f>
        <v>0</v>
      </c>
      <c r="BH47" s="66">
        <f>$B47*'FOD Basics'!$V$53</f>
        <v>0</v>
      </c>
      <c r="BI47" s="66">
        <f>$B47*'FOD Basics'!$W$53</f>
        <v>0</v>
      </c>
      <c r="BJ47" s="66">
        <f>$B47*'FOD Basics'!$X$53</f>
        <v>0</v>
      </c>
      <c r="BK47" s="66">
        <f>$B47*'FOD Basics'!$Y$53</f>
        <v>0</v>
      </c>
      <c r="BL47" s="66">
        <f>$B47*'FOD Basics'!$Z$53</f>
        <v>0</v>
      </c>
      <c r="BM47" s="66">
        <f>$B47*'FOD Basics'!$AA$53</f>
        <v>0</v>
      </c>
      <c r="BN47" s="66">
        <f>$B47*'FOD Basics'!$AB$53</f>
        <v>0</v>
      </c>
      <c r="BO47" s="66">
        <f>$B47*'FOD Basics'!$AC$53</f>
        <v>0</v>
      </c>
      <c r="BP47" s="66">
        <f>$B47*'FOD Basics'!$AD$53</f>
        <v>0</v>
      </c>
      <c r="BQ47" s="66">
        <f>$B47*'FOD Basics'!$AE$53</f>
        <v>0</v>
      </c>
      <c r="BR47" s="66">
        <f>$B47*'FOD Basics'!$AF$53</f>
        <v>0</v>
      </c>
      <c r="BS47" s="66">
        <f>$B47*'FOD Basics'!$AG$53</f>
        <v>0</v>
      </c>
      <c r="BT47" s="66">
        <f>$B47*'FOD Basics'!$AH$53</f>
        <v>0</v>
      </c>
      <c r="BU47" s="66">
        <f>$B47*'FOD Basics'!$AI$53</f>
        <v>0</v>
      </c>
      <c r="BV47" s="66">
        <f>$B47*'FOD Basics'!$AJ$53</f>
        <v>0</v>
      </c>
      <c r="BW47" s="66">
        <f>$B47*'FOD Basics'!$AK$53</f>
        <v>0</v>
      </c>
      <c r="BX47" s="66">
        <f>$B47*'FOD Basics'!$AL$53</f>
        <v>0</v>
      </c>
      <c r="BY47" s="66">
        <f>$B47*'FOD Basics'!$AM$53</f>
        <v>0</v>
      </c>
      <c r="BZ47" s="66">
        <f>$B47*'FOD Basics'!$AN$53</f>
        <v>0</v>
      </c>
      <c r="CA47" s="66">
        <f>$B47*'FOD Basics'!$AO$53</f>
        <v>0</v>
      </c>
      <c r="CB47" s="66">
        <f>$B47*'FOD Basics'!$AP$53</f>
        <v>0</v>
      </c>
      <c r="CC47" s="66">
        <f>$B47*'FOD Basics'!$AQ$53</f>
        <v>0</v>
      </c>
      <c r="CD47" s="66">
        <f>$B47*'FOD Basics'!$AR$53</f>
        <v>0</v>
      </c>
    </row>
    <row r="48" spans="1:82" x14ac:dyDescent="0.2">
      <c r="A48" s="64">
        <f t="shared" si="32"/>
        <v>2053</v>
      </c>
      <c r="B48" s="65">
        <f>'Input data'!M49</f>
        <v>0</v>
      </c>
      <c r="S48" s="66"/>
      <c r="T48" s="66"/>
      <c r="U48" s="66"/>
      <c r="V48" s="66"/>
      <c r="W48" s="66"/>
      <c r="X48" s="66"/>
      <c r="Y48" s="66"/>
      <c r="Z48" s="66"/>
      <c r="AA48" s="66"/>
      <c r="AB48" s="66"/>
      <c r="AC48" s="66"/>
      <c r="AD48" s="66"/>
      <c r="AE48" s="66"/>
      <c r="AG48" s="67"/>
      <c r="AH48" s="67"/>
      <c r="AI48" s="67"/>
      <c r="AJ48" s="67"/>
      <c r="AL48" s="67"/>
      <c r="AM48" s="67"/>
      <c r="AN48" s="67"/>
      <c r="AO48" s="67"/>
      <c r="AP48" s="67"/>
      <c r="AQ48" s="67"/>
      <c r="AR48" s="66">
        <f>$B48*'FOD Basics'!$E$53</f>
        <v>0</v>
      </c>
      <c r="AS48" s="66">
        <f>$B48*'FOD Basics'!$F$53</f>
        <v>0</v>
      </c>
      <c r="AT48" s="66">
        <f>$B48*'FOD Basics'!$G$53</f>
        <v>0</v>
      </c>
      <c r="AU48" s="66">
        <f>$B48*'FOD Basics'!$H$53</f>
        <v>0</v>
      </c>
      <c r="AV48" s="66">
        <f>$B48*'FOD Basics'!$I$53</f>
        <v>0</v>
      </c>
      <c r="AW48" s="66">
        <f>$B48*'FOD Basics'!$J$53</f>
        <v>0</v>
      </c>
      <c r="AX48" s="66">
        <f>$B48*'FOD Basics'!$K$53</f>
        <v>0</v>
      </c>
      <c r="AY48" s="66">
        <f>$B48*'FOD Basics'!$L$53</f>
        <v>0</v>
      </c>
      <c r="AZ48" s="66">
        <f>$B48*'FOD Basics'!$M$53</f>
        <v>0</v>
      </c>
      <c r="BA48" s="66">
        <f>$B48*'FOD Basics'!$N$53</f>
        <v>0</v>
      </c>
      <c r="BB48" s="66">
        <f>$B48*'FOD Basics'!$O$53</f>
        <v>0</v>
      </c>
      <c r="BC48" s="66">
        <f>$B48*'FOD Basics'!$P$53</f>
        <v>0</v>
      </c>
      <c r="BD48" s="66">
        <f>$B48*'FOD Basics'!$Q$53</f>
        <v>0</v>
      </c>
      <c r="BE48" s="66">
        <f>$B48*'FOD Basics'!$R$53</f>
        <v>0</v>
      </c>
      <c r="BF48" s="66">
        <f>$B48*'FOD Basics'!$S$53</f>
        <v>0</v>
      </c>
      <c r="BG48" s="66">
        <f>$B48*'FOD Basics'!$T$53</f>
        <v>0</v>
      </c>
      <c r="BH48" s="66">
        <f>$B48*'FOD Basics'!$U$53</f>
        <v>0</v>
      </c>
      <c r="BI48" s="66">
        <f>$B48*'FOD Basics'!$V$53</f>
        <v>0</v>
      </c>
      <c r="BJ48" s="66">
        <f>$B48*'FOD Basics'!$W$53</f>
        <v>0</v>
      </c>
      <c r="BK48" s="66">
        <f>$B48*'FOD Basics'!$X$53</f>
        <v>0</v>
      </c>
      <c r="BL48" s="66">
        <f>$B48*'FOD Basics'!$Y$53</f>
        <v>0</v>
      </c>
      <c r="BM48" s="66">
        <f>$B48*'FOD Basics'!$Z$53</f>
        <v>0</v>
      </c>
      <c r="BN48" s="66">
        <f>$B48*'FOD Basics'!$AA$53</f>
        <v>0</v>
      </c>
      <c r="BO48" s="66">
        <f>$B48*'FOD Basics'!$AB$53</f>
        <v>0</v>
      </c>
      <c r="BP48" s="66">
        <f>$B48*'FOD Basics'!$AC$53</f>
        <v>0</v>
      </c>
      <c r="BQ48" s="66">
        <f>$B48*'FOD Basics'!$AD$53</f>
        <v>0</v>
      </c>
      <c r="BR48" s="66">
        <f>$B48*'FOD Basics'!$AE$53</f>
        <v>0</v>
      </c>
      <c r="BS48" s="66">
        <f>$B48*'FOD Basics'!$AF$53</f>
        <v>0</v>
      </c>
      <c r="BT48" s="66">
        <f>$B48*'FOD Basics'!$AG$53</f>
        <v>0</v>
      </c>
      <c r="BU48" s="66">
        <f>$B48*'FOD Basics'!$AH$53</f>
        <v>0</v>
      </c>
      <c r="BV48" s="66">
        <f>$B48*'FOD Basics'!$AI$53</f>
        <v>0</v>
      </c>
      <c r="BW48" s="66">
        <f>$B48*'FOD Basics'!$AJ$53</f>
        <v>0</v>
      </c>
      <c r="BX48" s="66">
        <f>$B48*'FOD Basics'!$AK$53</f>
        <v>0</v>
      </c>
      <c r="BY48" s="66">
        <f>$B48*'FOD Basics'!$AL$53</f>
        <v>0</v>
      </c>
      <c r="BZ48" s="66">
        <f>$B48*'FOD Basics'!$AM$53</f>
        <v>0</v>
      </c>
      <c r="CA48" s="66">
        <f>$B48*'FOD Basics'!$AN$53</f>
        <v>0</v>
      </c>
      <c r="CB48" s="66">
        <f>$B48*'FOD Basics'!$AO$53</f>
        <v>0</v>
      </c>
      <c r="CC48" s="66">
        <f>$B48*'FOD Basics'!$AP$53</f>
        <v>0</v>
      </c>
      <c r="CD48" s="66">
        <f>$B48*'FOD Basics'!$AQ$53</f>
        <v>0</v>
      </c>
    </row>
    <row r="49" spans="1:82" x14ac:dyDescent="0.2">
      <c r="A49" s="64">
        <f t="shared" si="32"/>
        <v>2054</v>
      </c>
      <c r="B49" s="65">
        <f>'Input data'!M50</f>
        <v>0</v>
      </c>
      <c r="S49" s="66"/>
      <c r="T49" s="66"/>
      <c r="U49" s="66"/>
      <c r="V49" s="66"/>
      <c r="W49" s="66"/>
      <c r="X49" s="66"/>
      <c r="Y49" s="66"/>
      <c r="Z49" s="66"/>
      <c r="AA49" s="66"/>
      <c r="AB49" s="66"/>
      <c r="AC49" s="66"/>
      <c r="AD49" s="66"/>
      <c r="AE49" s="66"/>
      <c r="AG49" s="67"/>
      <c r="AH49" s="67"/>
      <c r="AI49" s="67"/>
      <c r="AJ49" s="67"/>
      <c r="AL49" s="67"/>
      <c r="AM49" s="67"/>
      <c r="AN49" s="67"/>
      <c r="AO49" s="67"/>
      <c r="AP49" s="67"/>
      <c r="AQ49" s="67"/>
      <c r="AR49" s="67"/>
      <c r="AS49" s="66">
        <f>$B49*'FOD Basics'!$E$53</f>
        <v>0</v>
      </c>
      <c r="AT49" s="66">
        <f>$B49*'FOD Basics'!$F$53</f>
        <v>0</v>
      </c>
      <c r="AU49" s="66">
        <f>$B49*'FOD Basics'!$G$53</f>
        <v>0</v>
      </c>
      <c r="AV49" s="66">
        <f>$B49*'FOD Basics'!$H$53</f>
        <v>0</v>
      </c>
      <c r="AW49" s="66">
        <f>$B49*'FOD Basics'!$I$53</f>
        <v>0</v>
      </c>
      <c r="AX49" s="66">
        <f>$B49*'FOD Basics'!$J$53</f>
        <v>0</v>
      </c>
      <c r="AY49" s="66">
        <f>$B49*'FOD Basics'!$K$53</f>
        <v>0</v>
      </c>
      <c r="AZ49" s="66">
        <f>$B49*'FOD Basics'!$L$53</f>
        <v>0</v>
      </c>
      <c r="BA49" s="66">
        <f>$B49*'FOD Basics'!$M$53</f>
        <v>0</v>
      </c>
      <c r="BB49" s="66">
        <f>$B49*'FOD Basics'!$N$53</f>
        <v>0</v>
      </c>
      <c r="BC49" s="66">
        <f>$B49*'FOD Basics'!$O$53</f>
        <v>0</v>
      </c>
      <c r="BD49" s="66">
        <f>$B49*'FOD Basics'!$P$53</f>
        <v>0</v>
      </c>
      <c r="BE49" s="66">
        <f>$B49*'FOD Basics'!$Q$53</f>
        <v>0</v>
      </c>
      <c r="BF49" s="66">
        <f>$B49*'FOD Basics'!$R$53</f>
        <v>0</v>
      </c>
      <c r="BG49" s="66">
        <f>$B49*'FOD Basics'!$S$53</f>
        <v>0</v>
      </c>
      <c r="BH49" s="66">
        <f>$B49*'FOD Basics'!$T$53</f>
        <v>0</v>
      </c>
      <c r="BI49" s="66">
        <f>$B49*'FOD Basics'!$U$53</f>
        <v>0</v>
      </c>
      <c r="BJ49" s="66">
        <f>$B49*'FOD Basics'!$V$53</f>
        <v>0</v>
      </c>
      <c r="BK49" s="66">
        <f>$B49*'FOD Basics'!$W$53</f>
        <v>0</v>
      </c>
      <c r="BL49" s="66">
        <f>$B49*'FOD Basics'!$X$53</f>
        <v>0</v>
      </c>
      <c r="BM49" s="66">
        <f>$B49*'FOD Basics'!$Y$53</f>
        <v>0</v>
      </c>
      <c r="BN49" s="66">
        <f>$B49*'FOD Basics'!$Z$53</f>
        <v>0</v>
      </c>
      <c r="BO49" s="66">
        <f>$B49*'FOD Basics'!$AA$53</f>
        <v>0</v>
      </c>
      <c r="BP49" s="66">
        <f>$B49*'FOD Basics'!$AB$53</f>
        <v>0</v>
      </c>
      <c r="BQ49" s="66">
        <f>$B49*'FOD Basics'!$AC$53</f>
        <v>0</v>
      </c>
      <c r="BR49" s="66">
        <f>$B49*'FOD Basics'!$AD$53</f>
        <v>0</v>
      </c>
      <c r="BS49" s="66">
        <f>$B49*'FOD Basics'!$AE$53</f>
        <v>0</v>
      </c>
      <c r="BT49" s="66">
        <f>$B49*'FOD Basics'!$AF$53</f>
        <v>0</v>
      </c>
      <c r="BU49" s="66">
        <f>$B49*'FOD Basics'!$AG$53</f>
        <v>0</v>
      </c>
      <c r="BV49" s="66">
        <f>$B49*'FOD Basics'!$AH$53</f>
        <v>0</v>
      </c>
      <c r="BW49" s="66">
        <f>$B49*'FOD Basics'!$AI$53</f>
        <v>0</v>
      </c>
      <c r="BX49" s="66">
        <f>$B49*'FOD Basics'!$AJ$53</f>
        <v>0</v>
      </c>
      <c r="BY49" s="66">
        <f>$B49*'FOD Basics'!$AK$53</f>
        <v>0</v>
      </c>
      <c r="BZ49" s="66">
        <f>$B49*'FOD Basics'!$AL$53</f>
        <v>0</v>
      </c>
      <c r="CA49" s="66">
        <f>$B49*'FOD Basics'!$AM$53</f>
        <v>0</v>
      </c>
      <c r="CB49" s="66">
        <f>$B49*'FOD Basics'!$AN$53</f>
        <v>0</v>
      </c>
      <c r="CC49" s="66">
        <f>$B49*'FOD Basics'!$AO$53</f>
        <v>0</v>
      </c>
      <c r="CD49" s="66">
        <f>$B49*'FOD Basics'!$AP$53</f>
        <v>0</v>
      </c>
    </row>
    <row r="50" spans="1:82" x14ac:dyDescent="0.2">
      <c r="A50" s="64">
        <f t="shared" si="32"/>
        <v>2055</v>
      </c>
      <c r="B50" s="65">
        <f>'Input data'!M51</f>
        <v>0</v>
      </c>
      <c r="S50" s="66"/>
      <c r="T50" s="66"/>
      <c r="U50" s="66"/>
      <c r="V50" s="66"/>
      <c r="W50" s="66"/>
      <c r="X50" s="66"/>
      <c r="Y50" s="66"/>
      <c r="Z50" s="66"/>
      <c r="AA50" s="66"/>
      <c r="AB50" s="66"/>
      <c r="AC50" s="66"/>
      <c r="AD50" s="66"/>
      <c r="AE50" s="66"/>
      <c r="AG50" s="67"/>
      <c r="AH50" s="67"/>
      <c r="AI50" s="67"/>
      <c r="AJ50" s="67"/>
      <c r="AL50" s="67"/>
      <c r="AM50" s="67"/>
      <c r="AN50" s="67"/>
      <c r="AO50" s="67"/>
      <c r="AP50" s="67"/>
      <c r="AQ50" s="67"/>
      <c r="AR50" s="67"/>
      <c r="AS50" s="67"/>
      <c r="AT50" s="66">
        <f>$B50*'FOD Basics'!$E$53</f>
        <v>0</v>
      </c>
      <c r="AU50" s="66">
        <f>$B50*'FOD Basics'!$F$53</f>
        <v>0</v>
      </c>
      <c r="AV50" s="66">
        <f>$B50*'FOD Basics'!$G$53</f>
        <v>0</v>
      </c>
      <c r="AW50" s="66">
        <f>$B50*'FOD Basics'!$H$53</f>
        <v>0</v>
      </c>
      <c r="AX50" s="66">
        <f>$B50*'FOD Basics'!$I$53</f>
        <v>0</v>
      </c>
      <c r="AY50" s="66">
        <f>$B50*'FOD Basics'!$J$53</f>
        <v>0</v>
      </c>
      <c r="AZ50" s="66">
        <f>$B50*'FOD Basics'!$K$53</f>
        <v>0</v>
      </c>
      <c r="BA50" s="66">
        <f>$B50*'FOD Basics'!$L$53</f>
        <v>0</v>
      </c>
      <c r="BB50" s="66">
        <f>$B50*'FOD Basics'!$M$53</f>
        <v>0</v>
      </c>
      <c r="BC50" s="66">
        <f>$B50*'FOD Basics'!$N$53</f>
        <v>0</v>
      </c>
      <c r="BD50" s="66">
        <f>$B50*'FOD Basics'!$O$53</f>
        <v>0</v>
      </c>
      <c r="BE50" s="66">
        <f>$B50*'FOD Basics'!$P$53</f>
        <v>0</v>
      </c>
      <c r="BF50" s="66">
        <f>$B50*'FOD Basics'!$Q$53</f>
        <v>0</v>
      </c>
      <c r="BG50" s="66">
        <f>$B50*'FOD Basics'!$R$53</f>
        <v>0</v>
      </c>
      <c r="BH50" s="66">
        <f>$B50*'FOD Basics'!$S$53</f>
        <v>0</v>
      </c>
      <c r="BI50" s="66">
        <f>$B50*'FOD Basics'!$T$53</f>
        <v>0</v>
      </c>
      <c r="BJ50" s="66">
        <f>$B50*'FOD Basics'!$U$53</f>
        <v>0</v>
      </c>
      <c r="BK50" s="66">
        <f>$B50*'FOD Basics'!$V$53</f>
        <v>0</v>
      </c>
      <c r="BL50" s="66">
        <f>$B50*'FOD Basics'!$W$53</f>
        <v>0</v>
      </c>
      <c r="BM50" s="66">
        <f>$B50*'FOD Basics'!$X$53</f>
        <v>0</v>
      </c>
      <c r="BN50" s="66">
        <f>$B50*'FOD Basics'!$Y$53</f>
        <v>0</v>
      </c>
      <c r="BO50" s="66">
        <f>$B50*'FOD Basics'!$Z$53</f>
        <v>0</v>
      </c>
      <c r="BP50" s="66">
        <f>$B50*'FOD Basics'!$AA$53</f>
        <v>0</v>
      </c>
      <c r="BQ50" s="66">
        <f>$B50*'FOD Basics'!$AB$53</f>
        <v>0</v>
      </c>
      <c r="BR50" s="66">
        <f>$B50*'FOD Basics'!$AC$53</f>
        <v>0</v>
      </c>
      <c r="BS50" s="66">
        <f>$B50*'FOD Basics'!$AD$53</f>
        <v>0</v>
      </c>
      <c r="BT50" s="66">
        <f>$B50*'FOD Basics'!$AE$53</f>
        <v>0</v>
      </c>
      <c r="BU50" s="66">
        <f>$B50*'FOD Basics'!$AF$53</f>
        <v>0</v>
      </c>
      <c r="BV50" s="66">
        <f>$B50*'FOD Basics'!$AG$53</f>
        <v>0</v>
      </c>
      <c r="BW50" s="66">
        <f>$B50*'FOD Basics'!$AH$53</f>
        <v>0</v>
      </c>
      <c r="BX50" s="66">
        <f>$B50*'FOD Basics'!$AI$53</f>
        <v>0</v>
      </c>
      <c r="BY50" s="66">
        <f>$B50*'FOD Basics'!$AJ$53</f>
        <v>0</v>
      </c>
      <c r="BZ50" s="66">
        <f>$B50*'FOD Basics'!$AK$53</f>
        <v>0</v>
      </c>
      <c r="CA50" s="66">
        <f>$B50*'FOD Basics'!$AL$53</f>
        <v>0</v>
      </c>
      <c r="CB50" s="66">
        <f>$B50*'FOD Basics'!$AM$53</f>
        <v>0</v>
      </c>
      <c r="CC50" s="66">
        <f>$B50*'FOD Basics'!$AN$53</f>
        <v>0</v>
      </c>
      <c r="CD50" s="66">
        <f>$B50*'FOD Basics'!$AO$53</f>
        <v>0</v>
      </c>
    </row>
    <row r="51" spans="1:82" x14ac:dyDescent="0.2">
      <c r="A51" s="64">
        <f t="shared" si="32"/>
        <v>2056</v>
      </c>
      <c r="B51" s="65">
        <f>'Input data'!M52</f>
        <v>0</v>
      </c>
      <c r="S51" s="66"/>
      <c r="T51" s="66"/>
      <c r="U51" s="66"/>
      <c r="V51" s="66"/>
      <c r="W51" s="66"/>
      <c r="X51" s="66"/>
      <c r="Y51" s="66"/>
      <c r="Z51" s="66"/>
      <c r="AA51" s="66"/>
      <c r="AB51" s="66"/>
      <c r="AC51" s="66"/>
      <c r="AD51" s="66"/>
      <c r="AE51" s="66"/>
      <c r="AL51" s="67"/>
      <c r="AM51" s="67"/>
      <c r="AN51" s="67"/>
      <c r="AO51" s="67"/>
      <c r="AP51" s="67"/>
      <c r="AQ51" s="67"/>
      <c r="AR51" s="67"/>
      <c r="AS51" s="67"/>
      <c r="AT51" s="67"/>
      <c r="AU51" s="66">
        <f>$B51*'FOD Basics'!$E$53</f>
        <v>0</v>
      </c>
      <c r="AV51" s="66">
        <f>$B51*'FOD Basics'!$F$53</f>
        <v>0</v>
      </c>
      <c r="AW51" s="66">
        <f>$B51*'FOD Basics'!$G$53</f>
        <v>0</v>
      </c>
      <c r="AX51" s="66">
        <f>$B51*'FOD Basics'!$H$53</f>
        <v>0</v>
      </c>
      <c r="AY51" s="66">
        <f>$B51*'FOD Basics'!$I$53</f>
        <v>0</v>
      </c>
      <c r="AZ51" s="66">
        <f>$B51*'FOD Basics'!$J$53</f>
        <v>0</v>
      </c>
      <c r="BA51" s="66">
        <f>$B51*'FOD Basics'!$K$53</f>
        <v>0</v>
      </c>
      <c r="BB51" s="66">
        <f>$B51*'FOD Basics'!$L$53</f>
        <v>0</v>
      </c>
      <c r="BC51" s="66">
        <f>$B51*'FOD Basics'!$M$53</f>
        <v>0</v>
      </c>
      <c r="BD51" s="66">
        <f>$B51*'FOD Basics'!$N$53</f>
        <v>0</v>
      </c>
      <c r="BE51" s="66">
        <f>$B51*'FOD Basics'!$O$53</f>
        <v>0</v>
      </c>
      <c r="BF51" s="66">
        <f>$B51*'FOD Basics'!$P$53</f>
        <v>0</v>
      </c>
      <c r="BG51" s="66">
        <f>$B51*'FOD Basics'!$Q$53</f>
        <v>0</v>
      </c>
      <c r="BH51" s="66">
        <f>$B51*'FOD Basics'!$R$53</f>
        <v>0</v>
      </c>
      <c r="BI51" s="66">
        <f>$B51*'FOD Basics'!$S$53</f>
        <v>0</v>
      </c>
      <c r="BJ51" s="66">
        <f>$B51*'FOD Basics'!$T$53</f>
        <v>0</v>
      </c>
      <c r="BK51" s="66">
        <f>$B51*'FOD Basics'!$U$53</f>
        <v>0</v>
      </c>
      <c r="BL51" s="66">
        <f>$B51*'FOD Basics'!$V$53</f>
        <v>0</v>
      </c>
      <c r="BM51" s="66">
        <f>$B51*'FOD Basics'!$W$53</f>
        <v>0</v>
      </c>
      <c r="BN51" s="66">
        <f>$B51*'FOD Basics'!$X$53</f>
        <v>0</v>
      </c>
      <c r="BO51" s="66">
        <f>$B51*'FOD Basics'!$Y$53</f>
        <v>0</v>
      </c>
      <c r="BP51" s="66">
        <f>$B51*'FOD Basics'!$Z$53</f>
        <v>0</v>
      </c>
      <c r="BQ51" s="66">
        <f>$B51*'FOD Basics'!$AA$53</f>
        <v>0</v>
      </c>
      <c r="BR51" s="66">
        <f>$B51*'FOD Basics'!$AB$53</f>
        <v>0</v>
      </c>
      <c r="BS51" s="66">
        <f>$B51*'FOD Basics'!$AC$53</f>
        <v>0</v>
      </c>
      <c r="BT51" s="66">
        <f>$B51*'FOD Basics'!$AD$53</f>
        <v>0</v>
      </c>
      <c r="BU51" s="66">
        <f>$B51*'FOD Basics'!$AE$53</f>
        <v>0</v>
      </c>
      <c r="BV51" s="66">
        <f>$B51*'FOD Basics'!$AF$53</f>
        <v>0</v>
      </c>
      <c r="BW51" s="66">
        <f>$B51*'FOD Basics'!$AG$53</f>
        <v>0</v>
      </c>
      <c r="BX51" s="66">
        <f>$B51*'FOD Basics'!$AH$53</f>
        <v>0</v>
      </c>
      <c r="BY51" s="66">
        <f>$B51*'FOD Basics'!$AI$53</f>
        <v>0</v>
      </c>
      <c r="BZ51" s="66">
        <f>$B51*'FOD Basics'!$AJ$53</f>
        <v>0</v>
      </c>
      <c r="CA51" s="66">
        <f>$B51*'FOD Basics'!$AK$53</f>
        <v>0</v>
      </c>
      <c r="CB51" s="66">
        <f>$B51*'FOD Basics'!$AL$53</f>
        <v>0</v>
      </c>
      <c r="CC51" s="66">
        <f>$B51*'FOD Basics'!$AM$53</f>
        <v>0</v>
      </c>
      <c r="CD51" s="66">
        <f>$B51*'FOD Basics'!$AN$53</f>
        <v>0</v>
      </c>
    </row>
    <row r="52" spans="1:82" x14ac:dyDescent="0.2">
      <c r="A52" s="64">
        <f t="shared" si="32"/>
        <v>2057</v>
      </c>
      <c r="B52" s="65">
        <f>'Input data'!M53</f>
        <v>0</v>
      </c>
      <c r="S52" s="66"/>
      <c r="T52" s="66"/>
      <c r="U52" s="66"/>
      <c r="V52" s="66"/>
      <c r="W52" s="66"/>
      <c r="X52" s="66"/>
      <c r="Y52" s="66"/>
      <c r="Z52" s="66"/>
      <c r="AA52" s="66"/>
      <c r="AB52" s="66"/>
      <c r="AC52" s="66"/>
      <c r="AD52" s="66"/>
      <c r="AE52" s="66"/>
      <c r="AL52" s="67"/>
      <c r="AM52" s="67"/>
      <c r="AN52" s="67"/>
      <c r="AO52" s="67"/>
      <c r="AP52" s="67"/>
      <c r="AQ52" s="67"/>
      <c r="AR52" s="67"/>
      <c r="AS52" s="67"/>
      <c r="AT52" s="67"/>
      <c r="AU52" s="67"/>
      <c r="AV52" s="66">
        <f>$B52*'FOD Basics'!$E$53</f>
        <v>0</v>
      </c>
      <c r="AW52" s="66">
        <f>$B52*'FOD Basics'!$F$53</f>
        <v>0</v>
      </c>
      <c r="AX52" s="66">
        <f>$B52*'FOD Basics'!$G$53</f>
        <v>0</v>
      </c>
      <c r="AY52" s="66">
        <f>$B52*'FOD Basics'!$H$53</f>
        <v>0</v>
      </c>
      <c r="AZ52" s="66">
        <f>$B52*'FOD Basics'!$I$53</f>
        <v>0</v>
      </c>
      <c r="BA52" s="66">
        <f>$B52*'FOD Basics'!$J$53</f>
        <v>0</v>
      </c>
      <c r="BB52" s="66">
        <f>$B52*'FOD Basics'!$K$53</f>
        <v>0</v>
      </c>
      <c r="BC52" s="66">
        <f>$B52*'FOD Basics'!$L$53</f>
        <v>0</v>
      </c>
      <c r="BD52" s="66">
        <f>$B52*'FOD Basics'!$M$53</f>
        <v>0</v>
      </c>
      <c r="BE52" s="66">
        <f>$B52*'FOD Basics'!$N$53</f>
        <v>0</v>
      </c>
      <c r="BF52" s="66">
        <f>$B52*'FOD Basics'!$O$53</f>
        <v>0</v>
      </c>
      <c r="BG52" s="66">
        <f>$B52*'FOD Basics'!$P$53</f>
        <v>0</v>
      </c>
      <c r="BH52" s="66">
        <f>$B52*'FOD Basics'!$Q$53</f>
        <v>0</v>
      </c>
      <c r="BI52" s="66">
        <f>$B52*'FOD Basics'!$R$53</f>
        <v>0</v>
      </c>
      <c r="BJ52" s="66">
        <f>$B52*'FOD Basics'!$S$53</f>
        <v>0</v>
      </c>
      <c r="BK52" s="66">
        <f>$B52*'FOD Basics'!$T$53</f>
        <v>0</v>
      </c>
      <c r="BL52" s="66">
        <f>$B52*'FOD Basics'!$U$53</f>
        <v>0</v>
      </c>
      <c r="BM52" s="66">
        <f>$B52*'FOD Basics'!$V$53</f>
        <v>0</v>
      </c>
      <c r="BN52" s="66">
        <f>$B52*'FOD Basics'!$W$53</f>
        <v>0</v>
      </c>
      <c r="BO52" s="66">
        <f>$B52*'FOD Basics'!$X$53</f>
        <v>0</v>
      </c>
      <c r="BP52" s="66">
        <f>$B52*'FOD Basics'!$Y$53</f>
        <v>0</v>
      </c>
      <c r="BQ52" s="66">
        <f>$B52*'FOD Basics'!$Z$53</f>
        <v>0</v>
      </c>
      <c r="BR52" s="66">
        <f>$B52*'FOD Basics'!$AA$53</f>
        <v>0</v>
      </c>
      <c r="BS52" s="66">
        <f>$B52*'FOD Basics'!$AB$53</f>
        <v>0</v>
      </c>
      <c r="BT52" s="66">
        <f>$B52*'FOD Basics'!$AC$53</f>
        <v>0</v>
      </c>
      <c r="BU52" s="66">
        <f>$B52*'FOD Basics'!$AD$53</f>
        <v>0</v>
      </c>
      <c r="BV52" s="66">
        <f>$B52*'FOD Basics'!$AE$53</f>
        <v>0</v>
      </c>
      <c r="BW52" s="66">
        <f>$B52*'FOD Basics'!$AF$53</f>
        <v>0</v>
      </c>
      <c r="BX52" s="66">
        <f>$B52*'FOD Basics'!$AG$53</f>
        <v>0</v>
      </c>
      <c r="BY52" s="66">
        <f>$B52*'FOD Basics'!$AH$53</f>
        <v>0</v>
      </c>
      <c r="BZ52" s="66">
        <f>$B52*'FOD Basics'!$AI$53</f>
        <v>0</v>
      </c>
      <c r="CA52" s="66">
        <f>$B52*'FOD Basics'!$AJ$53</f>
        <v>0</v>
      </c>
      <c r="CB52" s="66">
        <f>$B52*'FOD Basics'!$AK$53</f>
        <v>0</v>
      </c>
      <c r="CC52" s="66">
        <f>$B52*'FOD Basics'!$AL$53</f>
        <v>0</v>
      </c>
      <c r="CD52" s="66">
        <f>$B52*'FOD Basics'!$AM$53</f>
        <v>0</v>
      </c>
    </row>
    <row r="53" spans="1:82" x14ac:dyDescent="0.2">
      <c r="A53" s="64">
        <f t="shared" si="32"/>
        <v>2058</v>
      </c>
      <c r="B53" s="65">
        <f>'Input data'!M54</f>
        <v>0</v>
      </c>
      <c r="S53" s="66"/>
      <c r="T53" s="66"/>
      <c r="U53" s="66"/>
      <c r="V53" s="66"/>
      <c r="W53" s="66"/>
      <c r="X53" s="66"/>
      <c r="Y53" s="66"/>
      <c r="Z53" s="66"/>
      <c r="AA53" s="66"/>
      <c r="AB53" s="66"/>
      <c r="AC53" s="66"/>
      <c r="AD53" s="66"/>
      <c r="AE53" s="66"/>
      <c r="AL53" s="67"/>
      <c r="AM53" s="67"/>
      <c r="AN53" s="67"/>
      <c r="AO53" s="67"/>
      <c r="AP53" s="67"/>
      <c r="AQ53" s="67"/>
      <c r="AR53" s="67"/>
      <c r="AS53" s="67"/>
      <c r="AT53" s="67"/>
      <c r="AU53" s="67"/>
      <c r="AV53" s="67"/>
      <c r="AW53" s="66">
        <f>$B53*'FOD Basics'!$E$53</f>
        <v>0</v>
      </c>
      <c r="AX53" s="66">
        <f>$B53*'FOD Basics'!$F$53</f>
        <v>0</v>
      </c>
      <c r="AY53" s="66">
        <f>$B53*'FOD Basics'!$G$53</f>
        <v>0</v>
      </c>
      <c r="AZ53" s="66">
        <f>$B53*'FOD Basics'!$H$53</f>
        <v>0</v>
      </c>
      <c r="BA53" s="66">
        <f>$B53*'FOD Basics'!$I$53</f>
        <v>0</v>
      </c>
      <c r="BB53" s="66">
        <f>$B53*'FOD Basics'!$J$53</f>
        <v>0</v>
      </c>
      <c r="BC53" s="66">
        <f>$B53*'FOD Basics'!$K$53</f>
        <v>0</v>
      </c>
      <c r="BD53" s="66">
        <f>$B53*'FOD Basics'!$L$53</f>
        <v>0</v>
      </c>
      <c r="BE53" s="66">
        <f>$B53*'FOD Basics'!$M$53</f>
        <v>0</v>
      </c>
      <c r="BF53" s="66">
        <f>$B53*'FOD Basics'!$N$53</f>
        <v>0</v>
      </c>
      <c r="BG53" s="66">
        <f>$B53*'FOD Basics'!$O$53</f>
        <v>0</v>
      </c>
      <c r="BH53" s="66">
        <f>$B53*'FOD Basics'!$P$53</f>
        <v>0</v>
      </c>
      <c r="BI53" s="66">
        <f>$B53*'FOD Basics'!$Q$53</f>
        <v>0</v>
      </c>
      <c r="BJ53" s="66">
        <f>$B53*'FOD Basics'!$R$53</f>
        <v>0</v>
      </c>
      <c r="BK53" s="66">
        <f>$B53*'FOD Basics'!$S$53</f>
        <v>0</v>
      </c>
      <c r="BL53" s="66">
        <f>$B53*'FOD Basics'!$T$53</f>
        <v>0</v>
      </c>
      <c r="BM53" s="66">
        <f>$B53*'FOD Basics'!$U$53</f>
        <v>0</v>
      </c>
      <c r="BN53" s="66">
        <f>$B53*'FOD Basics'!$V$53</f>
        <v>0</v>
      </c>
      <c r="BO53" s="66">
        <f>$B53*'FOD Basics'!$W$53</f>
        <v>0</v>
      </c>
      <c r="BP53" s="66">
        <f>$B53*'FOD Basics'!$X$53</f>
        <v>0</v>
      </c>
      <c r="BQ53" s="66">
        <f>$B53*'FOD Basics'!$Y$53</f>
        <v>0</v>
      </c>
      <c r="BR53" s="66">
        <f>$B53*'FOD Basics'!$Z$53</f>
        <v>0</v>
      </c>
      <c r="BS53" s="66">
        <f>$B53*'FOD Basics'!$AA$53</f>
        <v>0</v>
      </c>
      <c r="BT53" s="66">
        <f>$B53*'FOD Basics'!$AB$53</f>
        <v>0</v>
      </c>
      <c r="BU53" s="66">
        <f>$B53*'FOD Basics'!$AC$53</f>
        <v>0</v>
      </c>
      <c r="BV53" s="66">
        <f>$B53*'FOD Basics'!$AD$53</f>
        <v>0</v>
      </c>
      <c r="BW53" s="66">
        <f>$B53*'FOD Basics'!$AE$53</f>
        <v>0</v>
      </c>
      <c r="BX53" s="66">
        <f>$B53*'FOD Basics'!$AF$53</f>
        <v>0</v>
      </c>
      <c r="BY53" s="66">
        <f>$B53*'FOD Basics'!$AG$53</f>
        <v>0</v>
      </c>
      <c r="BZ53" s="66">
        <f>$B53*'FOD Basics'!$AH$53</f>
        <v>0</v>
      </c>
      <c r="CA53" s="66">
        <f>$B53*'FOD Basics'!$AI$53</f>
        <v>0</v>
      </c>
      <c r="CB53" s="66">
        <f>$B53*'FOD Basics'!$AJ$53</f>
        <v>0</v>
      </c>
      <c r="CC53" s="66">
        <f>$B53*'FOD Basics'!$AK$53</f>
        <v>0</v>
      </c>
      <c r="CD53" s="66">
        <f>$B53*'FOD Basics'!$AL$53</f>
        <v>0</v>
      </c>
    </row>
    <row r="54" spans="1:82" x14ac:dyDescent="0.2">
      <c r="A54" s="64">
        <f t="shared" si="32"/>
        <v>2059</v>
      </c>
      <c r="B54" s="65">
        <f>'Input data'!M55</f>
        <v>0</v>
      </c>
      <c r="S54" s="66"/>
      <c r="T54" s="66"/>
      <c r="U54" s="66"/>
      <c r="V54" s="66"/>
      <c r="W54" s="66"/>
      <c r="X54" s="66"/>
      <c r="Y54" s="66"/>
      <c r="Z54" s="66"/>
      <c r="AA54" s="66"/>
      <c r="AB54" s="66"/>
      <c r="AC54" s="66"/>
      <c r="AD54" s="66"/>
      <c r="AE54" s="66"/>
      <c r="AL54" s="67"/>
      <c r="AM54" s="67"/>
      <c r="AN54" s="67"/>
      <c r="AO54" s="67"/>
      <c r="AP54" s="67"/>
      <c r="AQ54" s="67"/>
      <c r="AR54" s="67"/>
      <c r="AS54" s="67"/>
      <c r="AT54" s="67"/>
      <c r="AU54" s="67"/>
      <c r="AV54" s="67"/>
      <c r="AW54" s="67"/>
      <c r="AX54" s="66">
        <f>$B54*'FOD Basics'!$E$53</f>
        <v>0</v>
      </c>
      <c r="AY54" s="66">
        <f>$B54*'FOD Basics'!$F$53</f>
        <v>0</v>
      </c>
      <c r="AZ54" s="66">
        <f>$B54*'FOD Basics'!$G$53</f>
        <v>0</v>
      </c>
      <c r="BA54" s="66">
        <f>$B54*'FOD Basics'!$H$53</f>
        <v>0</v>
      </c>
      <c r="BB54" s="66">
        <f>$B54*'FOD Basics'!$I$53</f>
        <v>0</v>
      </c>
      <c r="BC54" s="66">
        <f>$B54*'FOD Basics'!$J$53</f>
        <v>0</v>
      </c>
      <c r="BD54" s="66">
        <f>$B54*'FOD Basics'!$K$53</f>
        <v>0</v>
      </c>
      <c r="BE54" s="66">
        <f>$B54*'FOD Basics'!$L$53</f>
        <v>0</v>
      </c>
      <c r="BF54" s="66">
        <f>$B54*'FOD Basics'!$M$53</f>
        <v>0</v>
      </c>
      <c r="BG54" s="66">
        <f>$B54*'FOD Basics'!$N$53</f>
        <v>0</v>
      </c>
      <c r="BH54" s="66">
        <f>$B54*'FOD Basics'!$O$53</f>
        <v>0</v>
      </c>
      <c r="BI54" s="66">
        <f>$B54*'FOD Basics'!$P$53</f>
        <v>0</v>
      </c>
      <c r="BJ54" s="66">
        <f>$B54*'FOD Basics'!$Q$53</f>
        <v>0</v>
      </c>
      <c r="BK54" s="66">
        <f>$B54*'FOD Basics'!$R$53</f>
        <v>0</v>
      </c>
      <c r="BL54" s="66">
        <f>$B54*'FOD Basics'!$S$53</f>
        <v>0</v>
      </c>
      <c r="BM54" s="66">
        <f>$B54*'FOD Basics'!$T$53</f>
        <v>0</v>
      </c>
      <c r="BN54" s="66">
        <f>$B54*'FOD Basics'!$U$53</f>
        <v>0</v>
      </c>
      <c r="BO54" s="66">
        <f>$B54*'FOD Basics'!$V$53</f>
        <v>0</v>
      </c>
      <c r="BP54" s="66">
        <f>$B54*'FOD Basics'!$W$53</f>
        <v>0</v>
      </c>
      <c r="BQ54" s="66">
        <f>$B54*'FOD Basics'!$X$53</f>
        <v>0</v>
      </c>
      <c r="BR54" s="66">
        <f>$B54*'FOD Basics'!$Y$53</f>
        <v>0</v>
      </c>
      <c r="BS54" s="66">
        <f>$B54*'FOD Basics'!$Z$53</f>
        <v>0</v>
      </c>
      <c r="BT54" s="66">
        <f>$B54*'FOD Basics'!$AA$53</f>
        <v>0</v>
      </c>
      <c r="BU54" s="66">
        <f>$B54*'FOD Basics'!$AB$53</f>
        <v>0</v>
      </c>
      <c r="BV54" s="66">
        <f>$B54*'FOD Basics'!$AC$53</f>
        <v>0</v>
      </c>
      <c r="BW54" s="66">
        <f>$B54*'FOD Basics'!$AD$53</f>
        <v>0</v>
      </c>
      <c r="BX54" s="66">
        <f>$B54*'FOD Basics'!$AE$53</f>
        <v>0</v>
      </c>
      <c r="BY54" s="66">
        <f>$B54*'FOD Basics'!$AF$53</f>
        <v>0</v>
      </c>
      <c r="BZ54" s="66">
        <f>$B54*'FOD Basics'!$AG$53</f>
        <v>0</v>
      </c>
      <c r="CA54" s="66">
        <f>$B54*'FOD Basics'!$AH$53</f>
        <v>0</v>
      </c>
      <c r="CB54" s="66">
        <f>$B54*'FOD Basics'!$AI$53</f>
        <v>0</v>
      </c>
      <c r="CC54" s="66">
        <f>$B54*'FOD Basics'!$AJ$53</f>
        <v>0</v>
      </c>
      <c r="CD54" s="66">
        <f>$B54*'FOD Basics'!$AK$53</f>
        <v>0</v>
      </c>
    </row>
    <row r="55" spans="1:82" x14ac:dyDescent="0.2">
      <c r="A55" s="64">
        <f t="shared" si="32"/>
        <v>2060</v>
      </c>
      <c r="B55" s="65">
        <f>'Input data'!M56</f>
        <v>0</v>
      </c>
      <c r="S55" s="66"/>
      <c r="T55" s="66"/>
      <c r="U55" s="66"/>
      <c r="V55" s="66"/>
      <c r="W55" s="66"/>
      <c r="X55" s="66"/>
      <c r="Y55" s="66"/>
      <c r="Z55" s="66"/>
      <c r="AA55" s="66"/>
      <c r="AB55" s="66"/>
      <c r="AC55" s="66"/>
      <c r="AD55" s="66"/>
      <c r="AE55" s="66"/>
      <c r="AL55" s="67"/>
      <c r="AM55" s="67"/>
      <c r="AN55" s="67"/>
      <c r="AO55" s="67"/>
      <c r="AP55" s="67"/>
      <c r="AQ55" s="67"/>
      <c r="AR55" s="67"/>
      <c r="AS55" s="67"/>
      <c r="AT55" s="67"/>
      <c r="AU55" s="67"/>
      <c r="AV55" s="67"/>
      <c r="AW55" s="67"/>
      <c r="AX55" s="67"/>
      <c r="AY55" s="66">
        <f>$B55*'FOD Basics'!$E$53</f>
        <v>0</v>
      </c>
      <c r="AZ55" s="66">
        <f>$B55*'FOD Basics'!$F$53</f>
        <v>0</v>
      </c>
      <c r="BA55" s="66">
        <f>$B55*'FOD Basics'!$G$53</f>
        <v>0</v>
      </c>
      <c r="BB55" s="66">
        <f>$B55*'FOD Basics'!$H$53</f>
        <v>0</v>
      </c>
      <c r="BC55" s="66">
        <f>$B55*'FOD Basics'!$I$53</f>
        <v>0</v>
      </c>
      <c r="BD55" s="66">
        <f>$B55*'FOD Basics'!$J$53</f>
        <v>0</v>
      </c>
      <c r="BE55" s="66">
        <f>$B55*'FOD Basics'!$K$53</f>
        <v>0</v>
      </c>
      <c r="BF55" s="66">
        <f>$B55*'FOD Basics'!$L$53</f>
        <v>0</v>
      </c>
      <c r="BG55" s="66">
        <f>$B55*'FOD Basics'!$M$53</f>
        <v>0</v>
      </c>
      <c r="BH55" s="66">
        <f>$B55*'FOD Basics'!$N$53</f>
        <v>0</v>
      </c>
      <c r="BI55" s="66">
        <f>$B55*'FOD Basics'!$O$53</f>
        <v>0</v>
      </c>
      <c r="BJ55" s="66">
        <f>$B55*'FOD Basics'!$P$53</f>
        <v>0</v>
      </c>
      <c r="BK55" s="66">
        <f>$B55*'FOD Basics'!$Q$53</f>
        <v>0</v>
      </c>
      <c r="BL55" s="66">
        <f>$B55*'FOD Basics'!$R$53</f>
        <v>0</v>
      </c>
      <c r="BM55" s="66">
        <f>$B55*'FOD Basics'!$S$53</f>
        <v>0</v>
      </c>
      <c r="BN55" s="66">
        <f>$B55*'FOD Basics'!$T$53</f>
        <v>0</v>
      </c>
      <c r="BO55" s="66">
        <f>$B55*'FOD Basics'!$U$53</f>
        <v>0</v>
      </c>
      <c r="BP55" s="66">
        <f>$B55*'FOD Basics'!$V$53</f>
        <v>0</v>
      </c>
      <c r="BQ55" s="66">
        <f>$B55*'FOD Basics'!$W$53</f>
        <v>0</v>
      </c>
      <c r="BR55" s="66">
        <f>$B55*'FOD Basics'!$X$53</f>
        <v>0</v>
      </c>
      <c r="BS55" s="66">
        <f>$B55*'FOD Basics'!$Y$53</f>
        <v>0</v>
      </c>
      <c r="BT55" s="66">
        <f>$B55*'FOD Basics'!$Z$53</f>
        <v>0</v>
      </c>
      <c r="BU55" s="66">
        <f>$B55*'FOD Basics'!$AA$53</f>
        <v>0</v>
      </c>
      <c r="BV55" s="66">
        <f>$B55*'FOD Basics'!$AB$53</f>
        <v>0</v>
      </c>
      <c r="BW55" s="66">
        <f>$B55*'FOD Basics'!$AC$53</f>
        <v>0</v>
      </c>
      <c r="BX55" s="66">
        <f>$B55*'FOD Basics'!$AD$53</f>
        <v>0</v>
      </c>
      <c r="BY55" s="66">
        <f>$B55*'FOD Basics'!$AE$53</f>
        <v>0</v>
      </c>
      <c r="BZ55" s="66">
        <f>$B55*'FOD Basics'!$AF$53</f>
        <v>0</v>
      </c>
      <c r="CA55" s="66">
        <f>$B55*'FOD Basics'!$AG$53</f>
        <v>0</v>
      </c>
      <c r="CB55" s="66">
        <f>$B55*'FOD Basics'!$AH$53</f>
        <v>0</v>
      </c>
      <c r="CC55" s="66">
        <f>$B55*'FOD Basics'!$AI$53</f>
        <v>0</v>
      </c>
      <c r="CD55" s="66">
        <f>$B55*'FOD Basics'!$AJ$53</f>
        <v>0</v>
      </c>
    </row>
    <row r="56" spans="1:82" x14ac:dyDescent="0.2">
      <c r="A56" s="64">
        <f t="shared" si="32"/>
        <v>2061</v>
      </c>
      <c r="B56" s="65">
        <f>'Input data'!M57</f>
        <v>0</v>
      </c>
      <c r="S56" s="66"/>
      <c r="T56" s="66"/>
      <c r="U56" s="66"/>
      <c r="V56" s="66"/>
      <c r="W56" s="66"/>
      <c r="X56" s="66"/>
      <c r="Y56" s="66"/>
      <c r="Z56" s="66"/>
      <c r="AA56" s="66"/>
      <c r="AB56" s="66"/>
      <c r="AC56" s="66"/>
      <c r="AD56" s="66"/>
      <c r="AE56" s="66"/>
      <c r="AL56" s="67"/>
      <c r="AZ56" s="66">
        <f>$B56*'FOD Basics'!$E$53</f>
        <v>0</v>
      </c>
      <c r="BA56" s="66">
        <f>$B56*'FOD Basics'!$F$53</f>
        <v>0</v>
      </c>
      <c r="BB56" s="66">
        <f>$B56*'FOD Basics'!$G$53</f>
        <v>0</v>
      </c>
      <c r="BC56" s="66">
        <f>$B56*'FOD Basics'!$H$53</f>
        <v>0</v>
      </c>
      <c r="BD56" s="66">
        <f>$B56*'FOD Basics'!$I$53</f>
        <v>0</v>
      </c>
      <c r="BE56" s="66">
        <f>$B56*'FOD Basics'!$J$53</f>
        <v>0</v>
      </c>
      <c r="BF56" s="66">
        <f>$B56*'FOD Basics'!$K$53</f>
        <v>0</v>
      </c>
      <c r="BG56" s="66">
        <f>$B56*'FOD Basics'!$L$53</f>
        <v>0</v>
      </c>
      <c r="BH56" s="66">
        <f>$B56*'FOD Basics'!$M$53</f>
        <v>0</v>
      </c>
      <c r="BI56" s="66">
        <f>$B56*'FOD Basics'!$N$53</f>
        <v>0</v>
      </c>
      <c r="BJ56" s="66">
        <f>$B56*'FOD Basics'!$O$53</f>
        <v>0</v>
      </c>
      <c r="BK56" s="66">
        <f>$B56*'FOD Basics'!$P$53</f>
        <v>0</v>
      </c>
      <c r="BL56" s="66">
        <f>$B56*'FOD Basics'!$Q$53</f>
        <v>0</v>
      </c>
      <c r="BM56" s="66">
        <f>$B56*'FOD Basics'!$R$53</f>
        <v>0</v>
      </c>
      <c r="BN56" s="66">
        <f>$B56*'FOD Basics'!$S$53</f>
        <v>0</v>
      </c>
      <c r="BO56" s="66">
        <f>$B56*'FOD Basics'!$T$53</f>
        <v>0</v>
      </c>
      <c r="BP56" s="66">
        <f>$B56*'FOD Basics'!$U$53</f>
        <v>0</v>
      </c>
      <c r="BQ56" s="66">
        <f>$B56*'FOD Basics'!$V$53</f>
        <v>0</v>
      </c>
      <c r="BR56" s="66">
        <f>$B56*'FOD Basics'!$W$53</f>
        <v>0</v>
      </c>
      <c r="BS56" s="66">
        <f>$B56*'FOD Basics'!$X$53</f>
        <v>0</v>
      </c>
      <c r="BT56" s="66">
        <f>$B56*'FOD Basics'!$Y$53</f>
        <v>0</v>
      </c>
      <c r="BU56" s="66">
        <f>$B56*'FOD Basics'!$Z$53</f>
        <v>0</v>
      </c>
      <c r="BV56" s="66">
        <f>$B56*'FOD Basics'!$AA$53</f>
        <v>0</v>
      </c>
      <c r="BW56" s="66">
        <f>$B56*'FOD Basics'!$AB$53</f>
        <v>0</v>
      </c>
      <c r="BX56" s="66">
        <f>$B56*'FOD Basics'!$AC$53</f>
        <v>0</v>
      </c>
      <c r="BY56" s="66">
        <f>$B56*'FOD Basics'!$AD$53</f>
        <v>0</v>
      </c>
      <c r="BZ56" s="66">
        <f>$B56*'FOD Basics'!$AE$53</f>
        <v>0</v>
      </c>
      <c r="CA56" s="66">
        <f>$B56*'FOD Basics'!$AF$53</f>
        <v>0</v>
      </c>
      <c r="CB56" s="66">
        <f>$B56*'FOD Basics'!$AG$53</f>
        <v>0</v>
      </c>
      <c r="CC56" s="66">
        <f>$B56*'FOD Basics'!$AH$53</f>
        <v>0</v>
      </c>
      <c r="CD56" s="66">
        <f>$B56*'FOD Basics'!$AI$53</f>
        <v>0</v>
      </c>
    </row>
    <row r="57" spans="1:82" x14ac:dyDescent="0.2">
      <c r="A57" s="64">
        <f t="shared" si="32"/>
        <v>2062</v>
      </c>
      <c r="B57" s="65">
        <f>'Input data'!M58</f>
        <v>0</v>
      </c>
      <c r="S57" s="66"/>
      <c r="T57" s="66"/>
      <c r="U57" s="66"/>
      <c r="V57" s="66"/>
      <c r="W57" s="66"/>
      <c r="X57" s="66"/>
      <c r="Y57" s="66"/>
      <c r="Z57" s="66"/>
      <c r="AA57" s="66"/>
      <c r="AB57" s="66"/>
      <c r="AC57" s="66"/>
      <c r="AD57" s="66"/>
      <c r="AE57" s="66"/>
      <c r="AL57" s="67"/>
      <c r="AZ57" s="66"/>
      <c r="BA57" s="66">
        <f>$B57*'FOD Basics'!$E$53</f>
        <v>0</v>
      </c>
      <c r="BB57" s="66">
        <f>$B57*'FOD Basics'!$F$53</f>
        <v>0</v>
      </c>
      <c r="BC57" s="66">
        <f>$B57*'FOD Basics'!$G$53</f>
        <v>0</v>
      </c>
      <c r="BD57" s="66">
        <f>$B57*'FOD Basics'!$H$53</f>
        <v>0</v>
      </c>
      <c r="BE57" s="66">
        <f>$B57*'FOD Basics'!$I$53</f>
        <v>0</v>
      </c>
      <c r="BF57" s="66">
        <f>$B57*'FOD Basics'!$J$53</f>
        <v>0</v>
      </c>
      <c r="BG57" s="66">
        <f>$B57*'FOD Basics'!$K$53</f>
        <v>0</v>
      </c>
      <c r="BH57" s="66">
        <f>$B57*'FOD Basics'!$L$53</f>
        <v>0</v>
      </c>
      <c r="BI57" s="66">
        <f>$B57*'FOD Basics'!$M$53</f>
        <v>0</v>
      </c>
      <c r="BJ57" s="66">
        <f>$B57*'FOD Basics'!$N$53</f>
        <v>0</v>
      </c>
      <c r="BK57" s="66">
        <f>$B57*'FOD Basics'!$O$53</f>
        <v>0</v>
      </c>
      <c r="BL57" s="66">
        <f>$B57*'FOD Basics'!$P$53</f>
        <v>0</v>
      </c>
      <c r="BM57" s="66">
        <f>$B57*'FOD Basics'!$Q$53</f>
        <v>0</v>
      </c>
      <c r="BN57" s="66">
        <f>$B57*'FOD Basics'!$R$53</f>
        <v>0</v>
      </c>
      <c r="BO57" s="66">
        <f>$B57*'FOD Basics'!$S$53</f>
        <v>0</v>
      </c>
      <c r="BP57" s="66">
        <f>$B57*'FOD Basics'!$T$53</f>
        <v>0</v>
      </c>
      <c r="BQ57" s="66">
        <f>$B57*'FOD Basics'!$U$53</f>
        <v>0</v>
      </c>
      <c r="BR57" s="66">
        <f>$B57*'FOD Basics'!$V$53</f>
        <v>0</v>
      </c>
      <c r="BS57" s="66">
        <f>$B57*'FOD Basics'!$W$53</f>
        <v>0</v>
      </c>
      <c r="BT57" s="66">
        <f>$B57*'FOD Basics'!$X$53</f>
        <v>0</v>
      </c>
      <c r="BU57" s="66">
        <f>$B57*'FOD Basics'!$Y$53</f>
        <v>0</v>
      </c>
      <c r="BV57" s="66">
        <f>$B57*'FOD Basics'!$Z$53</f>
        <v>0</v>
      </c>
      <c r="BW57" s="66">
        <f>$B57*'FOD Basics'!$AA$53</f>
        <v>0</v>
      </c>
      <c r="BX57" s="66">
        <f>$B57*'FOD Basics'!$AB$53</f>
        <v>0</v>
      </c>
      <c r="BY57" s="66">
        <f>$B57*'FOD Basics'!$AC$53</f>
        <v>0</v>
      </c>
      <c r="BZ57" s="66">
        <f>$B57*'FOD Basics'!$AD$53</f>
        <v>0</v>
      </c>
      <c r="CA57" s="66">
        <f>$B57*'FOD Basics'!$AE$53</f>
        <v>0</v>
      </c>
      <c r="CB57" s="66">
        <f>$B57*'FOD Basics'!$AF$53</f>
        <v>0</v>
      </c>
      <c r="CC57" s="66">
        <f>$B57*'FOD Basics'!$AG$53</f>
        <v>0</v>
      </c>
      <c r="CD57" s="66">
        <f>$B57*'FOD Basics'!$AH$53</f>
        <v>0</v>
      </c>
    </row>
    <row r="58" spans="1:82" x14ac:dyDescent="0.2">
      <c r="A58" s="64">
        <f t="shared" si="32"/>
        <v>2063</v>
      </c>
      <c r="B58" s="65">
        <f>'Input data'!M59</f>
        <v>0</v>
      </c>
      <c r="S58" s="66"/>
      <c r="T58" s="66"/>
      <c r="U58" s="66"/>
      <c r="V58" s="66"/>
      <c r="W58" s="66"/>
      <c r="X58" s="66"/>
      <c r="Y58" s="66"/>
      <c r="Z58" s="66"/>
      <c r="AA58" s="66"/>
      <c r="AB58" s="66"/>
      <c r="AC58" s="66"/>
      <c r="AD58" s="66"/>
      <c r="AE58" s="66"/>
      <c r="AL58" s="67"/>
      <c r="AZ58" s="66"/>
      <c r="BA58" s="66"/>
      <c r="BB58" s="66">
        <f>$B58*'FOD Basics'!$E$53</f>
        <v>0</v>
      </c>
      <c r="BC58" s="66">
        <f>$B58*'FOD Basics'!$F$53</f>
        <v>0</v>
      </c>
      <c r="BD58" s="66">
        <f>$B58*'FOD Basics'!$G$53</f>
        <v>0</v>
      </c>
      <c r="BE58" s="66">
        <f>$B58*'FOD Basics'!$H$53</f>
        <v>0</v>
      </c>
      <c r="BF58" s="66">
        <f>$B58*'FOD Basics'!$I$53</f>
        <v>0</v>
      </c>
      <c r="BG58" s="66">
        <f>$B58*'FOD Basics'!$J$53</f>
        <v>0</v>
      </c>
      <c r="BH58" s="66">
        <f>$B58*'FOD Basics'!$K$53</f>
        <v>0</v>
      </c>
      <c r="BI58" s="66">
        <f>$B58*'FOD Basics'!$L$53</f>
        <v>0</v>
      </c>
      <c r="BJ58" s="66">
        <f>$B58*'FOD Basics'!$M$53</f>
        <v>0</v>
      </c>
      <c r="BK58" s="66">
        <f>$B58*'FOD Basics'!$N$53</f>
        <v>0</v>
      </c>
      <c r="BL58" s="66">
        <f>$B58*'FOD Basics'!$O$53</f>
        <v>0</v>
      </c>
      <c r="BM58" s="66">
        <f>$B58*'FOD Basics'!$P$53</f>
        <v>0</v>
      </c>
      <c r="BN58" s="66">
        <f>$B58*'FOD Basics'!$Q$53</f>
        <v>0</v>
      </c>
      <c r="BO58" s="66">
        <f>$B58*'FOD Basics'!$R$53</f>
        <v>0</v>
      </c>
      <c r="BP58" s="66">
        <f>$B58*'FOD Basics'!$S$53</f>
        <v>0</v>
      </c>
      <c r="BQ58" s="66">
        <f>$B58*'FOD Basics'!$T$53</f>
        <v>0</v>
      </c>
      <c r="BR58" s="66">
        <f>$B58*'FOD Basics'!$U$53</f>
        <v>0</v>
      </c>
      <c r="BS58" s="66">
        <f>$B58*'FOD Basics'!$V$53</f>
        <v>0</v>
      </c>
      <c r="BT58" s="66">
        <f>$B58*'FOD Basics'!$W$53</f>
        <v>0</v>
      </c>
      <c r="BU58" s="66">
        <f>$B58*'FOD Basics'!$X$53</f>
        <v>0</v>
      </c>
      <c r="BV58" s="66">
        <f>$B58*'FOD Basics'!$Y$53</f>
        <v>0</v>
      </c>
      <c r="BW58" s="66">
        <f>$B58*'FOD Basics'!$Z$53</f>
        <v>0</v>
      </c>
      <c r="BX58" s="66">
        <f>$B58*'FOD Basics'!$AA$53</f>
        <v>0</v>
      </c>
      <c r="BY58" s="66">
        <f>$B58*'FOD Basics'!$AB$53</f>
        <v>0</v>
      </c>
      <c r="BZ58" s="66">
        <f>$B58*'FOD Basics'!$AC$53</f>
        <v>0</v>
      </c>
      <c r="CA58" s="66">
        <f>$B58*'FOD Basics'!$AD$53</f>
        <v>0</v>
      </c>
      <c r="CB58" s="66">
        <f>$B58*'FOD Basics'!$AE$53</f>
        <v>0</v>
      </c>
      <c r="CC58" s="66">
        <f>$B58*'FOD Basics'!$AF$53</f>
        <v>0</v>
      </c>
      <c r="CD58" s="66">
        <f>$B58*'FOD Basics'!$AG$53</f>
        <v>0</v>
      </c>
    </row>
    <row r="59" spans="1:82" x14ac:dyDescent="0.2">
      <c r="A59" s="64">
        <f t="shared" si="32"/>
        <v>2064</v>
      </c>
      <c r="B59" s="65">
        <f>'Input data'!M60</f>
        <v>0</v>
      </c>
      <c r="S59" s="66"/>
      <c r="T59" s="66"/>
      <c r="U59" s="66"/>
      <c r="V59" s="66"/>
      <c r="W59" s="66"/>
      <c r="X59" s="66"/>
      <c r="Y59" s="66"/>
      <c r="Z59" s="66"/>
      <c r="AA59" s="66"/>
      <c r="AB59" s="66"/>
      <c r="AC59" s="66"/>
      <c r="AD59" s="66"/>
      <c r="AE59" s="66"/>
      <c r="AL59" s="67"/>
      <c r="AZ59" s="66"/>
      <c r="BA59" s="66"/>
      <c r="BB59" s="66"/>
      <c r="BC59" s="66">
        <f>$B59*'FOD Basics'!$E$53</f>
        <v>0</v>
      </c>
      <c r="BD59" s="66">
        <f>$B59*'FOD Basics'!$F$53</f>
        <v>0</v>
      </c>
      <c r="BE59" s="66">
        <f>$B59*'FOD Basics'!$G$53</f>
        <v>0</v>
      </c>
      <c r="BF59" s="66">
        <f>$B59*'FOD Basics'!$H$53</f>
        <v>0</v>
      </c>
      <c r="BG59" s="66">
        <f>$B59*'FOD Basics'!$I$53</f>
        <v>0</v>
      </c>
      <c r="BH59" s="66">
        <f>$B59*'FOD Basics'!$J$53</f>
        <v>0</v>
      </c>
      <c r="BI59" s="66">
        <f>$B59*'FOD Basics'!$K$53</f>
        <v>0</v>
      </c>
      <c r="BJ59" s="66">
        <f>$B59*'FOD Basics'!$L$53</f>
        <v>0</v>
      </c>
      <c r="BK59" s="66">
        <f>$B59*'FOD Basics'!$M$53</f>
        <v>0</v>
      </c>
      <c r="BL59" s="66">
        <f>$B59*'FOD Basics'!$N$53</f>
        <v>0</v>
      </c>
      <c r="BM59" s="66">
        <f>$B59*'FOD Basics'!$O$53</f>
        <v>0</v>
      </c>
      <c r="BN59" s="66">
        <f>$B59*'FOD Basics'!$P$53</f>
        <v>0</v>
      </c>
      <c r="BO59" s="66">
        <f>$B59*'FOD Basics'!$Q$53</f>
        <v>0</v>
      </c>
      <c r="BP59" s="66">
        <f>$B59*'FOD Basics'!$R$53</f>
        <v>0</v>
      </c>
      <c r="BQ59" s="66">
        <f>$B59*'FOD Basics'!$S$53</f>
        <v>0</v>
      </c>
      <c r="BR59" s="66">
        <f>$B59*'FOD Basics'!$T$53</f>
        <v>0</v>
      </c>
      <c r="BS59" s="66">
        <f>$B59*'FOD Basics'!$U$53</f>
        <v>0</v>
      </c>
      <c r="BT59" s="66">
        <f>$B59*'FOD Basics'!$V$53</f>
        <v>0</v>
      </c>
      <c r="BU59" s="66">
        <f>$B59*'FOD Basics'!$W$53</f>
        <v>0</v>
      </c>
      <c r="BV59" s="66">
        <f>$B59*'FOD Basics'!$X$53</f>
        <v>0</v>
      </c>
      <c r="BW59" s="66">
        <f>$B59*'FOD Basics'!$Y$53</f>
        <v>0</v>
      </c>
      <c r="BX59" s="66">
        <f>$B59*'FOD Basics'!$Z$53</f>
        <v>0</v>
      </c>
      <c r="BY59" s="66">
        <f>$B59*'FOD Basics'!$AA$53</f>
        <v>0</v>
      </c>
      <c r="BZ59" s="66">
        <f>$B59*'FOD Basics'!$AB$53</f>
        <v>0</v>
      </c>
      <c r="CA59" s="66">
        <f>$B59*'FOD Basics'!$AC$53</f>
        <v>0</v>
      </c>
      <c r="CB59" s="66">
        <f>$B59*'FOD Basics'!$AD$53</f>
        <v>0</v>
      </c>
      <c r="CC59" s="66">
        <f>$B59*'FOD Basics'!$AE$53</f>
        <v>0</v>
      </c>
      <c r="CD59" s="66">
        <f>$B59*'FOD Basics'!$AF$53</f>
        <v>0</v>
      </c>
    </row>
    <row r="60" spans="1:82" x14ac:dyDescent="0.2">
      <c r="A60" s="64">
        <f t="shared" si="32"/>
        <v>2065</v>
      </c>
      <c r="B60" s="65">
        <f>'Input data'!M61</f>
        <v>0</v>
      </c>
      <c r="S60" s="66"/>
      <c r="T60" s="66"/>
      <c r="U60" s="66"/>
      <c r="V60" s="66"/>
      <c r="W60" s="66"/>
      <c r="X60" s="66"/>
      <c r="Y60" s="66"/>
      <c r="Z60" s="66"/>
      <c r="AA60" s="66"/>
      <c r="AB60" s="66"/>
      <c r="AC60" s="66"/>
      <c r="AD60" s="66"/>
      <c r="AE60" s="66"/>
      <c r="AL60" s="67"/>
      <c r="AZ60" s="66"/>
      <c r="BA60" s="66"/>
      <c r="BB60" s="66"/>
      <c r="BC60" s="66"/>
      <c r="BD60" s="66">
        <f>$B60*'FOD Basics'!$E$53</f>
        <v>0</v>
      </c>
      <c r="BE60" s="66">
        <f>$B60*'FOD Basics'!$F$53</f>
        <v>0</v>
      </c>
      <c r="BF60" s="66">
        <f>$B60*'FOD Basics'!$G$53</f>
        <v>0</v>
      </c>
      <c r="BG60" s="66">
        <f>$B60*'FOD Basics'!$H$53</f>
        <v>0</v>
      </c>
      <c r="BH60" s="66">
        <f>$B60*'FOD Basics'!$I$53</f>
        <v>0</v>
      </c>
      <c r="BI60" s="66">
        <f>$B60*'FOD Basics'!$J$53</f>
        <v>0</v>
      </c>
      <c r="BJ60" s="66">
        <f>$B60*'FOD Basics'!$K$53</f>
        <v>0</v>
      </c>
      <c r="BK60" s="66">
        <f>$B60*'FOD Basics'!$L$53</f>
        <v>0</v>
      </c>
      <c r="BL60" s="66">
        <f>$B60*'FOD Basics'!$M$53</f>
        <v>0</v>
      </c>
      <c r="BM60" s="66">
        <f>$B60*'FOD Basics'!$N$53</f>
        <v>0</v>
      </c>
      <c r="BN60" s="66">
        <f>$B60*'FOD Basics'!$O$53</f>
        <v>0</v>
      </c>
      <c r="BO60" s="66">
        <f>$B60*'FOD Basics'!$P$53</f>
        <v>0</v>
      </c>
      <c r="BP60" s="66">
        <f>$B60*'FOD Basics'!$Q$53</f>
        <v>0</v>
      </c>
      <c r="BQ60" s="66">
        <f>$B60*'FOD Basics'!$R$53</f>
        <v>0</v>
      </c>
      <c r="BR60" s="66">
        <f>$B60*'FOD Basics'!$S$53</f>
        <v>0</v>
      </c>
      <c r="BS60" s="66">
        <f>$B60*'FOD Basics'!$T$53</f>
        <v>0</v>
      </c>
      <c r="BT60" s="66">
        <f>$B60*'FOD Basics'!$U$53</f>
        <v>0</v>
      </c>
      <c r="BU60" s="66">
        <f>$B60*'FOD Basics'!$V$53</f>
        <v>0</v>
      </c>
      <c r="BV60" s="66">
        <f>$B60*'FOD Basics'!$W$53</f>
        <v>0</v>
      </c>
      <c r="BW60" s="66">
        <f>$B60*'FOD Basics'!$X$53</f>
        <v>0</v>
      </c>
      <c r="BX60" s="66">
        <f>$B60*'FOD Basics'!$Y$53</f>
        <v>0</v>
      </c>
      <c r="BY60" s="66">
        <f>$B60*'FOD Basics'!$Z$53</f>
        <v>0</v>
      </c>
      <c r="BZ60" s="66">
        <f>$B60*'FOD Basics'!$AA$53</f>
        <v>0</v>
      </c>
      <c r="CA60" s="66">
        <f>$B60*'FOD Basics'!$AB$53</f>
        <v>0</v>
      </c>
      <c r="CB60" s="66">
        <f>$B60*'FOD Basics'!$AC$53</f>
        <v>0</v>
      </c>
      <c r="CC60" s="66">
        <f>$B60*'FOD Basics'!$AD$53</f>
        <v>0</v>
      </c>
      <c r="CD60" s="66">
        <f>$B60*'FOD Basics'!$AE$53</f>
        <v>0</v>
      </c>
    </row>
    <row r="61" spans="1:82" x14ac:dyDescent="0.2">
      <c r="A61" s="64">
        <f t="shared" si="32"/>
        <v>2066</v>
      </c>
      <c r="B61" s="65">
        <f>'Input data'!M62</f>
        <v>0</v>
      </c>
      <c r="S61" s="66"/>
      <c r="T61" s="66"/>
      <c r="U61" s="66"/>
      <c r="V61" s="66"/>
      <c r="W61" s="66"/>
      <c r="X61" s="66"/>
      <c r="Y61" s="66"/>
      <c r="Z61" s="66"/>
      <c r="AA61" s="66"/>
      <c r="AB61" s="66"/>
      <c r="AC61" s="66"/>
      <c r="AD61" s="66"/>
      <c r="AE61" s="66"/>
      <c r="AL61" s="67"/>
      <c r="AZ61" s="66"/>
      <c r="BA61" s="66"/>
      <c r="BB61" s="66"/>
      <c r="BC61" s="66"/>
      <c r="BD61" s="66"/>
      <c r="BE61" s="66">
        <f>$B61*'FOD Basics'!$E$53</f>
        <v>0</v>
      </c>
      <c r="BF61" s="66">
        <f>$B61*'FOD Basics'!$F$53</f>
        <v>0</v>
      </c>
      <c r="BG61" s="66">
        <f>$B61*'FOD Basics'!$G$53</f>
        <v>0</v>
      </c>
      <c r="BH61" s="66">
        <f>$B61*'FOD Basics'!$H$53</f>
        <v>0</v>
      </c>
      <c r="BI61" s="66">
        <f>$B61*'FOD Basics'!$I$53</f>
        <v>0</v>
      </c>
      <c r="BJ61" s="66">
        <f>$B61*'FOD Basics'!$J$53</f>
        <v>0</v>
      </c>
      <c r="BK61" s="66">
        <f>$B61*'FOD Basics'!$K$53</f>
        <v>0</v>
      </c>
      <c r="BL61" s="66">
        <f>$B61*'FOD Basics'!$L$53</f>
        <v>0</v>
      </c>
      <c r="BM61" s="66">
        <f>$B61*'FOD Basics'!$M$53</f>
        <v>0</v>
      </c>
      <c r="BN61" s="66">
        <f>$B61*'FOD Basics'!$N$53</f>
        <v>0</v>
      </c>
      <c r="BO61" s="66">
        <f>$B61*'FOD Basics'!$O$53</f>
        <v>0</v>
      </c>
      <c r="BP61" s="66">
        <f>$B61*'FOD Basics'!$P$53</f>
        <v>0</v>
      </c>
      <c r="BQ61" s="66">
        <f>$B61*'FOD Basics'!$Q$53</f>
        <v>0</v>
      </c>
      <c r="BR61" s="66">
        <f>$B61*'FOD Basics'!$R$53</f>
        <v>0</v>
      </c>
      <c r="BS61" s="66">
        <f>$B61*'FOD Basics'!$S$53</f>
        <v>0</v>
      </c>
      <c r="BT61" s="66">
        <f>$B61*'FOD Basics'!$T$53</f>
        <v>0</v>
      </c>
      <c r="BU61" s="66">
        <f>$B61*'FOD Basics'!$U$53</f>
        <v>0</v>
      </c>
      <c r="BV61" s="66">
        <f>$B61*'FOD Basics'!$V$53</f>
        <v>0</v>
      </c>
      <c r="BW61" s="66">
        <f>$B61*'FOD Basics'!$W$53</f>
        <v>0</v>
      </c>
      <c r="BX61" s="66">
        <f>$B61*'FOD Basics'!$X$53</f>
        <v>0</v>
      </c>
      <c r="BY61" s="66">
        <f>$B61*'FOD Basics'!$Y$53</f>
        <v>0</v>
      </c>
      <c r="BZ61" s="66">
        <f>$B61*'FOD Basics'!$Z$53</f>
        <v>0</v>
      </c>
      <c r="CA61" s="66">
        <f>$B61*'FOD Basics'!$AA$53</f>
        <v>0</v>
      </c>
      <c r="CB61" s="66">
        <f>$B61*'FOD Basics'!$AB$53</f>
        <v>0</v>
      </c>
      <c r="CC61" s="66">
        <f>$B61*'FOD Basics'!$AC$53</f>
        <v>0</v>
      </c>
      <c r="CD61" s="66">
        <f>$B61*'FOD Basics'!$AD$53</f>
        <v>0</v>
      </c>
    </row>
    <row r="62" spans="1:82" x14ac:dyDescent="0.2">
      <c r="A62" s="64">
        <f t="shared" si="32"/>
        <v>2067</v>
      </c>
      <c r="B62" s="65">
        <f>'Input data'!M63</f>
        <v>0</v>
      </c>
      <c r="S62" s="66"/>
      <c r="T62" s="66"/>
      <c r="U62" s="66"/>
      <c r="V62" s="66"/>
      <c r="W62" s="66"/>
      <c r="X62" s="66"/>
      <c r="Y62" s="66"/>
      <c r="Z62" s="66"/>
      <c r="AA62" s="66"/>
      <c r="AB62" s="66"/>
      <c r="AC62" s="66"/>
      <c r="AD62" s="66"/>
      <c r="AE62" s="66"/>
      <c r="AL62" s="67"/>
      <c r="AZ62" s="66"/>
      <c r="BA62" s="66"/>
      <c r="BB62" s="66"/>
      <c r="BC62" s="66"/>
      <c r="BD62" s="66"/>
      <c r="BE62" s="66"/>
      <c r="BF62" s="66">
        <f>$B62*'FOD Basics'!$E$53</f>
        <v>0</v>
      </c>
      <c r="BG62" s="66">
        <f>$B62*'FOD Basics'!$F$53</f>
        <v>0</v>
      </c>
      <c r="BH62" s="66">
        <f>$B62*'FOD Basics'!$G$53</f>
        <v>0</v>
      </c>
      <c r="BI62" s="66">
        <f>$B62*'FOD Basics'!$H$53</f>
        <v>0</v>
      </c>
      <c r="BJ62" s="66">
        <f>$B62*'FOD Basics'!$I$53</f>
        <v>0</v>
      </c>
      <c r="BK62" s="66">
        <f>$B62*'FOD Basics'!$J$53</f>
        <v>0</v>
      </c>
      <c r="BL62" s="66">
        <f>$B62*'FOD Basics'!$K$53</f>
        <v>0</v>
      </c>
      <c r="BM62" s="66">
        <f>$B62*'FOD Basics'!$L$53</f>
        <v>0</v>
      </c>
      <c r="BN62" s="66">
        <f>$B62*'FOD Basics'!$M$53</f>
        <v>0</v>
      </c>
      <c r="BO62" s="66">
        <f>$B62*'FOD Basics'!$N$53</f>
        <v>0</v>
      </c>
      <c r="BP62" s="66">
        <f>$B62*'FOD Basics'!$O$53</f>
        <v>0</v>
      </c>
      <c r="BQ62" s="66">
        <f>$B62*'FOD Basics'!$P$53</f>
        <v>0</v>
      </c>
      <c r="BR62" s="66">
        <f>$B62*'FOD Basics'!$Q$53</f>
        <v>0</v>
      </c>
      <c r="BS62" s="66">
        <f>$B62*'FOD Basics'!$R$53</f>
        <v>0</v>
      </c>
      <c r="BT62" s="66">
        <f>$B62*'FOD Basics'!$S$53</f>
        <v>0</v>
      </c>
      <c r="BU62" s="66">
        <f>$B62*'FOD Basics'!$T$53</f>
        <v>0</v>
      </c>
      <c r="BV62" s="66">
        <f>$B62*'FOD Basics'!$U$53</f>
        <v>0</v>
      </c>
      <c r="BW62" s="66">
        <f>$B62*'FOD Basics'!$V$53</f>
        <v>0</v>
      </c>
      <c r="BX62" s="66">
        <f>$B62*'FOD Basics'!$W$53</f>
        <v>0</v>
      </c>
      <c r="BY62" s="66">
        <f>$B62*'FOD Basics'!$X$53</f>
        <v>0</v>
      </c>
      <c r="BZ62" s="66">
        <f>$B62*'FOD Basics'!$Y$53</f>
        <v>0</v>
      </c>
      <c r="CA62" s="66">
        <f>$B62*'FOD Basics'!$Z$53</f>
        <v>0</v>
      </c>
      <c r="CB62" s="66">
        <f>$B62*'FOD Basics'!$AA$53</f>
        <v>0</v>
      </c>
      <c r="CC62" s="66">
        <f>$B62*'FOD Basics'!$AB$53</f>
        <v>0</v>
      </c>
      <c r="CD62" s="66">
        <f>$B62*'FOD Basics'!$AC$53</f>
        <v>0</v>
      </c>
    </row>
    <row r="63" spans="1:82" x14ac:dyDescent="0.2">
      <c r="A63" s="64">
        <f t="shared" si="32"/>
        <v>2068</v>
      </c>
      <c r="B63" s="65">
        <f>'Input data'!M64</f>
        <v>0</v>
      </c>
      <c r="S63" s="66"/>
      <c r="T63" s="66"/>
      <c r="U63" s="66"/>
      <c r="V63" s="66"/>
      <c r="W63" s="66"/>
      <c r="X63" s="66"/>
      <c r="Y63" s="66"/>
      <c r="Z63" s="66"/>
      <c r="AA63" s="66"/>
      <c r="AB63" s="66"/>
      <c r="AC63" s="66"/>
      <c r="AD63" s="66"/>
      <c r="AE63" s="66"/>
      <c r="AL63" s="67"/>
      <c r="AZ63" s="66"/>
      <c r="BA63" s="66"/>
      <c r="BB63" s="66"/>
      <c r="BC63" s="66"/>
      <c r="BD63" s="66"/>
      <c r="BE63" s="66"/>
      <c r="BF63" s="66"/>
      <c r="BG63" s="66">
        <f>$B63*'FOD Basics'!$E$53</f>
        <v>0</v>
      </c>
      <c r="BH63" s="66">
        <f>$B63*'FOD Basics'!$F$53</f>
        <v>0</v>
      </c>
      <c r="BI63" s="66">
        <f>$B63*'FOD Basics'!$G$53</f>
        <v>0</v>
      </c>
      <c r="BJ63" s="66">
        <f>$B63*'FOD Basics'!$H$53</f>
        <v>0</v>
      </c>
      <c r="BK63" s="66">
        <f>$B63*'FOD Basics'!$I$53</f>
        <v>0</v>
      </c>
      <c r="BL63" s="66">
        <f>$B63*'FOD Basics'!$J$53</f>
        <v>0</v>
      </c>
      <c r="BM63" s="66">
        <f>$B63*'FOD Basics'!$K$53</f>
        <v>0</v>
      </c>
      <c r="BN63" s="66">
        <f>$B63*'FOD Basics'!$L$53</f>
        <v>0</v>
      </c>
      <c r="BO63" s="66">
        <f>$B63*'FOD Basics'!$M$53</f>
        <v>0</v>
      </c>
      <c r="BP63" s="66">
        <f>$B63*'FOD Basics'!$N$53</f>
        <v>0</v>
      </c>
      <c r="BQ63" s="66">
        <f>$B63*'FOD Basics'!$O$53</f>
        <v>0</v>
      </c>
      <c r="BR63" s="66">
        <f>$B63*'FOD Basics'!$P$53</f>
        <v>0</v>
      </c>
      <c r="BS63" s="66">
        <f>$B63*'FOD Basics'!$Q$53</f>
        <v>0</v>
      </c>
      <c r="BT63" s="66">
        <f>$B63*'FOD Basics'!$R$53</f>
        <v>0</v>
      </c>
      <c r="BU63" s="66">
        <f>$B63*'FOD Basics'!$S$53</f>
        <v>0</v>
      </c>
      <c r="BV63" s="66">
        <f>$B63*'FOD Basics'!$T$53</f>
        <v>0</v>
      </c>
      <c r="BW63" s="66">
        <f>$B63*'FOD Basics'!$U$53</f>
        <v>0</v>
      </c>
      <c r="BX63" s="66">
        <f>$B63*'FOD Basics'!$V$53</f>
        <v>0</v>
      </c>
      <c r="BY63" s="66">
        <f>$B63*'FOD Basics'!$W$53</f>
        <v>0</v>
      </c>
      <c r="BZ63" s="66">
        <f>$B63*'FOD Basics'!$X$53</f>
        <v>0</v>
      </c>
      <c r="CA63" s="66">
        <f>$B63*'FOD Basics'!$Y$53</f>
        <v>0</v>
      </c>
      <c r="CB63" s="66">
        <f>$B63*'FOD Basics'!$Z$53</f>
        <v>0</v>
      </c>
      <c r="CC63" s="66">
        <f>$B63*'FOD Basics'!$AA$53</f>
        <v>0</v>
      </c>
      <c r="CD63" s="66">
        <f>$B63*'FOD Basics'!$AB$53</f>
        <v>0</v>
      </c>
    </row>
    <row r="64" spans="1:82" x14ac:dyDescent="0.2">
      <c r="A64" s="64">
        <f t="shared" si="32"/>
        <v>2069</v>
      </c>
      <c r="B64" s="65">
        <f>'Input data'!M65</f>
        <v>0</v>
      </c>
      <c r="S64" s="66"/>
      <c r="T64" s="66"/>
      <c r="U64" s="66"/>
      <c r="V64" s="66"/>
      <c r="W64" s="66"/>
      <c r="X64" s="66"/>
      <c r="Y64" s="66"/>
      <c r="Z64" s="66"/>
      <c r="AA64" s="66"/>
      <c r="AB64" s="66"/>
      <c r="AC64" s="66"/>
      <c r="AD64" s="66"/>
      <c r="AE64" s="66"/>
      <c r="AL64" s="67"/>
      <c r="AZ64" s="66"/>
      <c r="BA64" s="66"/>
      <c r="BB64" s="66"/>
      <c r="BC64" s="66"/>
      <c r="BD64" s="66"/>
      <c r="BE64" s="66"/>
      <c r="BF64" s="66"/>
      <c r="BG64" s="66"/>
      <c r="BH64" s="66">
        <f>$B64*'FOD Basics'!$E$53</f>
        <v>0</v>
      </c>
      <c r="BI64" s="66">
        <f>$B64*'FOD Basics'!$F$53</f>
        <v>0</v>
      </c>
      <c r="BJ64" s="66">
        <f>$B64*'FOD Basics'!$G$53</f>
        <v>0</v>
      </c>
      <c r="BK64" s="66">
        <f>$B64*'FOD Basics'!$H$53</f>
        <v>0</v>
      </c>
      <c r="BL64" s="66">
        <f>$B64*'FOD Basics'!$I$53</f>
        <v>0</v>
      </c>
      <c r="BM64" s="66">
        <f>$B64*'FOD Basics'!$J$53</f>
        <v>0</v>
      </c>
      <c r="BN64" s="66">
        <f>$B64*'FOD Basics'!$K$53</f>
        <v>0</v>
      </c>
      <c r="BO64" s="66">
        <f>$B64*'FOD Basics'!$L$53</f>
        <v>0</v>
      </c>
      <c r="BP64" s="66">
        <f>$B64*'FOD Basics'!$M$53</f>
        <v>0</v>
      </c>
      <c r="BQ64" s="66">
        <f>$B64*'FOD Basics'!$N$53</f>
        <v>0</v>
      </c>
      <c r="BR64" s="66">
        <f>$B64*'FOD Basics'!$O$53</f>
        <v>0</v>
      </c>
      <c r="BS64" s="66">
        <f>$B64*'FOD Basics'!$P$53</f>
        <v>0</v>
      </c>
      <c r="BT64" s="66">
        <f>$B64*'FOD Basics'!$Q$53</f>
        <v>0</v>
      </c>
      <c r="BU64" s="66">
        <f>$B64*'FOD Basics'!$R$53</f>
        <v>0</v>
      </c>
      <c r="BV64" s="66">
        <f>$B64*'FOD Basics'!$S$53</f>
        <v>0</v>
      </c>
      <c r="BW64" s="66">
        <f>$B64*'FOD Basics'!$T$53</f>
        <v>0</v>
      </c>
      <c r="BX64" s="66">
        <f>$B64*'FOD Basics'!$U$53</f>
        <v>0</v>
      </c>
      <c r="BY64" s="66">
        <f>$B64*'FOD Basics'!$V$53</f>
        <v>0</v>
      </c>
      <c r="BZ64" s="66">
        <f>$B64*'FOD Basics'!$W$53</f>
        <v>0</v>
      </c>
      <c r="CA64" s="66">
        <f>$B64*'FOD Basics'!$X$53</f>
        <v>0</v>
      </c>
      <c r="CB64" s="66">
        <f>$B64*'FOD Basics'!$Y$53</f>
        <v>0</v>
      </c>
      <c r="CC64" s="66">
        <f>$B64*'FOD Basics'!$Z$53</f>
        <v>0</v>
      </c>
      <c r="CD64" s="66">
        <f>$B64*'FOD Basics'!$AA$53</f>
        <v>0</v>
      </c>
    </row>
    <row r="65" spans="1:82" x14ac:dyDescent="0.2">
      <c r="A65" s="64">
        <f t="shared" si="32"/>
        <v>2070</v>
      </c>
      <c r="B65" s="65">
        <f>'Input data'!M66</f>
        <v>0</v>
      </c>
      <c r="S65" s="66"/>
      <c r="T65" s="66"/>
      <c r="U65" s="66"/>
      <c r="V65" s="66"/>
      <c r="W65" s="66"/>
      <c r="X65" s="66"/>
      <c r="Y65" s="66"/>
      <c r="Z65" s="66"/>
      <c r="AA65" s="66"/>
      <c r="AB65" s="66"/>
      <c r="AC65" s="66"/>
      <c r="AD65" s="66"/>
      <c r="AE65" s="66"/>
      <c r="AL65" s="67"/>
      <c r="AZ65" s="66"/>
      <c r="BA65" s="66"/>
      <c r="BB65" s="66"/>
      <c r="BC65" s="66"/>
      <c r="BD65" s="66"/>
      <c r="BE65" s="66"/>
      <c r="BF65" s="66"/>
      <c r="BG65" s="66"/>
      <c r="BH65" s="66"/>
      <c r="BI65" s="66">
        <f>$B65*'FOD Basics'!$E$53</f>
        <v>0</v>
      </c>
      <c r="BJ65" s="66">
        <f>$B65*'FOD Basics'!$F$53</f>
        <v>0</v>
      </c>
      <c r="BK65" s="66">
        <f>$B65*'FOD Basics'!$G$53</f>
        <v>0</v>
      </c>
      <c r="BL65" s="66">
        <f>$B65*'FOD Basics'!$H$53</f>
        <v>0</v>
      </c>
      <c r="BM65" s="66">
        <f>$B65*'FOD Basics'!$I$53</f>
        <v>0</v>
      </c>
      <c r="BN65" s="66">
        <f>$B65*'FOD Basics'!$J$53</f>
        <v>0</v>
      </c>
      <c r="BO65" s="66">
        <f>$B65*'FOD Basics'!$K$53</f>
        <v>0</v>
      </c>
      <c r="BP65" s="66">
        <f>$B65*'FOD Basics'!$L$53</f>
        <v>0</v>
      </c>
      <c r="BQ65" s="66">
        <f>$B65*'FOD Basics'!$M$53</f>
        <v>0</v>
      </c>
      <c r="BR65" s="66">
        <f>$B65*'FOD Basics'!$N$53</f>
        <v>0</v>
      </c>
      <c r="BS65" s="66">
        <f>$B65*'FOD Basics'!$O$53</f>
        <v>0</v>
      </c>
      <c r="BT65" s="66">
        <f>$B65*'FOD Basics'!$P$53</f>
        <v>0</v>
      </c>
      <c r="BU65" s="66">
        <f>$B65*'FOD Basics'!$Q$53</f>
        <v>0</v>
      </c>
      <c r="BV65" s="66">
        <f>$B65*'FOD Basics'!$R$53</f>
        <v>0</v>
      </c>
      <c r="BW65" s="66">
        <f>$B65*'FOD Basics'!$S$53</f>
        <v>0</v>
      </c>
      <c r="BX65" s="66">
        <f>$B65*'FOD Basics'!$T$53</f>
        <v>0</v>
      </c>
      <c r="BY65" s="66">
        <f>$B65*'FOD Basics'!$U$53</f>
        <v>0</v>
      </c>
      <c r="BZ65" s="66">
        <f>$B65*'FOD Basics'!$V$53</f>
        <v>0</v>
      </c>
      <c r="CA65" s="66">
        <f>$B65*'FOD Basics'!$W$53</f>
        <v>0</v>
      </c>
      <c r="CB65" s="66">
        <f>$B65*'FOD Basics'!$X$53</f>
        <v>0</v>
      </c>
      <c r="CC65" s="66">
        <f>$B65*'FOD Basics'!$Y$53</f>
        <v>0</v>
      </c>
      <c r="CD65" s="66">
        <f>$B65*'FOD Basics'!$Z$53</f>
        <v>0</v>
      </c>
    </row>
    <row r="66" spans="1:82" x14ac:dyDescent="0.2">
      <c r="A66" s="64">
        <f t="shared" si="32"/>
        <v>2071</v>
      </c>
      <c r="B66" s="65">
        <f>'Input data'!M67</f>
        <v>0</v>
      </c>
      <c r="S66" s="66"/>
      <c r="T66" s="66"/>
      <c r="U66" s="66"/>
      <c r="V66" s="66"/>
      <c r="W66" s="66"/>
      <c r="X66" s="66"/>
      <c r="Y66" s="66"/>
      <c r="Z66" s="66"/>
      <c r="AA66" s="66"/>
      <c r="AB66" s="66"/>
      <c r="AC66" s="66"/>
      <c r="AD66" s="66"/>
      <c r="AE66" s="66"/>
      <c r="AL66" s="67"/>
      <c r="AZ66" s="66"/>
      <c r="BA66" s="66"/>
      <c r="BB66" s="66"/>
      <c r="BC66" s="66"/>
      <c r="BD66" s="66"/>
      <c r="BE66" s="66"/>
      <c r="BF66" s="66"/>
      <c r="BG66" s="66"/>
      <c r="BH66" s="66"/>
      <c r="BI66" s="66"/>
      <c r="BJ66" s="66">
        <f>$B66*'FOD Basics'!$E$53</f>
        <v>0</v>
      </c>
      <c r="BK66" s="66">
        <f>$B66*'FOD Basics'!$F$53</f>
        <v>0</v>
      </c>
      <c r="BL66" s="66">
        <f>$B66*'FOD Basics'!$G$53</f>
        <v>0</v>
      </c>
      <c r="BM66" s="66">
        <f>$B66*'FOD Basics'!$H$53</f>
        <v>0</v>
      </c>
      <c r="BN66" s="66">
        <f>$B66*'FOD Basics'!$I$53</f>
        <v>0</v>
      </c>
      <c r="BO66" s="66">
        <f>$B66*'FOD Basics'!$J$53</f>
        <v>0</v>
      </c>
      <c r="BP66" s="66">
        <f>$B66*'FOD Basics'!$K$53</f>
        <v>0</v>
      </c>
      <c r="BQ66" s="66">
        <f>$B66*'FOD Basics'!$L$53</f>
        <v>0</v>
      </c>
      <c r="BR66" s="66">
        <f>$B66*'FOD Basics'!$M$53</f>
        <v>0</v>
      </c>
      <c r="BS66" s="66">
        <f>$B66*'FOD Basics'!$N$53</f>
        <v>0</v>
      </c>
      <c r="BT66" s="66">
        <f>$B66*'FOD Basics'!$O$53</f>
        <v>0</v>
      </c>
      <c r="BU66" s="66">
        <f>$B66*'FOD Basics'!$P$53</f>
        <v>0</v>
      </c>
      <c r="BV66" s="66">
        <f>$B66*'FOD Basics'!$Q$53</f>
        <v>0</v>
      </c>
      <c r="BW66" s="66">
        <f>$B66*'FOD Basics'!$R$53</f>
        <v>0</v>
      </c>
      <c r="BX66" s="66">
        <f>$B66*'FOD Basics'!$S$53</f>
        <v>0</v>
      </c>
      <c r="BY66" s="66">
        <f>$B66*'FOD Basics'!$T$53</f>
        <v>0</v>
      </c>
      <c r="BZ66" s="66">
        <f>$B66*'FOD Basics'!$U$53</f>
        <v>0</v>
      </c>
      <c r="CA66" s="66">
        <f>$B66*'FOD Basics'!$V$53</f>
        <v>0</v>
      </c>
      <c r="CB66" s="66">
        <f>$B66*'FOD Basics'!$W$53</f>
        <v>0</v>
      </c>
      <c r="CC66" s="66">
        <f>$B66*'FOD Basics'!$X$53</f>
        <v>0</v>
      </c>
      <c r="CD66" s="66">
        <f>$B66*'FOD Basics'!$Y$53</f>
        <v>0</v>
      </c>
    </row>
    <row r="67" spans="1:82" x14ac:dyDescent="0.2">
      <c r="A67" s="64">
        <f t="shared" si="32"/>
        <v>2072</v>
      </c>
      <c r="B67" s="65">
        <f>'Input data'!M68</f>
        <v>0</v>
      </c>
      <c r="S67" s="66"/>
      <c r="T67" s="66"/>
      <c r="U67" s="66"/>
      <c r="V67" s="66"/>
      <c r="W67" s="66"/>
      <c r="X67" s="66"/>
      <c r="Y67" s="66"/>
      <c r="Z67" s="66"/>
      <c r="AA67" s="66"/>
      <c r="AB67" s="66"/>
      <c r="AC67" s="66"/>
      <c r="AD67" s="66"/>
      <c r="AE67" s="66"/>
      <c r="AL67" s="67"/>
      <c r="AZ67" s="66"/>
      <c r="BA67" s="66"/>
      <c r="BB67" s="66"/>
      <c r="BC67" s="66"/>
      <c r="BD67" s="66"/>
      <c r="BE67" s="66"/>
      <c r="BF67" s="66"/>
      <c r="BG67" s="66"/>
      <c r="BH67" s="66"/>
      <c r="BI67" s="66"/>
      <c r="BJ67" s="66"/>
      <c r="BK67" s="66">
        <f>$B67*'FOD Basics'!$E$53</f>
        <v>0</v>
      </c>
      <c r="BL67" s="66">
        <f>$B67*'FOD Basics'!$F$53</f>
        <v>0</v>
      </c>
      <c r="BM67" s="66">
        <f>$B67*'FOD Basics'!$G$53</f>
        <v>0</v>
      </c>
      <c r="BN67" s="66">
        <f>$B67*'FOD Basics'!$H$53</f>
        <v>0</v>
      </c>
      <c r="BO67" s="66">
        <f>$B67*'FOD Basics'!$I$53</f>
        <v>0</v>
      </c>
      <c r="BP67" s="66">
        <f>$B67*'FOD Basics'!$J$53</f>
        <v>0</v>
      </c>
      <c r="BQ67" s="66">
        <f>$B67*'FOD Basics'!$K$53</f>
        <v>0</v>
      </c>
      <c r="BR67" s="66">
        <f>$B67*'FOD Basics'!$L$53</f>
        <v>0</v>
      </c>
      <c r="BS67" s="66">
        <f>$B67*'FOD Basics'!$M$53</f>
        <v>0</v>
      </c>
      <c r="BT67" s="66">
        <f>$B67*'FOD Basics'!$N$53</f>
        <v>0</v>
      </c>
      <c r="BU67" s="66">
        <f>$B67*'FOD Basics'!$O$53</f>
        <v>0</v>
      </c>
      <c r="BV67" s="66">
        <f>$B67*'FOD Basics'!$P$53</f>
        <v>0</v>
      </c>
      <c r="BW67" s="66">
        <f>$B67*'FOD Basics'!$Q$53</f>
        <v>0</v>
      </c>
      <c r="BX67" s="66">
        <f>$B67*'FOD Basics'!$R$53</f>
        <v>0</v>
      </c>
      <c r="BY67" s="66">
        <f>$B67*'FOD Basics'!$S$53</f>
        <v>0</v>
      </c>
      <c r="BZ67" s="66">
        <f>$B67*'FOD Basics'!$T$53</f>
        <v>0</v>
      </c>
      <c r="CA67" s="66">
        <f>$B67*'FOD Basics'!$U$53</f>
        <v>0</v>
      </c>
      <c r="CB67" s="66">
        <f>$B67*'FOD Basics'!$V$53</f>
        <v>0</v>
      </c>
      <c r="CC67" s="66">
        <f>$B67*'FOD Basics'!$W$53</f>
        <v>0</v>
      </c>
      <c r="CD67" s="66">
        <f>$B67*'FOD Basics'!$X$53</f>
        <v>0</v>
      </c>
    </row>
    <row r="68" spans="1:82" x14ac:dyDescent="0.2">
      <c r="A68" s="64">
        <f t="shared" si="32"/>
        <v>2073</v>
      </c>
      <c r="B68" s="65">
        <f>'Input data'!M69</f>
        <v>0</v>
      </c>
      <c r="S68" s="66"/>
      <c r="T68" s="66"/>
      <c r="U68" s="66"/>
      <c r="V68" s="66"/>
      <c r="W68" s="66"/>
      <c r="X68" s="66"/>
      <c r="Y68" s="66"/>
      <c r="Z68" s="66"/>
      <c r="AA68" s="66"/>
      <c r="AB68" s="66"/>
      <c r="AC68" s="66"/>
      <c r="AD68" s="66"/>
      <c r="AE68" s="66"/>
      <c r="AL68" s="67"/>
      <c r="AZ68" s="66"/>
      <c r="BA68" s="66"/>
      <c r="BB68" s="66"/>
      <c r="BC68" s="66"/>
      <c r="BD68" s="66"/>
      <c r="BE68" s="66"/>
      <c r="BF68" s="66"/>
      <c r="BG68" s="66"/>
      <c r="BH68" s="66"/>
      <c r="BI68" s="66"/>
      <c r="BJ68" s="66"/>
      <c r="BK68" s="66"/>
      <c r="BL68" s="66">
        <f>$B68*'FOD Basics'!$E$53</f>
        <v>0</v>
      </c>
      <c r="BM68" s="66">
        <f>$B68*'FOD Basics'!$F$53</f>
        <v>0</v>
      </c>
      <c r="BN68" s="66">
        <f>$B68*'FOD Basics'!$G$53</f>
        <v>0</v>
      </c>
      <c r="BO68" s="66">
        <f>$B68*'FOD Basics'!$H$53</f>
        <v>0</v>
      </c>
      <c r="BP68" s="66">
        <f>$B68*'FOD Basics'!$I$53</f>
        <v>0</v>
      </c>
      <c r="BQ68" s="66">
        <f>$B68*'FOD Basics'!$J$53</f>
        <v>0</v>
      </c>
      <c r="BR68" s="66">
        <f>$B68*'FOD Basics'!$K$53</f>
        <v>0</v>
      </c>
      <c r="BS68" s="66">
        <f>$B68*'FOD Basics'!$L$53</f>
        <v>0</v>
      </c>
      <c r="BT68" s="66">
        <f>$B68*'FOD Basics'!$M$53</f>
        <v>0</v>
      </c>
      <c r="BU68" s="66">
        <f>$B68*'FOD Basics'!$N$53</f>
        <v>0</v>
      </c>
      <c r="BV68" s="66">
        <f>$B68*'FOD Basics'!$O$53</f>
        <v>0</v>
      </c>
      <c r="BW68" s="66">
        <f>$B68*'FOD Basics'!$P$53</f>
        <v>0</v>
      </c>
      <c r="BX68" s="66">
        <f>$B68*'FOD Basics'!$Q$53</f>
        <v>0</v>
      </c>
      <c r="BY68" s="66">
        <f>$B68*'FOD Basics'!$R$53</f>
        <v>0</v>
      </c>
      <c r="BZ68" s="66">
        <f>$B68*'FOD Basics'!$S$53</f>
        <v>0</v>
      </c>
      <c r="CA68" s="66">
        <f>$B68*'FOD Basics'!$T$53</f>
        <v>0</v>
      </c>
      <c r="CB68" s="66">
        <f>$B68*'FOD Basics'!$U$53</f>
        <v>0</v>
      </c>
      <c r="CC68" s="66">
        <f>$B68*'FOD Basics'!$V$53</f>
        <v>0</v>
      </c>
      <c r="CD68" s="66">
        <f>$B68*'FOD Basics'!$W$53</f>
        <v>0</v>
      </c>
    </row>
    <row r="69" spans="1:82" s="70" customFormat="1" ht="14.25" x14ac:dyDescent="0.2">
      <c r="A69" s="69" t="s">
        <v>49</v>
      </c>
      <c r="D69" s="70">
        <f t="shared" ref="D69:AI69" si="33">D7*$C77</f>
        <v>114.07661879302309</v>
      </c>
      <c r="E69" s="70">
        <f t="shared" si="33"/>
        <v>321.76038472158945</v>
      </c>
      <c r="F69" s="70">
        <f t="shared" si="33"/>
        <v>473.60716179217997</v>
      </c>
      <c r="G69" s="70">
        <f t="shared" si="33"/>
        <v>586.18265845794463</v>
      </c>
      <c r="H69" s="70">
        <f t="shared" si="33"/>
        <v>685.98452831583154</v>
      </c>
      <c r="I69" s="70">
        <f t="shared" si="33"/>
        <v>843.95900392153783</v>
      </c>
      <c r="J69" s="70">
        <f t="shared" si="33"/>
        <v>1097.7922876375667</v>
      </c>
      <c r="K69" s="70">
        <f t="shared" si="33"/>
        <v>1313.3306229875172</v>
      </c>
      <c r="L69" s="70">
        <f t="shared" si="33"/>
        <v>1522.4226005083228</v>
      </c>
      <c r="M69" s="70">
        <f t="shared" si="33"/>
        <v>1592.6639691004564</v>
      </c>
      <c r="N69" s="70">
        <f t="shared" si="33"/>
        <v>1720.5507595830738</v>
      </c>
      <c r="O69" s="70">
        <f t="shared" si="33"/>
        <v>1803.5531993382758</v>
      </c>
      <c r="P69" s="70">
        <f t="shared" si="33"/>
        <v>1875.3694444209575</v>
      </c>
      <c r="Q69" s="70">
        <f t="shared" si="33"/>
        <v>1939.1225220273698</v>
      </c>
      <c r="R69" s="70">
        <f t="shared" si="33"/>
        <v>1996.9606664577823</v>
      </c>
      <c r="S69" s="70">
        <f t="shared" si="33"/>
        <v>2050.3733782810145</v>
      </c>
      <c r="T69" s="70">
        <f t="shared" si="33"/>
        <v>2100.4039050392239</v>
      </c>
      <c r="U69" s="70">
        <f t="shared" si="33"/>
        <v>2147.792208638371</v>
      </c>
      <c r="V69" s="70">
        <f t="shared" si="33"/>
        <v>2193.0712659199698</v>
      </c>
      <c r="W69" s="70">
        <f t="shared" si="33"/>
        <v>2236.6320270217216</v>
      </c>
      <c r="X69" s="70">
        <f t="shared" si="33"/>
        <v>2278.767312537464</v>
      </c>
      <c r="Y69" s="70">
        <f t="shared" si="33"/>
        <v>2319.7015483720324</v>
      </c>
      <c r="Z69" s="70">
        <f t="shared" si="33"/>
        <v>2359.6109689945501</v>
      </c>
      <c r="AA69" s="70">
        <f t="shared" si="33"/>
        <v>2398.6373984536945</v>
      </c>
      <c r="AB69" s="70">
        <f t="shared" si="33"/>
        <v>2436.8976979496633</v>
      </c>
      <c r="AC69" s="70">
        <f t="shared" si="33"/>
        <v>2474.4902839852434</v>
      </c>
      <c r="AD69" s="70">
        <f t="shared" si="33"/>
        <v>2511.4996615381324</v>
      </c>
      <c r="AE69" s="70">
        <f t="shared" si="33"/>
        <v>2547.9996081526106</v>
      </c>
      <c r="AF69" s="70">
        <f t="shared" si="33"/>
        <v>2584.0554376193932</v>
      </c>
      <c r="AG69" s="70">
        <f t="shared" si="33"/>
        <v>2619.7256326577317</v>
      </c>
      <c r="AH69" s="70">
        <f t="shared" si="33"/>
        <v>2655.0630423754064</v>
      </c>
      <c r="AI69" s="70">
        <f t="shared" si="33"/>
        <v>2690.1157772651763</v>
      </c>
      <c r="AJ69" s="70">
        <f t="shared" ref="AJ69:BO69" si="34">AJ7*$C77</f>
        <v>2724.9278920423858</v>
      </c>
      <c r="AK69" s="70">
        <f t="shared" si="34"/>
        <v>2759.5399179898363</v>
      </c>
      <c r="AL69" s="70">
        <f t="shared" si="34"/>
        <v>2793.9892871247685</v>
      </c>
      <c r="AM69" s="70">
        <f t="shared" si="34"/>
        <v>2828.310677399581</v>
      </c>
      <c r="AN69" s="70">
        <f t="shared" si="34"/>
        <v>2862.5362992519899</v>
      </c>
      <c r="AO69" s="70">
        <f t="shared" si="34"/>
        <v>2896.6961377609632</v>
      </c>
      <c r="AP69" s="70">
        <f t="shared" si="34"/>
        <v>2224.2495862284673</v>
      </c>
      <c r="AQ69" s="70">
        <f t="shared" si="34"/>
        <v>1752.2524790712046</v>
      </c>
      <c r="AR69" s="70">
        <f t="shared" si="34"/>
        <v>1416.3915852783884</v>
      </c>
      <c r="AS69" s="70">
        <f t="shared" si="34"/>
        <v>1173.3843907274381</v>
      </c>
      <c r="AT69" s="70">
        <f t="shared" si="34"/>
        <v>994.06550775268681</v>
      </c>
      <c r="AU69" s="70">
        <f t="shared" si="34"/>
        <v>858.7497380197824</v>
      </c>
      <c r="AV69" s="70">
        <f t="shared" si="34"/>
        <v>754.12159878913599</v>
      </c>
      <c r="AW69" s="70">
        <f t="shared" si="34"/>
        <v>671.14838847343947</v>
      </c>
      <c r="AX69" s="70">
        <f t="shared" si="34"/>
        <v>603.67962335612242</v>
      </c>
      <c r="AY69" s="70">
        <f t="shared" si="34"/>
        <v>547.50679425247824</v>
      </c>
      <c r="AZ69" s="70">
        <f t="shared" si="34"/>
        <v>499.7318820185568</v>
      </c>
      <c r="BA69" s="70">
        <f t="shared" si="34"/>
        <v>458.34300829879066</v>
      </c>
      <c r="BB69" s="70">
        <f t="shared" si="34"/>
        <v>421.92907644942272</v>
      </c>
      <c r="BC69" s="70">
        <f t="shared" si="34"/>
        <v>234.50704623979806</v>
      </c>
      <c r="BD69" s="70">
        <f t="shared" si="34"/>
        <v>216.00836533547832</v>
      </c>
      <c r="BE69" s="70">
        <f t="shared" si="34"/>
        <v>199.46640434073495</v>
      </c>
      <c r="BF69" s="70">
        <f t="shared" si="34"/>
        <v>184.54200606047337</v>
      </c>
      <c r="BG69" s="70">
        <f t="shared" si="34"/>
        <v>170.98309224950017</v>
      </c>
      <c r="BH69" s="70">
        <f t="shared" si="34"/>
        <v>158.59826099221894</v>
      </c>
      <c r="BI69" s="70">
        <f t="shared" si="34"/>
        <v>147.23883360905245</v>
      </c>
      <c r="BJ69" s="70">
        <f t="shared" si="34"/>
        <v>136.7865981619353</v>
      </c>
      <c r="BK69" s="70">
        <f t="shared" si="34"/>
        <v>127.1453995846978</v>
      </c>
      <c r="BL69" s="70">
        <f t="shared" si="34"/>
        <v>118.23533242344233</v>
      </c>
      <c r="BM69" s="70">
        <f t="shared" si="34"/>
        <v>109.98869894423545</v>
      </c>
      <c r="BN69" s="70">
        <f t="shared" si="34"/>
        <v>102.3471685290928</v>
      </c>
      <c r="BO69" s="70">
        <f t="shared" si="34"/>
        <v>95.259757808749001</v>
      </c>
      <c r="BP69" s="70">
        <f t="shared" ref="BP69:CD69" si="35">BP7*$C77</f>
        <v>88.681374359376733</v>
      </c>
      <c r="BQ69" s="70">
        <f t="shared" si="35"/>
        <v>82.571749796049005</v>
      </c>
      <c r="BR69" s="70">
        <f t="shared" si="35"/>
        <v>76.89464399278134</v>
      </c>
      <c r="BS69" s="70">
        <f t="shared" si="35"/>
        <v>71.617239845921588</v>
      </c>
      <c r="BT69" s="70">
        <f t="shared" si="35"/>
        <v>66.709673445249194</v>
      </c>
      <c r="BU69" s="70">
        <f t="shared" si="35"/>
        <v>62.144661732758259</v>
      </c>
      <c r="BV69" s="70">
        <f t="shared" si="35"/>
        <v>57.897201403190401</v>
      </c>
      <c r="BW69" s="70">
        <f t="shared" si="35"/>
        <v>53.944320740006525</v>
      </c>
      <c r="BX69" s="70">
        <f t="shared" si="35"/>
        <v>50.264871499984082</v>
      </c>
      <c r="BY69" s="70">
        <f t="shared" si="35"/>
        <v>46.839351675554539</v>
      </c>
      <c r="BZ69" s="70">
        <f t="shared" si="35"/>
        <v>43.649752525879038</v>
      </c>
      <c r="CA69" s="70">
        <f t="shared" si="35"/>
        <v>40.679425045689257</v>
      </c>
      <c r="CB69" s="70">
        <f t="shared" si="35"/>
        <v>37.912962284789899</v>
      </c>
      <c r="CC69" s="70">
        <f t="shared" si="35"/>
        <v>35.336094809518066</v>
      </c>
      <c r="CD69" s="70">
        <f t="shared" si="35"/>
        <v>32.935597224568447</v>
      </c>
    </row>
    <row r="70" spans="1:82" x14ac:dyDescent="0.2">
      <c r="AU70" s="66"/>
      <c r="AV70" s="66"/>
      <c r="AW70" s="66"/>
      <c r="AX70" s="66"/>
      <c r="AY70" s="66"/>
      <c r="AZ70" s="66"/>
      <c r="BA70" s="66"/>
      <c r="BB70" s="66"/>
      <c r="BC70" s="66"/>
      <c r="BD70" s="66"/>
      <c r="BE70" s="66"/>
      <c r="BF70" s="66"/>
      <c r="BG70" s="66"/>
      <c r="BH70" s="66"/>
      <c r="BI70" s="66"/>
      <c r="BJ70" s="66"/>
      <c r="BK70" s="66"/>
      <c r="BL70" s="66"/>
      <c r="BM70" s="66"/>
      <c r="BN70" s="66"/>
      <c r="BO70" s="66"/>
      <c r="BP70" s="66"/>
      <c r="BQ70" s="66"/>
      <c r="BR70" s="66"/>
      <c r="BS70" s="66"/>
      <c r="BT70" s="66"/>
      <c r="BU70" s="66"/>
      <c r="BV70" s="66"/>
      <c r="BW70" s="66"/>
      <c r="BX70" s="66"/>
      <c r="BY70" s="66"/>
      <c r="BZ70" s="66"/>
      <c r="CA70" s="66"/>
      <c r="CB70" s="66"/>
      <c r="CC70" s="66"/>
      <c r="CD70" s="66"/>
    </row>
    <row r="71" spans="1:82" x14ac:dyDescent="0.2">
      <c r="A71" s="71" t="s">
        <v>57</v>
      </c>
      <c r="AU71" s="66"/>
      <c r="AV71" s="66"/>
      <c r="AW71" s="66"/>
      <c r="AX71" s="66"/>
      <c r="AY71" s="66"/>
      <c r="AZ71" s="66"/>
      <c r="BA71" s="66"/>
      <c r="BB71" s="66"/>
      <c r="BC71" s="66"/>
      <c r="BD71" s="66"/>
      <c r="BE71" s="66"/>
      <c r="BF71" s="66"/>
      <c r="BG71" s="66"/>
      <c r="BH71" s="66"/>
      <c r="BI71" s="66"/>
      <c r="BJ71" s="66"/>
      <c r="BK71" s="66"/>
      <c r="BL71" s="66"/>
      <c r="BM71" s="66"/>
      <c r="BN71" s="66"/>
      <c r="BO71" s="66"/>
      <c r="BP71" s="66"/>
      <c r="BQ71" s="66"/>
      <c r="BR71" s="66"/>
      <c r="BS71" s="66"/>
      <c r="BT71" s="66"/>
      <c r="BU71" s="66"/>
      <c r="BV71" s="66"/>
      <c r="BW71" s="66"/>
      <c r="BX71" s="66"/>
      <c r="BY71" s="66"/>
      <c r="BZ71" s="66"/>
      <c r="CA71" s="66"/>
      <c r="CB71" s="66"/>
      <c r="CC71" s="66"/>
      <c r="CD71" s="66"/>
    </row>
    <row r="72" spans="1:82" ht="15" x14ac:dyDescent="0.25">
      <c r="A72" s="347" t="s">
        <v>58</v>
      </c>
      <c r="B72" s="348"/>
      <c r="C72" s="72">
        <v>7.1679999999999997E-4</v>
      </c>
      <c r="D72" s="72" t="s">
        <v>50</v>
      </c>
      <c r="AU72" s="66"/>
      <c r="AV72" s="66"/>
      <c r="AW72" s="66"/>
      <c r="AX72" s="66"/>
      <c r="AY72" s="66"/>
      <c r="AZ72" s="66"/>
      <c r="BA72" s="66"/>
      <c r="BB72" s="66"/>
      <c r="BC72" s="66"/>
      <c r="BD72" s="66"/>
      <c r="BE72" s="66"/>
      <c r="BF72" s="66"/>
      <c r="BG72" s="66"/>
      <c r="BH72" s="66"/>
      <c r="BI72" s="66"/>
      <c r="BJ72" s="66"/>
      <c r="BK72" s="66"/>
      <c r="BL72" s="66"/>
      <c r="BM72" s="66"/>
      <c r="BN72" s="66"/>
      <c r="BO72" s="66"/>
      <c r="BP72" s="66"/>
      <c r="BQ72" s="66"/>
      <c r="BR72" s="66"/>
      <c r="BS72" s="66"/>
      <c r="BT72" s="66"/>
      <c r="BU72" s="66"/>
      <c r="BV72" s="66"/>
      <c r="BW72" s="66"/>
      <c r="BX72" s="66"/>
      <c r="BY72" s="66"/>
      <c r="BZ72" s="66"/>
      <c r="CA72" s="66"/>
      <c r="CB72" s="66"/>
      <c r="CC72" s="66"/>
      <c r="CD72" s="66"/>
    </row>
    <row r="73" spans="1:82" ht="15" x14ac:dyDescent="0.25">
      <c r="A73" s="345" t="s">
        <v>51</v>
      </c>
      <c r="B73" s="346"/>
      <c r="C73" s="65">
        <f>1/C72</f>
        <v>1395.0892857142858</v>
      </c>
      <c r="D73" s="72" t="s">
        <v>52</v>
      </c>
      <c r="AU73" s="66"/>
      <c r="AV73" s="66"/>
      <c r="AW73" s="66"/>
      <c r="AX73" s="66"/>
      <c r="AY73" s="66"/>
      <c r="AZ73" s="66"/>
      <c r="BA73" s="66"/>
      <c r="BB73" s="66"/>
      <c r="BC73" s="66"/>
      <c r="BD73" s="66"/>
      <c r="BE73" s="66"/>
      <c r="BF73" s="66"/>
      <c r="BG73" s="66"/>
      <c r="BH73" s="66"/>
      <c r="BI73" s="66"/>
      <c r="BJ73" s="66"/>
      <c r="BK73" s="66"/>
      <c r="BL73" s="66"/>
      <c r="BM73" s="66"/>
      <c r="BN73" s="66"/>
      <c r="BO73" s="66"/>
      <c r="BP73" s="66"/>
      <c r="BQ73" s="66"/>
      <c r="BR73" s="66"/>
      <c r="BS73" s="66"/>
      <c r="BT73" s="66"/>
      <c r="BU73" s="66"/>
      <c r="BV73" s="66"/>
      <c r="BW73" s="66"/>
      <c r="BX73" s="66"/>
      <c r="BY73" s="66"/>
      <c r="BZ73" s="66"/>
      <c r="CA73" s="66"/>
      <c r="CB73" s="66"/>
      <c r="CC73" s="66"/>
      <c r="CD73" s="66"/>
    </row>
    <row r="74" spans="1:82" ht="15" x14ac:dyDescent="0.25">
      <c r="A74" s="345" t="s">
        <v>53</v>
      </c>
      <c r="B74" s="346"/>
      <c r="C74" s="72">
        <f>C73/'FOD Basics'!C11</f>
        <v>49.82461734693878</v>
      </c>
      <c r="D74" s="72" t="s">
        <v>54</v>
      </c>
      <c r="AU74" s="66"/>
      <c r="AV74" s="66"/>
      <c r="AW74" s="66"/>
      <c r="AX74" s="66"/>
      <c r="AY74" s="66"/>
      <c r="AZ74" s="66"/>
      <c r="BA74" s="66"/>
      <c r="BB74" s="66"/>
      <c r="BC74" s="66"/>
      <c r="BD74" s="66"/>
      <c r="BE74" s="66"/>
      <c r="BF74" s="66"/>
      <c r="BG74" s="66"/>
      <c r="BH74" s="66"/>
      <c r="BI74" s="66"/>
      <c r="BJ74" s="66"/>
      <c r="BK74" s="66"/>
      <c r="BL74" s="66"/>
      <c r="BM74" s="66"/>
      <c r="BN74" s="66"/>
      <c r="BO74" s="66"/>
      <c r="BP74" s="66"/>
      <c r="BQ74" s="66"/>
      <c r="BR74" s="66"/>
      <c r="BS74" s="66"/>
      <c r="BT74" s="66"/>
      <c r="BU74" s="66"/>
      <c r="BV74" s="66"/>
      <c r="BW74" s="66"/>
      <c r="BX74" s="66"/>
      <c r="BY74" s="66"/>
      <c r="BZ74" s="66"/>
      <c r="CA74" s="66"/>
      <c r="CB74" s="66"/>
      <c r="CC74" s="66"/>
      <c r="CD74" s="66"/>
    </row>
    <row r="75" spans="1:82" ht="15" x14ac:dyDescent="0.25">
      <c r="A75" s="345" t="s">
        <v>53</v>
      </c>
      <c r="B75" s="346"/>
      <c r="C75" s="72">
        <f>C74/0.5</f>
        <v>99.64923469387756</v>
      </c>
      <c r="D75" s="72" t="s">
        <v>55</v>
      </c>
      <c r="AU75" s="66"/>
      <c r="AV75" s="66"/>
      <c r="AW75" s="66"/>
      <c r="AX75" s="66"/>
      <c r="AY75" s="66"/>
      <c r="AZ75" s="66"/>
      <c r="BA75" s="66"/>
      <c r="BB75" s="66"/>
      <c r="BC75" s="66"/>
      <c r="BD75" s="66"/>
      <c r="BE75" s="66"/>
      <c r="BF75" s="66"/>
      <c r="BG75" s="66"/>
      <c r="BH75" s="66"/>
      <c r="BI75" s="66"/>
      <c r="BJ75" s="66"/>
      <c r="BK75" s="66"/>
      <c r="BL75" s="66"/>
      <c r="BM75" s="66"/>
      <c r="BN75" s="66"/>
      <c r="BO75" s="66"/>
      <c r="BP75" s="66"/>
      <c r="BQ75" s="66"/>
      <c r="BR75" s="66"/>
      <c r="BS75" s="66"/>
      <c r="BT75" s="66"/>
      <c r="BU75" s="66"/>
      <c r="BV75" s="66"/>
      <c r="BW75" s="66"/>
      <c r="BX75" s="66"/>
      <c r="BY75" s="66"/>
      <c r="BZ75" s="66"/>
      <c r="CA75" s="66"/>
      <c r="CB75" s="66"/>
      <c r="CC75" s="66"/>
      <c r="CD75" s="66"/>
    </row>
    <row r="76" spans="1:82" x14ac:dyDescent="0.2">
      <c r="A76" s="345" t="s">
        <v>17</v>
      </c>
      <c r="B76" s="346"/>
      <c r="C76" s="72">
        <f>24*365</f>
        <v>8760</v>
      </c>
      <c r="D76" s="72"/>
      <c r="AU76" s="66"/>
      <c r="AV76" s="66"/>
      <c r="AW76" s="66"/>
      <c r="AX76" s="66"/>
      <c r="AY76" s="66"/>
      <c r="AZ76" s="66"/>
      <c r="BA76" s="66"/>
      <c r="BB76" s="66"/>
      <c r="BC76" s="66"/>
      <c r="BD76" s="66"/>
      <c r="BE76" s="66"/>
      <c r="BF76" s="66"/>
      <c r="BG76" s="66"/>
      <c r="BH76" s="66"/>
      <c r="BI76" s="66"/>
      <c r="BJ76" s="66"/>
      <c r="BK76" s="66"/>
      <c r="BL76" s="66"/>
      <c r="BM76" s="66"/>
      <c r="BN76" s="66"/>
      <c r="BO76" s="66"/>
      <c r="BP76" s="66"/>
      <c r="BQ76" s="66"/>
      <c r="BR76" s="66"/>
      <c r="BS76" s="66"/>
      <c r="BT76" s="66"/>
      <c r="BU76" s="66"/>
      <c r="BV76" s="66"/>
      <c r="BW76" s="66"/>
      <c r="BX76" s="66"/>
      <c r="BY76" s="66"/>
      <c r="BZ76" s="66"/>
      <c r="CA76" s="66"/>
      <c r="CB76" s="66"/>
      <c r="CC76" s="66"/>
      <c r="CD76" s="66"/>
    </row>
    <row r="77" spans="1:82" ht="15" x14ac:dyDescent="0.25">
      <c r="A77" s="345" t="s">
        <v>53</v>
      </c>
      <c r="B77" s="346"/>
      <c r="C77" s="73">
        <f>C75/C76</f>
        <v>1.1375483412543101E-2</v>
      </c>
      <c r="D77" s="72" t="s">
        <v>56</v>
      </c>
      <c r="AU77" s="66"/>
      <c r="AV77" s="66"/>
      <c r="AW77" s="66"/>
      <c r="AX77" s="66"/>
      <c r="AY77" s="66"/>
      <c r="AZ77" s="66"/>
      <c r="BA77" s="66"/>
      <c r="BB77" s="66"/>
      <c r="BC77" s="66"/>
      <c r="BD77" s="66"/>
      <c r="BE77" s="66"/>
      <c r="BF77" s="66"/>
      <c r="BG77" s="66"/>
      <c r="BH77" s="66"/>
      <c r="BI77" s="66"/>
      <c r="BJ77" s="66"/>
      <c r="BK77" s="66"/>
      <c r="BL77" s="66"/>
      <c r="BM77" s="66"/>
      <c r="BN77" s="66"/>
      <c r="BO77" s="66"/>
      <c r="BP77" s="66"/>
      <c r="BQ77" s="66"/>
      <c r="BR77" s="66"/>
      <c r="BS77" s="66"/>
      <c r="BT77" s="66"/>
      <c r="BU77" s="66"/>
      <c r="BV77" s="66"/>
      <c r="BW77" s="66"/>
      <c r="BX77" s="66"/>
      <c r="BY77" s="66"/>
      <c r="BZ77" s="66"/>
      <c r="CA77" s="66"/>
      <c r="CB77" s="66"/>
      <c r="CC77" s="66"/>
      <c r="CD77" s="66"/>
    </row>
    <row r="78" spans="1:82" x14ac:dyDescent="0.2">
      <c r="AU78" s="66"/>
      <c r="AV78" s="66"/>
      <c r="AW78" s="66"/>
      <c r="AX78" s="66"/>
      <c r="AY78" s="66"/>
      <c r="AZ78" s="66"/>
      <c r="BA78" s="66"/>
      <c r="BB78" s="66"/>
      <c r="BC78" s="66"/>
      <c r="BD78" s="66"/>
      <c r="BE78" s="66"/>
      <c r="BF78" s="66"/>
      <c r="BG78" s="66"/>
      <c r="BH78" s="66"/>
      <c r="BI78" s="66"/>
      <c r="BJ78" s="66"/>
      <c r="BK78" s="66"/>
      <c r="BL78" s="66"/>
      <c r="BM78" s="66"/>
      <c r="BN78" s="66"/>
      <c r="BO78" s="66"/>
      <c r="BP78" s="66"/>
      <c r="BQ78" s="66"/>
      <c r="BR78" s="66"/>
      <c r="BS78" s="66"/>
      <c r="BT78" s="66"/>
      <c r="BU78" s="66"/>
      <c r="BV78" s="66"/>
      <c r="BW78" s="66"/>
      <c r="BX78" s="66"/>
      <c r="BY78" s="66"/>
      <c r="BZ78" s="66"/>
      <c r="CA78" s="66"/>
      <c r="CB78" s="66"/>
      <c r="CC78" s="66"/>
      <c r="CD78" s="66"/>
    </row>
    <row r="79" spans="1:82" x14ac:dyDescent="0.2">
      <c r="A79" s="71"/>
      <c r="AU79" s="66"/>
      <c r="AV79" s="66"/>
      <c r="AW79" s="66"/>
      <c r="AX79" s="66"/>
      <c r="AY79" s="66"/>
      <c r="AZ79" s="66"/>
      <c r="BA79" s="66"/>
      <c r="BB79" s="66"/>
      <c r="BC79" s="66"/>
      <c r="BD79" s="66"/>
      <c r="BE79" s="66"/>
      <c r="BF79" s="66"/>
      <c r="BG79" s="66"/>
      <c r="BH79" s="66"/>
      <c r="BI79" s="66"/>
      <c r="BJ79" s="66"/>
      <c r="BK79" s="66"/>
      <c r="BL79" s="66"/>
      <c r="BM79" s="66"/>
      <c r="BN79" s="66"/>
      <c r="BO79" s="66"/>
      <c r="BP79" s="66"/>
      <c r="BQ79" s="66"/>
      <c r="BR79" s="66"/>
      <c r="BS79" s="66"/>
      <c r="BT79" s="66"/>
      <c r="BU79" s="66"/>
      <c r="BV79" s="66"/>
      <c r="BW79" s="66"/>
      <c r="BX79" s="66"/>
      <c r="BY79" s="66"/>
      <c r="BZ79" s="66"/>
      <c r="CA79" s="66"/>
      <c r="CB79" s="66"/>
      <c r="CC79" s="66"/>
      <c r="CD79" s="66"/>
    </row>
    <row r="80" spans="1:82" x14ac:dyDescent="0.2">
      <c r="AU80" s="66"/>
      <c r="AV80" s="66"/>
      <c r="AW80" s="66"/>
      <c r="AX80" s="66"/>
      <c r="AY80" s="66"/>
      <c r="AZ80" s="66"/>
      <c r="BA80" s="66"/>
      <c r="BB80" s="66"/>
      <c r="BC80" s="66"/>
      <c r="BD80" s="66"/>
      <c r="BE80" s="66"/>
      <c r="BF80" s="66"/>
      <c r="BG80" s="66"/>
      <c r="BH80" s="66"/>
      <c r="BI80" s="66"/>
      <c r="BJ80" s="66"/>
      <c r="BK80" s="66"/>
      <c r="BL80" s="66"/>
      <c r="BM80" s="66"/>
      <c r="BN80" s="66"/>
      <c r="BO80" s="66"/>
      <c r="BP80" s="66"/>
      <c r="BQ80" s="66"/>
      <c r="BR80" s="66"/>
      <c r="BS80" s="66"/>
      <c r="BT80" s="66"/>
      <c r="BU80" s="66"/>
      <c r="BV80" s="66"/>
      <c r="BW80" s="66"/>
      <c r="BX80" s="66"/>
      <c r="BY80" s="66"/>
      <c r="BZ80" s="66"/>
      <c r="CA80" s="66"/>
      <c r="CB80" s="66"/>
      <c r="CC80" s="66"/>
      <c r="CD80" s="66"/>
    </row>
    <row r="81" spans="47:82" x14ac:dyDescent="0.2">
      <c r="AU81" s="66"/>
      <c r="AV81" s="66"/>
      <c r="AW81" s="66"/>
      <c r="AX81" s="66"/>
      <c r="AY81" s="66"/>
      <c r="AZ81" s="66"/>
      <c r="BA81" s="66"/>
      <c r="BB81" s="66"/>
      <c r="BC81" s="66"/>
      <c r="BD81" s="66"/>
      <c r="BE81" s="66"/>
      <c r="BF81" s="66"/>
      <c r="BG81" s="66"/>
      <c r="BH81" s="66"/>
      <c r="BI81" s="66"/>
      <c r="BJ81" s="66"/>
      <c r="BK81" s="66"/>
      <c r="BL81" s="66"/>
      <c r="BM81" s="66"/>
      <c r="BN81" s="66"/>
      <c r="BO81" s="66"/>
      <c r="BP81" s="66"/>
      <c r="BQ81" s="66"/>
      <c r="BR81" s="66"/>
      <c r="BS81" s="66"/>
      <c r="BT81" s="66"/>
      <c r="BU81" s="66"/>
      <c r="BV81" s="66"/>
      <c r="BW81" s="66"/>
      <c r="BX81" s="66"/>
      <c r="BY81" s="66"/>
      <c r="BZ81" s="66"/>
      <c r="CA81" s="66"/>
      <c r="CB81" s="66"/>
      <c r="CC81" s="66"/>
      <c r="CD81" s="66"/>
    </row>
    <row r="82" spans="47:82" x14ac:dyDescent="0.2">
      <c r="AU82" s="66"/>
      <c r="AV82" s="66"/>
      <c r="AW82" s="66"/>
      <c r="AX82" s="66"/>
      <c r="AY82" s="66"/>
      <c r="AZ82" s="66"/>
      <c r="BA82" s="66"/>
      <c r="BB82" s="66"/>
      <c r="BC82" s="66"/>
      <c r="BD82" s="66"/>
      <c r="BE82" s="66"/>
      <c r="BF82" s="66"/>
      <c r="BG82" s="66"/>
      <c r="BH82" s="66"/>
      <c r="BI82" s="66"/>
      <c r="BJ82" s="66"/>
      <c r="BK82" s="66"/>
      <c r="BL82" s="66"/>
      <c r="BM82" s="66"/>
      <c r="BN82" s="66"/>
      <c r="BO82" s="66"/>
      <c r="BP82" s="66"/>
      <c r="BQ82" s="66"/>
      <c r="BR82" s="66"/>
      <c r="BS82" s="66"/>
      <c r="BT82" s="66"/>
      <c r="BU82" s="66"/>
      <c r="BV82" s="66"/>
      <c r="BW82" s="66"/>
      <c r="BX82" s="66"/>
      <c r="BY82" s="66"/>
      <c r="BZ82" s="66"/>
      <c r="CA82" s="66"/>
      <c r="CB82" s="66"/>
      <c r="CC82" s="66"/>
      <c r="CD82" s="66"/>
    </row>
    <row r="83" spans="47:82" x14ac:dyDescent="0.2">
      <c r="AU83" s="66"/>
      <c r="AV83" s="66"/>
      <c r="AW83" s="66"/>
      <c r="AX83" s="66"/>
      <c r="AY83" s="66"/>
      <c r="AZ83" s="66"/>
      <c r="BA83" s="66"/>
      <c r="BB83" s="66"/>
      <c r="BC83" s="66"/>
      <c r="BD83" s="66"/>
      <c r="BE83" s="66"/>
      <c r="BF83" s="66"/>
      <c r="BG83" s="66"/>
      <c r="BH83" s="66"/>
      <c r="BI83" s="66"/>
      <c r="BJ83" s="66"/>
      <c r="BK83" s="66"/>
      <c r="BL83" s="66"/>
      <c r="BM83" s="66"/>
      <c r="BN83" s="66"/>
      <c r="BO83" s="66"/>
      <c r="BP83" s="66"/>
      <c r="BQ83" s="66"/>
      <c r="BR83" s="66"/>
      <c r="BS83" s="66"/>
      <c r="BT83" s="66"/>
      <c r="BU83" s="66"/>
      <c r="BV83" s="66"/>
      <c r="BW83" s="66"/>
      <c r="BX83" s="66"/>
      <c r="BY83" s="66"/>
      <c r="BZ83" s="66"/>
      <c r="CA83" s="66"/>
      <c r="CB83" s="66"/>
      <c r="CC83" s="66"/>
      <c r="CD83" s="66"/>
    </row>
    <row r="84" spans="47:82" x14ac:dyDescent="0.2">
      <c r="AU84" s="66"/>
      <c r="AV84" s="66"/>
      <c r="AW84" s="66"/>
      <c r="AX84" s="66"/>
      <c r="AY84" s="66"/>
      <c r="AZ84" s="66"/>
      <c r="BA84" s="66"/>
      <c r="BB84" s="66"/>
      <c r="BC84" s="66"/>
      <c r="BD84" s="66"/>
      <c r="BE84" s="66"/>
      <c r="BF84" s="66"/>
      <c r="BG84" s="66"/>
      <c r="BH84" s="66"/>
      <c r="BI84" s="66"/>
      <c r="BJ84" s="66"/>
      <c r="BK84" s="66"/>
      <c r="BL84" s="66"/>
      <c r="BM84" s="66"/>
      <c r="BN84" s="66"/>
      <c r="BO84" s="66"/>
      <c r="BP84" s="66"/>
      <c r="BQ84" s="66"/>
      <c r="BR84" s="66"/>
      <c r="BS84" s="66"/>
      <c r="BT84" s="66"/>
      <c r="BU84" s="66"/>
      <c r="BV84" s="66"/>
      <c r="BW84" s="66"/>
      <c r="BX84" s="66"/>
      <c r="BY84" s="66"/>
      <c r="BZ84" s="66"/>
      <c r="CA84" s="66"/>
      <c r="CB84" s="66"/>
      <c r="CC84" s="66"/>
      <c r="CD84" s="66"/>
    </row>
    <row r="85" spans="47:82" x14ac:dyDescent="0.2">
      <c r="AU85" s="66"/>
      <c r="AV85" s="66"/>
      <c r="AW85" s="66"/>
      <c r="AX85" s="66"/>
      <c r="AY85" s="66"/>
      <c r="AZ85" s="66"/>
      <c r="BA85" s="66"/>
      <c r="BB85" s="66"/>
      <c r="BC85" s="66"/>
      <c r="BD85" s="66"/>
      <c r="BE85" s="66"/>
      <c r="BF85" s="66"/>
      <c r="BG85" s="66"/>
      <c r="BH85" s="66"/>
      <c r="BI85" s="66"/>
      <c r="BJ85" s="66"/>
      <c r="BK85" s="66"/>
      <c r="BL85" s="66"/>
      <c r="BM85" s="66"/>
      <c r="BN85" s="66"/>
      <c r="BO85" s="66"/>
      <c r="BP85" s="66"/>
      <c r="BQ85" s="66"/>
      <c r="BR85" s="66"/>
      <c r="BS85" s="66"/>
      <c r="BT85" s="66"/>
      <c r="BU85" s="66"/>
      <c r="BV85" s="66"/>
      <c r="BW85" s="66"/>
      <c r="BX85" s="66"/>
      <c r="BY85" s="66"/>
      <c r="BZ85" s="66"/>
      <c r="CA85" s="66"/>
      <c r="CB85" s="66"/>
      <c r="CC85" s="66"/>
      <c r="CD85" s="66"/>
    </row>
    <row r="86" spans="47:82" x14ac:dyDescent="0.2">
      <c r="AU86" s="66"/>
      <c r="AV86" s="66"/>
      <c r="AW86" s="66"/>
      <c r="AX86" s="66"/>
      <c r="AY86" s="66"/>
      <c r="AZ86" s="66"/>
      <c r="BA86" s="66"/>
      <c r="BB86" s="66"/>
      <c r="BC86" s="66"/>
      <c r="BD86" s="66"/>
      <c r="BE86" s="66"/>
      <c r="BF86" s="66"/>
      <c r="BG86" s="66"/>
      <c r="BH86" s="66"/>
      <c r="BI86" s="66"/>
      <c r="BJ86" s="66"/>
      <c r="BK86" s="66"/>
      <c r="BL86" s="66"/>
      <c r="BM86" s="66"/>
      <c r="BN86" s="66"/>
      <c r="BO86" s="66"/>
      <c r="BP86" s="66"/>
      <c r="BQ86" s="66"/>
      <c r="BR86" s="66"/>
      <c r="BS86" s="66"/>
      <c r="BT86" s="66"/>
      <c r="BU86" s="66"/>
      <c r="BV86" s="66"/>
      <c r="BW86" s="66"/>
      <c r="BX86" s="66"/>
      <c r="BY86" s="66"/>
      <c r="BZ86" s="66"/>
      <c r="CA86" s="66"/>
      <c r="CB86" s="66"/>
      <c r="CC86" s="66"/>
      <c r="CD86" s="66"/>
    </row>
    <row r="87" spans="47:82" x14ac:dyDescent="0.2">
      <c r="AU87" s="66"/>
      <c r="AV87" s="66"/>
      <c r="AW87" s="66"/>
      <c r="AX87" s="66"/>
      <c r="AY87" s="66"/>
      <c r="AZ87" s="66"/>
      <c r="BA87" s="66"/>
      <c r="BB87" s="66"/>
      <c r="BC87" s="66"/>
      <c r="BD87" s="66"/>
      <c r="BE87" s="66"/>
      <c r="BF87" s="66"/>
      <c r="BG87" s="66"/>
      <c r="BH87" s="66"/>
      <c r="BI87" s="66"/>
      <c r="BJ87" s="66"/>
      <c r="BK87" s="66"/>
      <c r="BL87" s="66"/>
      <c r="BM87" s="66"/>
      <c r="BN87" s="66"/>
      <c r="BO87" s="66"/>
      <c r="BP87" s="66"/>
      <c r="BQ87" s="66"/>
      <c r="BR87" s="66"/>
      <c r="BS87" s="66"/>
      <c r="BT87" s="66"/>
      <c r="BU87" s="66"/>
      <c r="BV87" s="66"/>
      <c r="BW87" s="66"/>
      <c r="BX87" s="66"/>
      <c r="BY87" s="66"/>
      <c r="BZ87" s="66"/>
      <c r="CA87" s="66"/>
      <c r="CB87" s="66"/>
      <c r="CC87" s="66"/>
      <c r="CD87" s="66"/>
    </row>
    <row r="88" spans="47:82" x14ac:dyDescent="0.2">
      <c r="AU88" s="66"/>
      <c r="AV88" s="66"/>
      <c r="AW88" s="66"/>
      <c r="AX88" s="66"/>
      <c r="AY88" s="66"/>
      <c r="AZ88" s="66"/>
      <c r="BA88" s="66"/>
      <c r="BB88" s="66"/>
      <c r="BC88" s="66"/>
      <c r="BD88" s="66"/>
      <c r="BE88" s="66"/>
      <c r="BF88" s="66"/>
      <c r="BG88" s="66"/>
      <c r="BH88" s="66"/>
      <c r="BI88" s="66"/>
      <c r="BJ88" s="66"/>
      <c r="BK88" s="66"/>
      <c r="BL88" s="66"/>
      <c r="BM88" s="66"/>
      <c r="BN88" s="66"/>
      <c r="BO88" s="66"/>
      <c r="BP88" s="66"/>
      <c r="BQ88" s="66"/>
      <c r="BR88" s="66"/>
      <c r="BS88" s="66"/>
      <c r="BT88" s="66"/>
      <c r="BU88" s="66"/>
      <c r="BV88" s="66"/>
      <c r="BW88" s="66"/>
      <c r="BX88" s="66"/>
      <c r="BY88" s="66"/>
      <c r="BZ88" s="66"/>
      <c r="CA88" s="66"/>
      <c r="CB88" s="66"/>
      <c r="CC88" s="66"/>
      <c r="CD88" s="66"/>
    </row>
    <row r="89" spans="47:82" x14ac:dyDescent="0.2">
      <c r="AU89" s="66"/>
      <c r="AV89" s="66"/>
      <c r="AW89" s="66"/>
      <c r="AX89" s="66"/>
      <c r="AY89" s="66"/>
      <c r="AZ89" s="66"/>
      <c r="BA89" s="66"/>
      <c r="BB89" s="66"/>
      <c r="BC89" s="66"/>
      <c r="BD89" s="66"/>
      <c r="BE89" s="66"/>
      <c r="BF89" s="66"/>
      <c r="BG89" s="66"/>
      <c r="BH89" s="66"/>
      <c r="BI89" s="66"/>
      <c r="BJ89" s="66"/>
      <c r="BK89" s="66"/>
      <c r="BL89" s="66"/>
      <c r="BM89" s="66"/>
      <c r="BN89" s="66"/>
      <c r="BO89" s="66"/>
      <c r="BP89" s="66"/>
      <c r="BQ89" s="66"/>
      <c r="BR89" s="66"/>
      <c r="BS89" s="66"/>
      <c r="BT89" s="66"/>
      <c r="BU89" s="66"/>
      <c r="BV89" s="66"/>
      <c r="BW89" s="66"/>
      <c r="BX89" s="66"/>
      <c r="BY89" s="66"/>
      <c r="BZ89" s="66"/>
      <c r="CA89" s="66"/>
      <c r="CB89" s="66"/>
      <c r="CC89" s="66"/>
      <c r="CD89" s="66"/>
    </row>
    <row r="90" spans="47:82" x14ac:dyDescent="0.2">
      <c r="AU90" s="66"/>
      <c r="AV90" s="66"/>
      <c r="AW90" s="66"/>
      <c r="AX90" s="66"/>
      <c r="AY90" s="66"/>
      <c r="AZ90" s="66"/>
      <c r="BA90" s="66"/>
      <c r="BB90" s="66"/>
      <c r="BC90" s="66"/>
      <c r="BD90" s="66"/>
      <c r="BE90" s="66"/>
      <c r="BF90" s="66"/>
      <c r="BG90" s="66"/>
      <c r="BH90" s="66"/>
      <c r="BI90" s="66"/>
      <c r="BJ90" s="66"/>
      <c r="BK90" s="66"/>
      <c r="BL90" s="66"/>
      <c r="BM90" s="66"/>
      <c r="BN90" s="66"/>
      <c r="BO90" s="66"/>
      <c r="BP90" s="66"/>
      <c r="BQ90" s="66"/>
      <c r="BR90" s="66"/>
      <c r="BS90" s="66"/>
      <c r="BT90" s="66"/>
      <c r="BU90" s="66"/>
      <c r="BV90" s="66"/>
      <c r="BW90" s="66"/>
      <c r="BX90" s="66"/>
      <c r="BY90" s="66"/>
      <c r="BZ90" s="66"/>
      <c r="CA90" s="66"/>
      <c r="CB90" s="66"/>
      <c r="CC90" s="66"/>
      <c r="CD90" s="66"/>
    </row>
    <row r="91" spans="47:82" x14ac:dyDescent="0.2">
      <c r="AU91" s="66"/>
      <c r="AV91" s="66"/>
      <c r="AW91" s="66"/>
      <c r="AX91" s="66"/>
      <c r="AY91" s="66"/>
      <c r="AZ91" s="66"/>
      <c r="BA91" s="66"/>
      <c r="BB91" s="66"/>
      <c r="BC91" s="66"/>
      <c r="BD91" s="66"/>
      <c r="BE91" s="66"/>
      <c r="BF91" s="66"/>
      <c r="BG91" s="66"/>
      <c r="BH91" s="66"/>
      <c r="BI91" s="66"/>
      <c r="BJ91" s="66"/>
      <c r="BK91" s="66"/>
      <c r="BL91" s="66"/>
      <c r="BM91" s="66"/>
      <c r="BN91" s="66"/>
      <c r="BO91" s="66"/>
      <c r="BP91" s="66"/>
      <c r="BQ91" s="66"/>
      <c r="BR91" s="66"/>
      <c r="BS91" s="66"/>
      <c r="BT91" s="66"/>
      <c r="BU91" s="66"/>
      <c r="BV91" s="66"/>
      <c r="BW91" s="66"/>
      <c r="BX91" s="66"/>
      <c r="BY91" s="66"/>
      <c r="BZ91" s="66"/>
      <c r="CA91" s="66"/>
      <c r="CB91" s="66"/>
      <c r="CC91" s="66"/>
      <c r="CD91" s="66"/>
    </row>
    <row r="92" spans="47:82" x14ac:dyDescent="0.2">
      <c r="AU92" s="66"/>
      <c r="AV92" s="66"/>
      <c r="AW92" s="66"/>
      <c r="AX92" s="66"/>
      <c r="AY92" s="66"/>
      <c r="AZ92" s="66"/>
      <c r="BA92" s="66"/>
      <c r="BB92" s="66"/>
      <c r="BC92" s="66"/>
      <c r="BD92" s="66"/>
      <c r="BE92" s="66"/>
      <c r="BF92" s="66"/>
      <c r="BG92" s="66"/>
      <c r="BH92" s="66"/>
      <c r="BI92" s="66"/>
      <c r="BJ92" s="66"/>
      <c r="BK92" s="66"/>
      <c r="BL92" s="66"/>
      <c r="BM92" s="66"/>
      <c r="BN92" s="66"/>
      <c r="BO92" s="66"/>
      <c r="BP92" s="66"/>
      <c r="BQ92" s="66"/>
      <c r="BR92" s="66"/>
      <c r="BS92" s="66"/>
      <c r="BT92" s="66"/>
      <c r="BU92" s="66"/>
      <c r="BV92" s="66"/>
      <c r="BW92" s="66"/>
      <c r="BX92" s="66"/>
      <c r="BY92" s="66"/>
      <c r="BZ92" s="66"/>
      <c r="CA92" s="66"/>
      <c r="CB92" s="66"/>
      <c r="CC92" s="66"/>
      <c r="CD92" s="66"/>
    </row>
    <row r="93" spans="47:82" x14ac:dyDescent="0.2">
      <c r="AU93" s="66"/>
      <c r="AV93" s="66"/>
      <c r="AW93" s="66"/>
      <c r="AX93" s="66"/>
      <c r="AY93" s="66"/>
      <c r="AZ93" s="66"/>
      <c r="BA93" s="66"/>
      <c r="BB93" s="66"/>
      <c r="BC93" s="66"/>
      <c r="BD93" s="66"/>
      <c r="BE93" s="66"/>
      <c r="BF93" s="66"/>
      <c r="BG93" s="66"/>
      <c r="BH93" s="66"/>
      <c r="BI93" s="66"/>
      <c r="BJ93" s="66"/>
      <c r="BK93" s="66"/>
      <c r="BL93" s="66"/>
      <c r="BM93" s="66"/>
      <c r="BN93" s="66"/>
      <c r="BO93" s="66"/>
      <c r="BP93" s="66"/>
      <c r="BQ93" s="66"/>
      <c r="BR93" s="66"/>
      <c r="BS93" s="66"/>
      <c r="BT93" s="66"/>
      <c r="BU93" s="66"/>
      <c r="BV93" s="66"/>
      <c r="BW93" s="66"/>
      <c r="BX93" s="66"/>
      <c r="BY93" s="66"/>
      <c r="BZ93" s="66"/>
      <c r="CA93" s="66"/>
      <c r="CB93" s="66"/>
      <c r="CC93" s="66"/>
      <c r="CD93" s="66"/>
    </row>
    <row r="94" spans="47:82" x14ac:dyDescent="0.2">
      <c r="AU94" s="66"/>
      <c r="AV94" s="66"/>
      <c r="AW94" s="66"/>
      <c r="AX94" s="66"/>
      <c r="AY94" s="66"/>
      <c r="AZ94" s="66"/>
      <c r="BA94" s="66"/>
      <c r="BB94" s="66"/>
      <c r="BC94" s="66"/>
      <c r="BD94" s="66"/>
      <c r="BE94" s="66"/>
      <c r="BF94" s="66"/>
      <c r="BG94" s="66"/>
      <c r="BH94" s="66"/>
      <c r="BI94" s="66"/>
      <c r="BJ94" s="66"/>
      <c r="BK94" s="66"/>
      <c r="BL94" s="66"/>
      <c r="BM94" s="66"/>
      <c r="BN94" s="66"/>
      <c r="BO94" s="66"/>
      <c r="BP94" s="66"/>
      <c r="BQ94" s="66"/>
      <c r="BR94" s="66"/>
      <c r="BS94" s="66"/>
      <c r="BT94" s="66"/>
      <c r="BU94" s="66"/>
      <c r="BV94" s="66"/>
      <c r="BW94" s="66"/>
      <c r="BX94" s="66"/>
      <c r="BY94" s="66"/>
      <c r="BZ94" s="66"/>
      <c r="CA94" s="66"/>
      <c r="CB94" s="66"/>
      <c r="CC94" s="66"/>
      <c r="CD94" s="66"/>
    </row>
    <row r="95" spans="47:82" x14ac:dyDescent="0.2">
      <c r="AU95" s="66"/>
      <c r="AV95" s="66"/>
      <c r="AW95" s="66"/>
      <c r="AX95" s="66"/>
      <c r="AY95" s="66"/>
      <c r="AZ95" s="66"/>
      <c r="BA95" s="66"/>
      <c r="BB95" s="66"/>
      <c r="BC95" s="66"/>
      <c r="BD95" s="66"/>
      <c r="BE95" s="66"/>
      <c r="BF95" s="66"/>
      <c r="BG95" s="66"/>
      <c r="BH95" s="66"/>
      <c r="BI95" s="66"/>
      <c r="BJ95" s="66"/>
      <c r="BK95" s="66"/>
      <c r="BL95" s="66"/>
      <c r="BM95" s="66"/>
      <c r="BN95" s="66"/>
      <c r="BO95" s="66"/>
      <c r="BP95" s="66"/>
      <c r="BQ95" s="66"/>
      <c r="BR95" s="66"/>
      <c r="BS95" s="66"/>
      <c r="BT95" s="66"/>
      <c r="BU95" s="66"/>
      <c r="BV95" s="66"/>
      <c r="BW95" s="66"/>
      <c r="BX95" s="66"/>
      <c r="BY95" s="66"/>
      <c r="BZ95" s="66"/>
      <c r="CA95" s="66"/>
      <c r="CB95" s="66"/>
      <c r="CC95" s="66"/>
      <c r="CD95" s="66"/>
    </row>
  </sheetData>
  <mergeCells count="8">
    <mergeCell ref="A2:O2"/>
    <mergeCell ref="P2:CD2"/>
    <mergeCell ref="A77:B77"/>
    <mergeCell ref="A76:B76"/>
    <mergeCell ref="A72:B72"/>
    <mergeCell ref="A73:B73"/>
    <mergeCell ref="A74:B74"/>
    <mergeCell ref="A75:B75"/>
  </mergeCells>
  <phoneticPr fontId="5" type="noConversion"/>
  <pageMargins left="0.78740157499999996" right="0.78740157499999996" top="0.984251969" bottom="0.984251969"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20" ma:contentTypeDescription="Create a new document." ma:contentTypeScope="" ma:versionID="af7aed699e09236b505b897d82f1a4d8">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9857aeec840e4f50e4f9f12146022d3"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4FE4D03-D94A-4F1D-81CF-8EB44BFD49A9}"/>
</file>

<file path=customXml/itemProps2.xml><?xml version="1.0" encoding="utf-8"?>
<ds:datastoreItem xmlns:ds="http://schemas.openxmlformats.org/officeDocument/2006/customXml" ds:itemID="{FE2FD2AD-9198-4E39-9327-ABA55A651B20}"/>
</file>

<file path=customXml/itemProps3.xml><?xml version="1.0" encoding="utf-8"?>
<ds:datastoreItem xmlns:ds="http://schemas.openxmlformats.org/officeDocument/2006/customXml" ds:itemID="{ABDD5093-367A-4713-9180-B732DC0685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Input data</vt:lpstr>
      <vt:lpstr>LFG generation and capture</vt:lpstr>
      <vt:lpstr>Calculations</vt:lpstr>
      <vt:lpstr>PD Ex-Ante calculation</vt:lpstr>
      <vt:lpstr>PD Table</vt:lpstr>
      <vt:lpstr>FOD Basics</vt:lpstr>
      <vt:lpstr>FOD Calculations</vt:lpstr>
      <vt:lpstr>'FOD Basics'!Print_Area</vt:lpstr>
      <vt:lpstr>'Input 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Author</cp:lastModifiedBy>
  <cp:lastPrinted>2009-11-12T20:33:51Z</cp:lastPrinted>
  <dcterms:created xsi:type="dcterms:W3CDTF">2008-04-15T13:49:34Z</dcterms:created>
  <dcterms:modified xsi:type="dcterms:W3CDTF">2025-10-23T22:00:54Z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ies>
</file>