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silak\OneDrive\Masaüstü\Sekans\Carbon\Ceyhan HES\Verifikasyon\v2\"/>
    </mc:Choice>
  </mc:AlternateContent>
  <xr:revisionPtr revIDLastSave="0" documentId="13_ncr:1_{24A29703-A47F-4716-A786-402C57D07F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seline Emissions" sheetId="1" r:id="rId1"/>
    <sheet name="Comp.of Baseline Emissions" sheetId="3" r:id="rId2"/>
    <sheet name="Power Density Calculation" sheetId="4" r:id="rId3"/>
  </sheets>
  <definedNames>
    <definedName name="_ftnref1" localSheetId="2">'Power Density Calculation'!$C$7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  <c r="D7" i="1"/>
  <c r="C7" i="1"/>
  <c r="E7" i="1"/>
  <c r="C8" i="1"/>
  <c r="E8" i="1"/>
  <c r="C9" i="1"/>
  <c r="E9" i="1"/>
  <c r="C10" i="1"/>
  <c r="E10" i="1"/>
  <c r="C11" i="1"/>
  <c r="E11" i="1"/>
  <c r="C12" i="1"/>
  <c r="E12" i="1"/>
  <c r="C13" i="1"/>
  <c r="E13" i="1"/>
  <c r="E79" i="1"/>
  <c r="C14" i="1"/>
  <c r="E14" i="1"/>
  <c r="C15" i="1"/>
  <c r="E15" i="1"/>
  <c r="C16" i="1"/>
  <c r="E16" i="1"/>
  <c r="C17" i="1"/>
  <c r="E17" i="1"/>
  <c r="C18" i="1"/>
  <c r="E18" i="1"/>
  <c r="C19" i="1"/>
  <c r="E19" i="1"/>
  <c r="C20" i="1"/>
  <c r="E20" i="1"/>
  <c r="C21" i="1"/>
  <c r="E21" i="1"/>
  <c r="C22" i="1"/>
  <c r="E22" i="1"/>
  <c r="C23" i="1"/>
  <c r="E23" i="1"/>
  <c r="C24" i="1"/>
  <c r="E24" i="1"/>
  <c r="C25" i="1"/>
  <c r="E25" i="1"/>
  <c r="E80" i="1"/>
  <c r="C26" i="1"/>
  <c r="E26" i="1"/>
  <c r="C27" i="1"/>
  <c r="E27" i="1"/>
  <c r="C28" i="1"/>
  <c r="E28" i="1"/>
  <c r="C29" i="1"/>
  <c r="E29" i="1"/>
  <c r="C30" i="1"/>
  <c r="E30" i="1"/>
  <c r="C31" i="1"/>
  <c r="E31" i="1"/>
  <c r="C32" i="1"/>
  <c r="E32" i="1"/>
  <c r="C33" i="1"/>
  <c r="E33" i="1"/>
  <c r="C34" i="1"/>
  <c r="E34" i="1"/>
  <c r="C35" i="1"/>
  <c r="E35" i="1"/>
  <c r="C36" i="1"/>
  <c r="E36" i="1"/>
  <c r="C37" i="1"/>
  <c r="E37" i="1"/>
  <c r="E81" i="1"/>
  <c r="C38" i="1"/>
  <c r="E38" i="1"/>
  <c r="C39" i="1"/>
  <c r="E39" i="1"/>
  <c r="C40" i="1"/>
  <c r="E40" i="1"/>
  <c r="C41" i="1"/>
  <c r="E41" i="1"/>
  <c r="C42" i="1"/>
  <c r="E42" i="1"/>
  <c r="C43" i="1"/>
  <c r="E43" i="1"/>
  <c r="C44" i="1"/>
  <c r="E44" i="1"/>
  <c r="C45" i="1"/>
  <c r="E45" i="1"/>
  <c r="C46" i="1"/>
  <c r="E46" i="1"/>
  <c r="C47" i="1"/>
  <c r="E47" i="1"/>
  <c r="C48" i="1"/>
  <c r="E48" i="1"/>
  <c r="C49" i="1"/>
  <c r="E49" i="1"/>
  <c r="E82" i="1"/>
  <c r="C50" i="1"/>
  <c r="E50" i="1"/>
  <c r="C51" i="1"/>
  <c r="E51" i="1"/>
  <c r="C52" i="1"/>
  <c r="E52" i="1"/>
  <c r="C53" i="1"/>
  <c r="E53" i="1"/>
  <c r="C54" i="1"/>
  <c r="E54" i="1"/>
  <c r="C55" i="1"/>
  <c r="E55" i="1"/>
  <c r="C56" i="1"/>
  <c r="E56" i="1"/>
  <c r="C57" i="1"/>
  <c r="E57" i="1"/>
  <c r="C58" i="1"/>
  <c r="E58" i="1"/>
  <c r="C59" i="1"/>
  <c r="E59" i="1"/>
  <c r="C60" i="1"/>
  <c r="E60" i="1"/>
  <c r="C61" i="1"/>
  <c r="E61" i="1"/>
  <c r="E83" i="1"/>
  <c r="C62" i="1"/>
  <c r="E62" i="1"/>
  <c r="C63" i="1"/>
  <c r="E63" i="1"/>
  <c r="C64" i="1"/>
  <c r="E64" i="1"/>
  <c r="C65" i="1"/>
  <c r="E65" i="1"/>
  <c r="C66" i="1"/>
  <c r="E66" i="1"/>
  <c r="C67" i="1"/>
  <c r="E67" i="1"/>
  <c r="C68" i="1"/>
  <c r="E68" i="1"/>
  <c r="C69" i="1"/>
  <c r="E69" i="1"/>
  <c r="C70" i="1"/>
  <c r="E70" i="1"/>
  <c r="C71" i="1"/>
  <c r="E71" i="1"/>
  <c r="C72" i="1"/>
  <c r="E72" i="1"/>
  <c r="C73" i="1"/>
  <c r="E73" i="1"/>
  <c r="E84" i="1"/>
  <c r="C74" i="1"/>
  <c r="E74" i="1"/>
  <c r="C75" i="1"/>
  <c r="E75" i="1"/>
  <c r="C76" i="1"/>
  <c r="E76" i="1"/>
  <c r="C77" i="1"/>
  <c r="E77" i="1"/>
  <c r="C78" i="1"/>
  <c r="E78" i="1"/>
  <c r="E85" i="1"/>
  <c r="E86" i="1"/>
  <c r="F7" i="1"/>
  <c r="D8" i="1"/>
  <c r="F8" i="1"/>
  <c r="F9" i="1"/>
  <c r="D10" i="1"/>
  <c r="F10" i="1"/>
  <c r="D11" i="1"/>
  <c r="F11" i="1"/>
  <c r="D12" i="1"/>
  <c r="F12" i="1"/>
  <c r="D13" i="1"/>
  <c r="F13" i="1"/>
  <c r="F79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F80" i="1"/>
  <c r="D26" i="1"/>
  <c r="F26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D34" i="1"/>
  <c r="F34" i="1"/>
  <c r="D35" i="1"/>
  <c r="F35" i="1"/>
  <c r="D36" i="1"/>
  <c r="F36" i="1"/>
  <c r="D37" i="1"/>
  <c r="F37" i="1"/>
  <c r="F81" i="1"/>
  <c r="D38" i="1"/>
  <c r="F38" i="1"/>
  <c r="D39" i="1"/>
  <c r="F39" i="1"/>
  <c r="D40" i="1"/>
  <c r="F40" i="1"/>
  <c r="D41" i="1"/>
  <c r="F41" i="1"/>
  <c r="D42" i="1"/>
  <c r="F42" i="1"/>
  <c r="D43" i="1"/>
  <c r="F43" i="1"/>
  <c r="D44" i="1"/>
  <c r="F44" i="1"/>
  <c r="D45" i="1"/>
  <c r="F45" i="1"/>
  <c r="D46" i="1"/>
  <c r="F46" i="1"/>
  <c r="D47" i="1"/>
  <c r="F47" i="1"/>
  <c r="D48" i="1"/>
  <c r="F48" i="1"/>
  <c r="D49" i="1"/>
  <c r="F49" i="1"/>
  <c r="F82" i="1"/>
  <c r="D50" i="1"/>
  <c r="F50" i="1"/>
  <c r="D51" i="1"/>
  <c r="F51" i="1"/>
  <c r="D52" i="1"/>
  <c r="F52" i="1"/>
  <c r="D53" i="1"/>
  <c r="F53" i="1"/>
  <c r="D54" i="1"/>
  <c r="F54" i="1"/>
  <c r="D55" i="1"/>
  <c r="F55" i="1"/>
  <c r="D56" i="1"/>
  <c r="F56" i="1"/>
  <c r="D57" i="1"/>
  <c r="F57" i="1"/>
  <c r="D58" i="1"/>
  <c r="F58" i="1"/>
  <c r="D59" i="1"/>
  <c r="F59" i="1"/>
  <c r="D60" i="1"/>
  <c r="F60" i="1"/>
  <c r="D61" i="1"/>
  <c r="F61" i="1"/>
  <c r="F83" i="1"/>
  <c r="F62" i="1"/>
  <c r="D63" i="1"/>
  <c r="F63" i="1"/>
  <c r="D64" i="1"/>
  <c r="F64" i="1"/>
  <c r="D65" i="1"/>
  <c r="F65" i="1"/>
  <c r="D66" i="1"/>
  <c r="F66" i="1"/>
  <c r="D67" i="1"/>
  <c r="F67" i="1"/>
  <c r="D68" i="1"/>
  <c r="F68" i="1"/>
  <c r="D69" i="1"/>
  <c r="F69" i="1"/>
  <c r="D70" i="1"/>
  <c r="F70" i="1"/>
  <c r="D71" i="1"/>
  <c r="F71" i="1"/>
  <c r="D72" i="1"/>
  <c r="F72" i="1"/>
  <c r="D73" i="1"/>
  <c r="F73" i="1"/>
  <c r="F84" i="1"/>
  <c r="D74" i="1"/>
  <c r="F74" i="1"/>
  <c r="D75" i="1"/>
  <c r="F75" i="1"/>
  <c r="D76" i="1"/>
  <c r="F76" i="1"/>
  <c r="D77" i="1"/>
  <c r="F77" i="1"/>
  <c r="D78" i="1"/>
  <c r="F78" i="1"/>
  <c r="F85" i="1"/>
  <c r="F86" i="1"/>
  <c r="G79" i="1"/>
  <c r="G80" i="1"/>
  <c r="G81" i="1"/>
  <c r="G82" i="1"/>
  <c r="G83" i="1"/>
  <c r="G84" i="1"/>
  <c r="G85" i="1"/>
  <c r="G86" i="1"/>
  <c r="G7" i="1"/>
  <c r="I7" i="1"/>
  <c r="G8" i="1"/>
  <c r="I8" i="1"/>
  <c r="G9" i="1"/>
  <c r="I9" i="1"/>
  <c r="G10" i="1"/>
  <c r="I10" i="1"/>
  <c r="G11" i="1"/>
  <c r="I11" i="1"/>
  <c r="G12" i="1"/>
  <c r="I12" i="1"/>
  <c r="G13" i="1"/>
  <c r="I13" i="1"/>
  <c r="I79" i="1"/>
  <c r="G14" i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I80" i="1"/>
  <c r="G26" i="1"/>
  <c r="I26" i="1"/>
  <c r="G27" i="1"/>
  <c r="I27" i="1"/>
  <c r="G28" i="1"/>
  <c r="I28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  <c r="I35" i="1"/>
  <c r="G36" i="1"/>
  <c r="I36" i="1"/>
  <c r="G37" i="1"/>
  <c r="I37" i="1"/>
  <c r="I81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I45" i="1"/>
  <c r="G46" i="1"/>
  <c r="I46" i="1"/>
  <c r="G47" i="1"/>
  <c r="I47" i="1"/>
  <c r="G48" i="1"/>
  <c r="I48" i="1"/>
  <c r="G49" i="1"/>
  <c r="I49" i="1"/>
  <c r="I82" i="1"/>
  <c r="G50" i="1"/>
  <c r="I50" i="1"/>
  <c r="G51" i="1"/>
  <c r="I51" i="1"/>
  <c r="G52" i="1"/>
  <c r="I52" i="1"/>
  <c r="G53" i="1"/>
  <c r="I53" i="1"/>
  <c r="G54" i="1"/>
  <c r="I54" i="1"/>
  <c r="G55" i="1"/>
  <c r="I55" i="1"/>
  <c r="G56" i="1"/>
  <c r="I56" i="1"/>
  <c r="G57" i="1"/>
  <c r="I57" i="1"/>
  <c r="G58" i="1"/>
  <c r="I58" i="1"/>
  <c r="G59" i="1"/>
  <c r="I59" i="1"/>
  <c r="G60" i="1"/>
  <c r="I60" i="1"/>
  <c r="G61" i="1"/>
  <c r="I61" i="1"/>
  <c r="I83" i="1"/>
  <c r="G62" i="1"/>
  <c r="I62" i="1"/>
  <c r="G63" i="1"/>
  <c r="I63" i="1"/>
  <c r="G64" i="1"/>
  <c r="I64" i="1"/>
  <c r="G65" i="1"/>
  <c r="I65" i="1"/>
  <c r="G66" i="1"/>
  <c r="I66" i="1"/>
  <c r="G67" i="1"/>
  <c r="I67" i="1"/>
  <c r="G68" i="1"/>
  <c r="I68" i="1"/>
  <c r="G69" i="1"/>
  <c r="I69" i="1"/>
  <c r="G70" i="1"/>
  <c r="I70" i="1"/>
  <c r="G71" i="1"/>
  <c r="I71" i="1"/>
  <c r="G72" i="1"/>
  <c r="I72" i="1"/>
  <c r="G73" i="1"/>
  <c r="I73" i="1"/>
  <c r="I84" i="1"/>
  <c r="G74" i="1"/>
  <c r="I74" i="1"/>
  <c r="G75" i="1"/>
  <c r="I75" i="1"/>
  <c r="G76" i="1"/>
  <c r="I76" i="1"/>
  <c r="G77" i="1"/>
  <c r="I77" i="1"/>
  <c r="G78" i="1"/>
  <c r="I78" i="1"/>
  <c r="I85" i="1"/>
  <c r="I86" i="1"/>
  <c r="D79" i="1"/>
  <c r="D80" i="1"/>
  <c r="D81" i="1"/>
  <c r="D82" i="1"/>
  <c r="D83" i="1"/>
  <c r="D84" i="1"/>
  <c r="D85" i="1"/>
  <c r="D86" i="1"/>
  <c r="C79" i="1"/>
  <c r="C80" i="1"/>
  <c r="C81" i="1"/>
  <c r="C82" i="1"/>
  <c r="C83" i="1"/>
  <c r="C84" i="1"/>
  <c r="C85" i="1"/>
  <c r="C86" i="1"/>
  <c r="F7" i="4"/>
  <c r="C7" i="4"/>
  <c r="F10" i="3"/>
  <c r="E10" i="3"/>
  <c r="E9" i="3"/>
  <c r="E8" i="3"/>
  <c r="E7" i="3"/>
  <c r="E6" i="3"/>
  <c r="E5" i="3"/>
  <c r="E4" i="3"/>
  <c r="D11" i="3"/>
  <c r="F9" i="3"/>
  <c r="F8" i="3"/>
  <c r="F7" i="3"/>
  <c r="F6" i="3"/>
  <c r="F5" i="3"/>
  <c r="F4" i="3"/>
  <c r="E11" i="3"/>
  <c r="G8" i="3"/>
  <c r="H8" i="3"/>
  <c r="F11" i="3"/>
  <c r="G5" i="3"/>
  <c r="H5" i="3"/>
  <c r="G9" i="3"/>
  <c r="H9" i="3"/>
  <c r="G6" i="3"/>
  <c r="H6" i="3"/>
  <c r="G10" i="3"/>
  <c r="H10" i="3"/>
  <c r="G7" i="3"/>
  <c r="H7" i="3"/>
  <c r="G4" i="3"/>
  <c r="H4" i="3"/>
  <c r="G11" i="3"/>
  <c r="H11" i="3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Sila Kilic</author>
  </authors>
  <commentList>
    <comment ref="C6" authorId="0" shapeId="0" xr:uid="{2657F8EE-03EB-4154-9122-B05EBC6428DC}">
      <text>
        <r>
          <rPr>
            <b/>
            <sz val="9"/>
            <color indexed="81"/>
            <rFont val="Tahoma"/>
            <family val="2"/>
            <charset val="162"/>
          </rPr>
          <t>Sila Kilic:</t>
        </r>
        <r>
          <rPr>
            <sz val="9"/>
            <color indexed="81"/>
            <rFont val="Tahoma"/>
            <family val="2"/>
            <charset val="162"/>
          </rPr>
          <t xml:space="preserve">
The project activity  consists of  four power meters, therefor, we summed of the values of four of them.</t>
        </r>
      </text>
    </comment>
    <comment ref="D6" authorId="0" shapeId="0" xr:uid="{3F81AAF9-2512-46A7-836C-0BE1F8B33685}">
      <text>
        <r>
          <rPr>
            <b/>
            <sz val="9"/>
            <color indexed="81"/>
            <rFont val="Tahoma"/>
            <charset val="1"/>
          </rPr>
          <t xml:space="preserve">Sila Kilic:
</t>
        </r>
        <r>
          <rPr>
            <sz val="9"/>
            <color indexed="81"/>
            <rFont val="Tahoma"/>
            <family val="2"/>
            <charset val="162"/>
          </rPr>
          <t xml:space="preserve">Some months do not include four values, since there wasn't any consumption recorded through that meter.
</t>
        </r>
      </text>
    </comment>
  </commentList>
</comments>
</file>

<file path=xl/sharedStrings.xml><?xml version="1.0" encoding="utf-8"?>
<sst xmlns="http://schemas.openxmlformats.org/spreadsheetml/2006/main" count="40" uniqueCount="36">
  <si>
    <t>Month</t>
  </si>
  <si>
    <t>(A)
Electricity
supplied to
the grid
[MWh]</t>
  </si>
  <si>
    <t>(B)
Electricity
consumption
from the grid
[MWh]</t>
  </si>
  <si>
    <t>(C) = (A) - (B)
EG (ID 8)
Net electricity
supplied to the grid
[MWh]</t>
  </si>
  <si>
    <r>
      <t>EF  [tCO</t>
    </r>
    <r>
      <rPr>
        <b/>
        <vertAlign val="subscript"/>
        <sz val="10.5"/>
        <rFont val="Arial"/>
        <family val="2"/>
      </rPr>
      <t>2</t>
    </r>
    <r>
      <rPr>
        <b/>
        <sz val="10.5"/>
        <rFont val="Arial"/>
        <family val="2"/>
      </rPr>
      <t>/MWh]</t>
    </r>
  </si>
  <si>
    <r>
      <t>Baseline
emission:
ER = EG * EF
[t CO</t>
    </r>
    <r>
      <rPr>
        <b/>
        <vertAlign val="subscript"/>
        <sz val="10.5"/>
        <rFont val="Arial"/>
        <family val="2"/>
      </rPr>
      <t>2</t>
    </r>
    <r>
      <rPr>
        <b/>
        <sz val="10.5"/>
        <rFont val="Arial"/>
        <family val="2"/>
      </rPr>
      <t>-eq]</t>
    </r>
  </si>
  <si>
    <t>2013 Vintage
(01.01.2013-31.12.2013)</t>
  </si>
  <si>
    <t>2014 Vintage
(01.01.2014-31.12.2014)</t>
  </si>
  <si>
    <t>2015 Vintage
(01.01.2015-31.12.2015)</t>
  </si>
  <si>
    <t>2016 Vintage
(01.01.2016-31.12.2016)</t>
  </si>
  <si>
    <t>Total</t>
  </si>
  <si>
    <t>2012 Vintage
(01.06.2012-31.12.2012)</t>
  </si>
  <si>
    <t>2017 Vintage
(01.01.2017-31.12.2017)</t>
  </si>
  <si>
    <t>2018 Vintage
(01.01.2018-31.05.2018)</t>
  </si>
  <si>
    <t>Estimated amount of annual average GHG emission reductions monitoring period in the PDD</t>
  </si>
  <si>
    <t>Vintage</t>
  </si>
  <si>
    <t>Period</t>
  </si>
  <si>
    <t>Total Days</t>
  </si>
  <si>
    <t>Amount achieved during this monitoring period (tCO2e)</t>
  </si>
  <si>
    <t>Amount estimated ex ante  (tCO2e)</t>
  </si>
  <si>
    <t>Difference  (tCO2e)</t>
  </si>
  <si>
    <t>Difference (%)</t>
  </si>
  <si>
    <t>01.01.2013 - 31.12.2013</t>
  </si>
  <si>
    <t>01.01.2015 - 31.12.2015</t>
  </si>
  <si>
    <t>01.01.2016 - 31.12.2016</t>
  </si>
  <si>
    <t>01.01.2017 - 31.12.2017</t>
  </si>
  <si>
    <t>01.06.2012 - 31.12.2012</t>
  </si>
  <si>
    <t>01.01.2014 - 31.12.2015</t>
  </si>
  <si>
    <t>01.01.2018 - 31.05.2018</t>
  </si>
  <si>
    <t>Installed Capacity (W)</t>
  </si>
  <si>
    <t>Reservoir Area (m2)</t>
  </si>
  <si>
    <t>Power Density (W/m2)</t>
  </si>
  <si>
    <t>Oşkan</t>
  </si>
  <si>
    <t>Berkman</t>
  </si>
  <si>
    <t>(A)
Electricity
supplied to
the grid
[kWh]</t>
  </si>
  <si>
    <t>(B)
Electricity
consumption
from the grid
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</si>
</sst>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[$-409]mmm\-yy;@"/>
    <numFmt numFmtId="167" formatCode="#,##0.000"/>
    <numFmt numFmtId="168" formatCode="0.0%"/>
    <numFmt numFmtId="169" formatCode="_-* #,##0_-;\-* #,##0_-;_-* &quot;-&quot;??_-;_-@_-"/>
    <numFmt numFmtId="170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name val="Arial"/>
      <family val="2"/>
    </font>
    <font>
      <b/>
      <vertAlign val="subscript"/>
      <sz val="10.5"/>
      <name val="Arial"/>
      <family val="2"/>
    </font>
    <font>
      <sz val="11"/>
      <color theme="1"/>
      <name val="Calibri"/>
      <family val="2"/>
      <charset val="162"/>
      <scheme val="minor"/>
    </font>
    <font>
      <b/>
      <sz val="10.5"/>
      <color theme="1"/>
      <name val="Calibri"/>
      <family val="2"/>
      <charset val="162"/>
      <scheme val="minor"/>
    </font>
    <font>
      <sz val="10.5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5" fillId="0" borderId="0"/>
  </cellStyleXfs>
  <cellXfs count="38">
    <xf numFmtId="0" fontId="0" fillId="0" borderId="0" xfId="0"/>
    <xf numFmtId="0" fontId="3" fillId="2" borderId="1" xfId="3" applyFont="1" applyFill="1" applyBorder="1" applyAlignment="1">
      <alignment horizontal="center" vertical="center" wrapText="1"/>
    </xf>
    <xf numFmtId="43" fontId="3" fillId="2" borderId="1" xfId="3" applyNumberFormat="1" applyFont="1" applyFill="1" applyBorder="1" applyAlignment="1">
      <alignment horizontal="center" vertical="center" wrapText="1"/>
    </xf>
    <xf numFmtId="166" fontId="6" fillId="0" borderId="1" xfId="4" applyNumberFormat="1" applyFont="1" applyBorder="1" applyAlignment="1">
      <alignment horizontal="center" vertical="center"/>
    </xf>
    <xf numFmtId="39" fontId="7" fillId="0" borderId="1" xfId="1" applyNumberFormat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8" fillId="0" borderId="0" xfId="0" applyFont="1"/>
    <xf numFmtId="3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/>
    </xf>
    <xf numFmtId="168" fontId="9" fillId="0" borderId="1" xfId="2" applyNumberFormat="1" applyFont="1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0" fontId="10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37" fontId="7" fillId="0" borderId="1" xfId="1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66" fontId="6" fillId="0" borderId="1" xfId="4" applyNumberFormat="1" applyFont="1" applyBorder="1" applyAlignment="1">
      <alignment horizontal="left" vertical="center" wrapText="1"/>
    </xf>
    <xf numFmtId="37" fontId="7" fillId="0" borderId="1" xfId="1" applyNumberFormat="1" applyFont="1" applyFill="1" applyBorder="1" applyAlignment="1">
      <alignment horizontal="left" vertical="center"/>
    </xf>
    <xf numFmtId="39" fontId="7" fillId="0" borderId="1" xfId="1" applyNumberFormat="1" applyFont="1" applyFill="1" applyBorder="1" applyAlignment="1">
      <alignment horizontal="left" vertical="center"/>
    </xf>
    <xf numFmtId="167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Normal" xfId="0" builtinId="0"/>
    <cellStyle name="Normal 81" xfId="4" xr:uid="{482AFBBF-B8EA-4FB6-B90C-E8CDB45913B1}"/>
    <cellStyle name="Normal_Sheet1" xfId="3" xr:uid="{45781E15-CCCD-47B3-90D4-7C8EB180F9FB}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6"/>
  <sheetViews>
    <sheetView showGridLines="0" tabSelected="1" workbookViewId="0">
      <selection activeCell="F41" sqref="F41"/>
    </sheetView>
  </sheetViews>
  <sheetFormatPr defaultRowHeight="15" x14ac:dyDescent="0.25"/>
  <cols>
    <col min="2" max="2" width="25.42578125" customWidth="1"/>
    <col min="3" max="3" width="15.28515625" customWidth="1"/>
    <col min="4" max="4" width="14.85546875" customWidth="1"/>
    <col min="5" max="5" width="16.42578125" customWidth="1"/>
    <col min="6" max="6" width="13.7109375" customWidth="1"/>
    <col min="7" max="7" width="15.5703125" customWidth="1"/>
    <col min="8" max="8" width="12.140625" customWidth="1"/>
    <col min="9" max="9" width="13.5703125" bestFit="1" customWidth="1"/>
    <col min="12" max="12" width="10.140625" bestFit="1" customWidth="1"/>
  </cols>
  <sheetData>
    <row r="1" spans="2:12" x14ac:dyDescent="0.25">
      <c r="L1">
        <v>1000</v>
      </c>
    </row>
    <row r="6" spans="2:12" ht="94.5" x14ac:dyDescent="0.25">
      <c r="B6" s="1" t="s">
        <v>0</v>
      </c>
      <c r="C6" s="1" t="s">
        <v>34</v>
      </c>
      <c r="D6" s="2" t="s">
        <v>35</v>
      </c>
      <c r="E6" s="1" t="s">
        <v>1</v>
      </c>
      <c r="F6" s="2" t="s">
        <v>2</v>
      </c>
      <c r="G6" s="1" t="s">
        <v>3</v>
      </c>
      <c r="H6" s="1" t="s">
        <v>4</v>
      </c>
      <c r="I6" s="1" t="s">
        <v>5</v>
      </c>
    </row>
    <row r="7" spans="2:12" x14ac:dyDescent="0.25">
      <c r="B7" s="3">
        <v>41061</v>
      </c>
      <c r="C7" s="27">
        <f>4302146+4362603+4218624+15482898</f>
        <v>28366271</v>
      </c>
      <c r="D7" s="28">
        <f>9+90</f>
        <v>99</v>
      </c>
      <c r="E7" s="25">
        <f>C7/$L$1</f>
        <v>28366.271000000001</v>
      </c>
      <c r="F7" s="26">
        <f>D7/$L$1</f>
        <v>9.9000000000000005E-2</v>
      </c>
      <c r="G7" s="4">
        <f>E7-F7</f>
        <v>28366.172000000002</v>
      </c>
      <c r="H7" s="5">
        <v>0.61499999999999999</v>
      </c>
      <c r="I7" s="6">
        <f>G7*H7</f>
        <v>17445.195780000002</v>
      </c>
      <c r="L7" s="24"/>
    </row>
    <row r="8" spans="2:12" x14ac:dyDescent="0.25">
      <c r="B8" s="3">
        <f t="shared" ref="B8:B59" si="0">B7+31</f>
        <v>41092</v>
      </c>
      <c r="C8" s="27">
        <f>4474037+4506610+4400814+15876907</f>
        <v>29258368</v>
      </c>
      <c r="D8" s="28">
        <f>35+23+2</f>
        <v>60</v>
      </c>
      <c r="E8" s="25">
        <f t="shared" ref="E8:E71" si="1">C8/$L$1</f>
        <v>29258.367999999999</v>
      </c>
      <c r="F8" s="26">
        <f t="shared" ref="F8:F71" si="2">D8/$L$1</f>
        <v>0.06</v>
      </c>
      <c r="G8" s="4">
        <f t="shared" ref="G8:G71" si="3">E8-F8</f>
        <v>29258.307999999997</v>
      </c>
      <c r="H8" s="5">
        <v>0.61499999999999999</v>
      </c>
      <c r="I8" s="6">
        <f t="shared" ref="I8:I71" si="4">G8*H8</f>
        <v>17993.859419999997</v>
      </c>
      <c r="L8" s="24"/>
    </row>
    <row r="9" spans="2:12" x14ac:dyDescent="0.25">
      <c r="B9" s="3">
        <f t="shared" si="0"/>
        <v>41123</v>
      </c>
      <c r="C9" s="27">
        <f>2013663+4541552+4431993+13314686</f>
        <v>24301894</v>
      </c>
      <c r="D9" s="28">
        <v>5804</v>
      </c>
      <c r="E9" s="25">
        <f t="shared" si="1"/>
        <v>24301.894</v>
      </c>
      <c r="F9" s="26">
        <f t="shared" si="2"/>
        <v>5.8040000000000003</v>
      </c>
      <c r="G9" s="4">
        <f t="shared" si="3"/>
        <v>24296.09</v>
      </c>
      <c r="H9" s="5">
        <v>0.61499999999999999</v>
      </c>
      <c r="I9" s="6">
        <f t="shared" si="4"/>
        <v>14942.09535</v>
      </c>
      <c r="L9" s="24"/>
    </row>
    <row r="10" spans="2:12" x14ac:dyDescent="0.25">
      <c r="B10" s="3">
        <f t="shared" si="0"/>
        <v>41154</v>
      </c>
      <c r="C10" s="27">
        <f>4747809+4119311+11969527</f>
        <v>20836647</v>
      </c>
      <c r="D10" s="28">
        <f>10222+86+306</f>
        <v>10614</v>
      </c>
      <c r="E10" s="25">
        <f t="shared" si="1"/>
        <v>20836.647000000001</v>
      </c>
      <c r="F10" s="26">
        <f t="shared" si="2"/>
        <v>10.614000000000001</v>
      </c>
      <c r="G10" s="4">
        <f t="shared" si="3"/>
        <v>20826.032999999999</v>
      </c>
      <c r="H10" s="5">
        <v>0.61499999999999999</v>
      </c>
      <c r="I10" s="6">
        <f t="shared" si="4"/>
        <v>12808.010295</v>
      </c>
      <c r="L10" s="24"/>
    </row>
    <row r="11" spans="2:12" x14ac:dyDescent="0.25">
      <c r="B11" s="3">
        <f t="shared" si="0"/>
        <v>41185</v>
      </c>
      <c r="C11" s="27">
        <f>1565246+3732871+7350790</f>
        <v>12648907</v>
      </c>
      <c r="D11" s="28">
        <f>10408+6665+3153+3619</f>
        <v>23845</v>
      </c>
      <c r="E11" s="25">
        <f t="shared" si="1"/>
        <v>12648.906999999999</v>
      </c>
      <c r="F11" s="26">
        <f t="shared" si="2"/>
        <v>23.844999999999999</v>
      </c>
      <c r="G11" s="4">
        <f t="shared" si="3"/>
        <v>12625.062</v>
      </c>
      <c r="H11" s="5">
        <v>0.61499999999999999</v>
      </c>
      <c r="I11" s="6">
        <f t="shared" si="4"/>
        <v>7764.4131299999999</v>
      </c>
      <c r="L11" s="24"/>
    </row>
    <row r="12" spans="2:12" x14ac:dyDescent="0.25">
      <c r="B12" s="3">
        <f t="shared" si="0"/>
        <v>41216</v>
      </c>
      <c r="C12" s="27">
        <f>2226477+2428+1229242+4832735</f>
        <v>8290882</v>
      </c>
      <c r="D12" s="28">
        <f>12445+8864+20457+16632</f>
        <v>58398</v>
      </c>
      <c r="E12" s="25">
        <f t="shared" si="1"/>
        <v>8290.8819999999996</v>
      </c>
      <c r="F12" s="26">
        <f t="shared" si="2"/>
        <v>58.398000000000003</v>
      </c>
      <c r="G12" s="4">
        <f t="shared" si="3"/>
        <v>8232.4840000000004</v>
      </c>
      <c r="H12" s="5">
        <v>0.61499999999999999</v>
      </c>
      <c r="I12" s="6">
        <f t="shared" si="4"/>
        <v>5062.9776600000005</v>
      </c>
      <c r="L12" s="24"/>
    </row>
    <row r="13" spans="2:12" x14ac:dyDescent="0.25">
      <c r="B13" s="3">
        <f t="shared" si="0"/>
        <v>41247</v>
      </c>
      <c r="C13" s="27">
        <f>1299319+1599972+3256193+7856203</f>
        <v>14011687</v>
      </c>
      <c r="D13" s="28">
        <f>12107+6266+13414+14661</f>
        <v>46448</v>
      </c>
      <c r="E13" s="25">
        <f t="shared" si="1"/>
        <v>14011.687</v>
      </c>
      <c r="F13" s="26">
        <f t="shared" si="2"/>
        <v>46.448</v>
      </c>
      <c r="G13" s="4">
        <f t="shared" si="3"/>
        <v>13965.239</v>
      </c>
      <c r="H13" s="5">
        <v>0.61499999999999999</v>
      </c>
      <c r="I13" s="6">
        <f t="shared" si="4"/>
        <v>8588.6219849999998</v>
      </c>
      <c r="L13" s="24"/>
    </row>
    <row r="14" spans="2:12" x14ac:dyDescent="0.25">
      <c r="B14" s="3">
        <f t="shared" si="0"/>
        <v>41278</v>
      </c>
      <c r="C14" s="27">
        <f>2811397+3863436+3740758+13575438</f>
        <v>23991029</v>
      </c>
      <c r="D14" s="28">
        <f>7538+2426+8600+17941</f>
        <v>36505</v>
      </c>
      <c r="E14" s="25">
        <f t="shared" si="1"/>
        <v>23991.028999999999</v>
      </c>
      <c r="F14" s="26">
        <f t="shared" si="2"/>
        <v>36.505000000000003</v>
      </c>
      <c r="G14" s="4">
        <f t="shared" si="3"/>
        <v>23954.523999999998</v>
      </c>
      <c r="H14" s="5">
        <v>0.61499999999999999</v>
      </c>
      <c r="I14" s="6">
        <f t="shared" si="4"/>
        <v>14732.032259999998</v>
      </c>
      <c r="L14" s="24"/>
    </row>
    <row r="15" spans="2:12" x14ac:dyDescent="0.25">
      <c r="B15" s="3">
        <f t="shared" si="0"/>
        <v>41309</v>
      </c>
      <c r="C15" s="27">
        <f>2187302+2377186+3174760+10060743</f>
        <v>17799991</v>
      </c>
      <c r="D15" s="28">
        <f>13460+4075+2703+15169</f>
        <v>35407</v>
      </c>
      <c r="E15" s="25">
        <f t="shared" si="1"/>
        <v>17799.991000000002</v>
      </c>
      <c r="F15" s="26">
        <f t="shared" si="2"/>
        <v>35.406999999999996</v>
      </c>
      <c r="G15" s="4">
        <f t="shared" si="3"/>
        <v>17764.584000000003</v>
      </c>
      <c r="H15" s="5">
        <v>0.61499999999999999</v>
      </c>
      <c r="I15" s="6">
        <f t="shared" si="4"/>
        <v>10925.219160000001</v>
      </c>
      <c r="L15" s="24"/>
    </row>
    <row r="16" spans="2:12" x14ac:dyDescent="0.25">
      <c r="B16" s="3">
        <f t="shared" si="0"/>
        <v>41340</v>
      </c>
      <c r="C16" s="27">
        <f>5057595+4999880+5180430+19700730</f>
        <v>34938635</v>
      </c>
      <c r="D16" s="28">
        <f>410+458+350</f>
        <v>1218</v>
      </c>
      <c r="E16" s="25">
        <f t="shared" si="1"/>
        <v>34938.635000000002</v>
      </c>
      <c r="F16" s="26">
        <f t="shared" si="2"/>
        <v>1.218</v>
      </c>
      <c r="G16" s="4">
        <f t="shared" si="3"/>
        <v>34937.417000000001</v>
      </c>
      <c r="H16" s="5">
        <v>0.61499999999999999</v>
      </c>
      <c r="I16" s="6">
        <f t="shared" si="4"/>
        <v>21486.511455</v>
      </c>
      <c r="L16" s="24"/>
    </row>
    <row r="17" spans="2:12" x14ac:dyDescent="0.25">
      <c r="B17" s="3">
        <f t="shared" si="0"/>
        <v>41371</v>
      </c>
      <c r="C17" s="27">
        <f>2020547+379635+3004986+7436921</f>
        <v>12842089</v>
      </c>
      <c r="D17" s="28">
        <f>6710+7998+5460+2572</f>
        <v>22740</v>
      </c>
      <c r="E17" s="25">
        <f t="shared" si="1"/>
        <v>12842.089</v>
      </c>
      <c r="F17" s="26">
        <f t="shared" si="2"/>
        <v>22.74</v>
      </c>
      <c r="G17" s="4">
        <f t="shared" si="3"/>
        <v>12819.349</v>
      </c>
      <c r="H17" s="5">
        <v>0.61499999999999999</v>
      </c>
      <c r="I17" s="6">
        <f t="shared" si="4"/>
        <v>7883.8996349999998</v>
      </c>
      <c r="L17" s="24"/>
    </row>
    <row r="18" spans="2:12" x14ac:dyDescent="0.25">
      <c r="B18" s="3">
        <f t="shared" si="0"/>
        <v>41402</v>
      </c>
      <c r="C18" s="27">
        <f>4157140+1978280+3579615+12558131</f>
        <v>22273166</v>
      </c>
      <c r="D18" s="28">
        <f>2451+4738+1923+1263</f>
        <v>10375</v>
      </c>
      <c r="E18" s="25">
        <f t="shared" si="1"/>
        <v>22273.166000000001</v>
      </c>
      <c r="F18" s="26">
        <f t="shared" si="2"/>
        <v>10.375</v>
      </c>
      <c r="G18" s="4">
        <f t="shared" si="3"/>
        <v>22262.791000000001</v>
      </c>
      <c r="H18" s="5">
        <v>0.61499999999999999</v>
      </c>
      <c r="I18" s="6">
        <f t="shared" si="4"/>
        <v>13691.616465000001</v>
      </c>
      <c r="L18" s="24"/>
    </row>
    <row r="19" spans="2:12" x14ac:dyDescent="0.25">
      <c r="B19" s="3">
        <f t="shared" si="0"/>
        <v>41433</v>
      </c>
      <c r="C19" s="27">
        <f>4752546+3609235+3295657+14200447</f>
        <v>25857885</v>
      </c>
      <c r="D19" s="28">
        <f>27+2138+2770+15</f>
        <v>4950</v>
      </c>
      <c r="E19" s="25">
        <f t="shared" si="1"/>
        <v>25857.884999999998</v>
      </c>
      <c r="F19" s="26">
        <f t="shared" si="2"/>
        <v>4.95</v>
      </c>
      <c r="G19" s="4">
        <f t="shared" si="3"/>
        <v>25852.934999999998</v>
      </c>
      <c r="H19" s="5">
        <v>0.61499999999999999</v>
      </c>
      <c r="I19" s="6">
        <f t="shared" si="4"/>
        <v>15899.555024999998</v>
      </c>
      <c r="L19" s="24"/>
    </row>
    <row r="20" spans="2:12" x14ac:dyDescent="0.25">
      <c r="B20" s="3">
        <f t="shared" si="0"/>
        <v>41464</v>
      </c>
      <c r="C20" s="27">
        <f>4366333+4497710+3845330+15123925</f>
        <v>27833298</v>
      </c>
      <c r="D20" s="28">
        <f>71+8+1190</f>
        <v>1269</v>
      </c>
      <c r="E20" s="25">
        <f t="shared" si="1"/>
        <v>27833.297999999999</v>
      </c>
      <c r="F20" s="26">
        <f t="shared" si="2"/>
        <v>1.2689999999999999</v>
      </c>
      <c r="G20" s="4">
        <f t="shared" si="3"/>
        <v>27832.028999999999</v>
      </c>
      <c r="H20" s="5">
        <v>0.61499999999999999</v>
      </c>
      <c r="I20" s="6">
        <f t="shared" si="4"/>
        <v>17116.697834999999</v>
      </c>
      <c r="L20" s="24"/>
    </row>
    <row r="21" spans="2:12" x14ac:dyDescent="0.25">
      <c r="B21" s="3">
        <f t="shared" si="0"/>
        <v>41495</v>
      </c>
      <c r="C21" s="27">
        <f>4528880+4643125+705509+11517459</f>
        <v>21394973</v>
      </c>
      <c r="D21" s="28">
        <f>2+8710</f>
        <v>8712</v>
      </c>
      <c r="E21" s="25">
        <f t="shared" si="1"/>
        <v>21394.973000000002</v>
      </c>
      <c r="F21" s="26">
        <f t="shared" si="2"/>
        <v>8.7119999999999997</v>
      </c>
      <c r="G21" s="4">
        <f t="shared" si="3"/>
        <v>21386.261000000002</v>
      </c>
      <c r="H21" s="5">
        <v>0.61499999999999999</v>
      </c>
      <c r="I21" s="6">
        <f t="shared" si="4"/>
        <v>13152.550515000001</v>
      </c>
      <c r="L21" s="24"/>
    </row>
    <row r="22" spans="2:12" x14ac:dyDescent="0.25">
      <c r="B22" s="3">
        <f t="shared" si="0"/>
        <v>41526</v>
      </c>
      <c r="C22" s="27">
        <f>4192742+2401440+178850+8511011</f>
        <v>15284043</v>
      </c>
      <c r="D22" s="28">
        <f>614+4085+9841+16</f>
        <v>14556</v>
      </c>
      <c r="E22" s="25">
        <f t="shared" si="1"/>
        <v>15284.043</v>
      </c>
      <c r="F22" s="26">
        <f t="shared" si="2"/>
        <v>14.555999999999999</v>
      </c>
      <c r="G22" s="4">
        <f t="shared" si="3"/>
        <v>15269.486999999999</v>
      </c>
      <c r="H22" s="5">
        <v>0.61499999999999999</v>
      </c>
      <c r="I22" s="6">
        <f t="shared" si="4"/>
        <v>9390.7345049999985</v>
      </c>
      <c r="L22" s="24"/>
    </row>
    <row r="23" spans="2:12" x14ac:dyDescent="0.25">
      <c r="B23" s="3">
        <f t="shared" si="0"/>
        <v>41557</v>
      </c>
      <c r="C23" s="27">
        <f>4374721+10910+8075+5613777</f>
        <v>10007483</v>
      </c>
      <c r="D23" s="28">
        <f>192+9202+10593</f>
        <v>19987</v>
      </c>
      <c r="E23" s="25">
        <f t="shared" si="1"/>
        <v>10007.483</v>
      </c>
      <c r="F23" s="26">
        <f t="shared" si="2"/>
        <v>19.986999999999998</v>
      </c>
      <c r="G23" s="4">
        <f t="shared" si="3"/>
        <v>9987.496000000001</v>
      </c>
      <c r="H23" s="5">
        <v>0.61499999999999999</v>
      </c>
      <c r="I23" s="6">
        <f t="shared" si="4"/>
        <v>6142.3100400000003</v>
      </c>
      <c r="L23" s="24"/>
    </row>
    <row r="24" spans="2:12" x14ac:dyDescent="0.25">
      <c r="B24" s="3">
        <f t="shared" si="0"/>
        <v>41588</v>
      </c>
      <c r="C24" s="27">
        <f>1964722+2340196+5591201</f>
        <v>9896119</v>
      </c>
      <c r="D24" s="28">
        <f>5612+8764+6041+1247</f>
        <v>21664</v>
      </c>
      <c r="E24" s="25">
        <f t="shared" si="1"/>
        <v>9896.1190000000006</v>
      </c>
      <c r="F24" s="26">
        <f t="shared" si="2"/>
        <v>21.664000000000001</v>
      </c>
      <c r="G24" s="4">
        <f t="shared" si="3"/>
        <v>9874.4549999999999</v>
      </c>
      <c r="H24" s="5">
        <v>0.61499999999999999</v>
      </c>
      <c r="I24" s="6">
        <f t="shared" si="4"/>
        <v>6072.7898249999998</v>
      </c>
      <c r="L24" s="24"/>
    </row>
    <row r="25" spans="2:12" x14ac:dyDescent="0.25">
      <c r="B25" s="3">
        <f t="shared" si="0"/>
        <v>41619</v>
      </c>
      <c r="C25" s="27">
        <f>2297035+376996+2361994+6609618</f>
        <v>11645643</v>
      </c>
      <c r="D25" s="28">
        <f>19431+8245+4778+13136</f>
        <v>45590</v>
      </c>
      <c r="E25" s="25">
        <f t="shared" si="1"/>
        <v>11645.643</v>
      </c>
      <c r="F25" s="26">
        <f t="shared" si="2"/>
        <v>45.59</v>
      </c>
      <c r="G25" s="4">
        <f t="shared" si="3"/>
        <v>11600.053</v>
      </c>
      <c r="H25" s="5">
        <v>0.61499999999999999</v>
      </c>
      <c r="I25" s="6">
        <f t="shared" si="4"/>
        <v>7134.0325949999997</v>
      </c>
      <c r="L25" s="24"/>
    </row>
    <row r="26" spans="2:12" x14ac:dyDescent="0.25">
      <c r="B26" s="3">
        <f>B25+30</f>
        <v>41649</v>
      </c>
      <c r="C26" s="27">
        <f>4297130+1622621+444315+8363432</f>
        <v>14727498</v>
      </c>
      <c r="D26" s="28">
        <f>1557+5473+9378+1848</f>
        <v>18256</v>
      </c>
      <c r="E26" s="25">
        <f t="shared" si="1"/>
        <v>14727.498</v>
      </c>
      <c r="F26" s="26">
        <f t="shared" si="2"/>
        <v>18.256</v>
      </c>
      <c r="G26" s="4">
        <f t="shared" si="3"/>
        <v>14709.242</v>
      </c>
      <c r="H26" s="5">
        <v>0.61499999999999999</v>
      </c>
      <c r="I26" s="6">
        <f t="shared" si="4"/>
        <v>9046.1838299999999</v>
      </c>
      <c r="L26" s="24"/>
    </row>
    <row r="27" spans="2:12" x14ac:dyDescent="0.25">
      <c r="B27" s="3">
        <f t="shared" si="0"/>
        <v>41680</v>
      </c>
      <c r="C27" s="27">
        <f>1588750+11997+1337030+3816259</f>
        <v>6754036</v>
      </c>
      <c r="D27" s="28">
        <f>27300+7900+12004+15077</f>
        <v>62281</v>
      </c>
      <c r="E27" s="25">
        <f t="shared" si="1"/>
        <v>6754.0360000000001</v>
      </c>
      <c r="F27" s="26">
        <f t="shared" si="2"/>
        <v>62.280999999999999</v>
      </c>
      <c r="G27" s="4">
        <f t="shared" si="3"/>
        <v>6691.7550000000001</v>
      </c>
      <c r="H27" s="5">
        <v>0.61499999999999999</v>
      </c>
      <c r="I27" s="6">
        <f t="shared" si="4"/>
        <v>4115.4293250000001</v>
      </c>
      <c r="L27" s="24"/>
    </row>
    <row r="28" spans="2:12" x14ac:dyDescent="0.25">
      <c r="B28" s="3">
        <f>B27+31</f>
        <v>41711</v>
      </c>
      <c r="C28" s="27">
        <f>206863+692363+1141848</f>
        <v>2041074</v>
      </c>
      <c r="D28" s="28">
        <f>9874+7473+45804+44490</f>
        <v>107641</v>
      </c>
      <c r="E28" s="25">
        <f t="shared" si="1"/>
        <v>2041.0740000000001</v>
      </c>
      <c r="F28" s="26">
        <f t="shared" si="2"/>
        <v>107.64100000000001</v>
      </c>
      <c r="G28" s="4">
        <f t="shared" si="3"/>
        <v>1933.433</v>
      </c>
      <c r="H28" s="5">
        <v>0.61499999999999999</v>
      </c>
      <c r="I28" s="6">
        <f t="shared" si="4"/>
        <v>1189.061295</v>
      </c>
      <c r="L28" s="24"/>
    </row>
    <row r="29" spans="2:12" x14ac:dyDescent="0.25">
      <c r="B29" s="3">
        <f t="shared" si="0"/>
        <v>41742</v>
      </c>
      <c r="C29" s="27">
        <f>2280241+219032+3086869</f>
        <v>5586142</v>
      </c>
      <c r="D29" s="28">
        <f>11199+7746+21606+16355</f>
        <v>56906</v>
      </c>
      <c r="E29" s="25">
        <f t="shared" si="1"/>
        <v>5586.1419999999998</v>
      </c>
      <c r="F29" s="26">
        <f t="shared" si="2"/>
        <v>56.905999999999999</v>
      </c>
      <c r="G29" s="4">
        <f t="shared" si="3"/>
        <v>5529.2359999999999</v>
      </c>
      <c r="H29" s="5">
        <v>0.61499999999999999</v>
      </c>
      <c r="I29" s="6">
        <f t="shared" si="4"/>
        <v>3400.4801399999997</v>
      </c>
      <c r="L29" s="24"/>
    </row>
    <row r="30" spans="2:12" x14ac:dyDescent="0.25">
      <c r="B30" s="3">
        <f t="shared" si="0"/>
        <v>41773</v>
      </c>
      <c r="C30" s="27">
        <f>4759888+3975581+408138+10644788</f>
        <v>19788395</v>
      </c>
      <c r="D30" s="28">
        <f>235+1752+9431</f>
        <v>11418</v>
      </c>
      <c r="E30" s="25">
        <f t="shared" si="1"/>
        <v>19788.395</v>
      </c>
      <c r="F30" s="26">
        <f t="shared" si="2"/>
        <v>11.417999999999999</v>
      </c>
      <c r="G30" s="4">
        <f t="shared" si="3"/>
        <v>19776.976999999999</v>
      </c>
      <c r="H30" s="5">
        <v>0.61499999999999999</v>
      </c>
      <c r="I30" s="6">
        <f t="shared" si="4"/>
        <v>12162.840854999999</v>
      </c>
      <c r="L30" s="24"/>
    </row>
    <row r="31" spans="2:12" x14ac:dyDescent="0.25">
      <c r="B31" s="3">
        <f>B30+30</f>
        <v>41803</v>
      </c>
      <c r="C31" s="27">
        <f>4348517+4468179+1979280+12030942</f>
        <v>22826918</v>
      </c>
      <c r="D31" s="28">
        <f>1819+496+3582+693</f>
        <v>6590</v>
      </c>
      <c r="E31" s="25">
        <f t="shared" si="1"/>
        <v>22826.918000000001</v>
      </c>
      <c r="F31" s="26">
        <f t="shared" si="2"/>
        <v>6.59</v>
      </c>
      <c r="G31" s="4">
        <f t="shared" si="3"/>
        <v>22820.328000000001</v>
      </c>
      <c r="H31" s="5">
        <v>0.61499999999999999</v>
      </c>
      <c r="I31" s="6">
        <f t="shared" si="4"/>
        <v>14034.50172</v>
      </c>
      <c r="L31" s="24"/>
    </row>
    <row r="32" spans="2:12" x14ac:dyDescent="0.25">
      <c r="B32" s="3">
        <f t="shared" si="0"/>
        <v>41834</v>
      </c>
      <c r="C32" s="27">
        <f>5358765+5107822+12274139</f>
        <v>22740726</v>
      </c>
      <c r="D32" s="28">
        <f>372+920+585</f>
        <v>1877</v>
      </c>
      <c r="E32" s="25">
        <f t="shared" si="1"/>
        <v>22740.725999999999</v>
      </c>
      <c r="F32" s="26">
        <f t="shared" si="2"/>
        <v>1.877</v>
      </c>
      <c r="G32" s="4">
        <f t="shared" si="3"/>
        <v>22738.848999999998</v>
      </c>
      <c r="H32" s="5">
        <v>0.61499999999999999</v>
      </c>
      <c r="I32" s="6">
        <f t="shared" si="4"/>
        <v>13984.392134999998</v>
      </c>
      <c r="L32" s="24"/>
    </row>
    <row r="33" spans="2:12" x14ac:dyDescent="0.25">
      <c r="B33" s="3">
        <f t="shared" si="0"/>
        <v>41865</v>
      </c>
      <c r="C33" s="27">
        <f>3695652+1965017+9123391+2120716</f>
        <v>16904776</v>
      </c>
      <c r="D33" s="28">
        <f>4497+4790+96</f>
        <v>9383</v>
      </c>
      <c r="E33" s="25">
        <f t="shared" si="1"/>
        <v>16904.776000000002</v>
      </c>
      <c r="F33" s="26">
        <f t="shared" si="2"/>
        <v>9.3829999999999991</v>
      </c>
      <c r="G33" s="4">
        <f t="shared" si="3"/>
        <v>16895.393</v>
      </c>
      <c r="H33" s="5">
        <v>0.61499999999999999</v>
      </c>
      <c r="I33" s="6">
        <f t="shared" si="4"/>
        <v>10390.666695</v>
      </c>
      <c r="L33" s="24"/>
    </row>
    <row r="34" spans="2:12" x14ac:dyDescent="0.25">
      <c r="B34" s="3">
        <f t="shared" si="0"/>
        <v>41896</v>
      </c>
      <c r="C34" s="27">
        <f>3704691+638215+5174785</f>
        <v>9517691</v>
      </c>
      <c r="D34" s="28">
        <f>6618+8339+8674</f>
        <v>23631</v>
      </c>
      <c r="E34" s="25">
        <f t="shared" si="1"/>
        <v>9517.6910000000007</v>
      </c>
      <c r="F34" s="26">
        <f t="shared" si="2"/>
        <v>23.631</v>
      </c>
      <c r="G34" s="4">
        <f t="shared" si="3"/>
        <v>9494.0600000000013</v>
      </c>
      <c r="H34" s="5">
        <v>0.61499999999999999</v>
      </c>
      <c r="I34" s="6">
        <f t="shared" si="4"/>
        <v>5838.8469000000005</v>
      </c>
      <c r="L34" s="24"/>
    </row>
    <row r="35" spans="2:12" x14ac:dyDescent="0.25">
      <c r="B35" s="3">
        <f t="shared" si="0"/>
        <v>41927</v>
      </c>
      <c r="C35" s="27">
        <f>1529869+44316+772781+2976312</f>
        <v>5323278</v>
      </c>
      <c r="D35" s="28">
        <f>10404+7881+11843+18835</f>
        <v>48963</v>
      </c>
      <c r="E35" s="25">
        <f t="shared" si="1"/>
        <v>5323.2780000000002</v>
      </c>
      <c r="F35" s="26">
        <f t="shared" si="2"/>
        <v>48.963000000000001</v>
      </c>
      <c r="G35" s="4">
        <f t="shared" si="3"/>
        <v>5274.3150000000005</v>
      </c>
      <c r="H35" s="5">
        <v>0.61499999999999999</v>
      </c>
      <c r="I35" s="6">
        <f t="shared" si="4"/>
        <v>3243.7037250000003</v>
      </c>
      <c r="L35" s="24"/>
    </row>
    <row r="36" spans="2:12" x14ac:dyDescent="0.25">
      <c r="B36" s="3">
        <f t="shared" si="0"/>
        <v>41958</v>
      </c>
      <c r="C36" s="27">
        <f>138829+1634616+2069513</f>
        <v>3842958</v>
      </c>
      <c r="D36" s="28">
        <f>9000+5324+19627+39023</f>
        <v>72974</v>
      </c>
      <c r="E36" s="25">
        <f t="shared" si="1"/>
        <v>3842.9580000000001</v>
      </c>
      <c r="F36" s="26">
        <f t="shared" si="2"/>
        <v>72.974000000000004</v>
      </c>
      <c r="G36" s="4">
        <f t="shared" si="3"/>
        <v>3769.9839999999999</v>
      </c>
      <c r="H36" s="5">
        <v>0.61499999999999999</v>
      </c>
      <c r="I36" s="6">
        <f t="shared" si="4"/>
        <v>2318.54016</v>
      </c>
      <c r="L36" s="24"/>
    </row>
    <row r="37" spans="2:12" x14ac:dyDescent="0.25">
      <c r="B37" s="3">
        <f t="shared" si="0"/>
        <v>41989</v>
      </c>
      <c r="C37" s="27">
        <f>253678+133556+476748+1013798</f>
        <v>1877780</v>
      </c>
      <c r="D37" s="28">
        <f>12992+4043+30589+38177</f>
        <v>85801</v>
      </c>
      <c r="E37" s="25">
        <f t="shared" si="1"/>
        <v>1877.78</v>
      </c>
      <c r="F37" s="26">
        <f t="shared" si="2"/>
        <v>85.801000000000002</v>
      </c>
      <c r="G37" s="4">
        <f t="shared" si="3"/>
        <v>1791.979</v>
      </c>
      <c r="H37" s="5">
        <v>0.61499999999999999</v>
      </c>
      <c r="I37" s="6">
        <f t="shared" si="4"/>
        <v>1102.0670849999999</v>
      </c>
      <c r="L37" s="24"/>
    </row>
    <row r="38" spans="2:12" x14ac:dyDescent="0.25">
      <c r="B38" s="3">
        <f t="shared" si="0"/>
        <v>42020</v>
      </c>
      <c r="C38" s="27">
        <f>507396+2110+2057107+3249600</f>
        <v>5816213</v>
      </c>
      <c r="D38" s="28">
        <f>8718+6191+23945+36344</f>
        <v>75198</v>
      </c>
      <c r="E38" s="25">
        <f t="shared" si="1"/>
        <v>5816.2129999999997</v>
      </c>
      <c r="F38" s="26">
        <f t="shared" si="2"/>
        <v>75.197999999999993</v>
      </c>
      <c r="G38" s="4">
        <f t="shared" si="3"/>
        <v>5741.0149999999994</v>
      </c>
      <c r="H38" s="5">
        <v>0.61499999999999999</v>
      </c>
      <c r="I38" s="6">
        <f t="shared" si="4"/>
        <v>3530.7242249999995</v>
      </c>
      <c r="L38" s="24"/>
    </row>
    <row r="39" spans="2:12" x14ac:dyDescent="0.25">
      <c r="B39" s="3">
        <f t="shared" si="0"/>
        <v>42051</v>
      </c>
      <c r="C39" s="27">
        <f>3552564+1224311+802873+704850</f>
        <v>6284598</v>
      </c>
      <c r="D39" s="28">
        <f>34219+22547+4487+9141</f>
        <v>70394</v>
      </c>
      <c r="E39" s="25">
        <f t="shared" si="1"/>
        <v>6284.598</v>
      </c>
      <c r="F39" s="26">
        <f t="shared" si="2"/>
        <v>70.394000000000005</v>
      </c>
      <c r="G39" s="4">
        <f t="shared" si="3"/>
        <v>6214.2039999999997</v>
      </c>
      <c r="H39" s="5">
        <v>0.61499999999999999</v>
      </c>
      <c r="I39" s="6">
        <f t="shared" si="4"/>
        <v>3821.7354599999999</v>
      </c>
      <c r="L39" s="24"/>
    </row>
    <row r="40" spans="2:12" x14ac:dyDescent="0.25">
      <c r="B40" s="3">
        <f t="shared" si="0"/>
        <v>42082</v>
      </c>
      <c r="C40" s="27">
        <f>3728737+3533572+3405664+12406009</f>
        <v>23073982</v>
      </c>
      <c r="D40" s="28">
        <f>6087+1811+2339+5544</f>
        <v>15781</v>
      </c>
      <c r="E40" s="25">
        <f t="shared" si="1"/>
        <v>23073.982</v>
      </c>
      <c r="F40" s="26">
        <f t="shared" si="2"/>
        <v>15.781000000000001</v>
      </c>
      <c r="G40" s="4">
        <f t="shared" si="3"/>
        <v>23058.201000000001</v>
      </c>
      <c r="H40" s="5">
        <v>0.61499999999999999</v>
      </c>
      <c r="I40" s="6">
        <f t="shared" si="4"/>
        <v>14180.793615000001</v>
      </c>
      <c r="L40" s="24"/>
    </row>
    <row r="41" spans="2:12" x14ac:dyDescent="0.25">
      <c r="B41" s="3">
        <f t="shared" si="0"/>
        <v>42113</v>
      </c>
      <c r="C41" s="27">
        <f>4891585+4774757+4877555+16208500</f>
        <v>30752397</v>
      </c>
      <c r="D41" s="28">
        <f>499+422+233+15</f>
        <v>1169</v>
      </c>
      <c r="E41" s="25">
        <f t="shared" si="1"/>
        <v>30752.397000000001</v>
      </c>
      <c r="F41" s="26">
        <f t="shared" si="2"/>
        <v>1.169</v>
      </c>
      <c r="G41" s="4">
        <f t="shared" si="3"/>
        <v>30751.227999999999</v>
      </c>
      <c r="H41" s="5">
        <v>0.61499999999999999</v>
      </c>
      <c r="I41" s="6">
        <f t="shared" si="4"/>
        <v>18912.005219999999</v>
      </c>
      <c r="L41" s="24"/>
    </row>
    <row r="42" spans="2:12" x14ac:dyDescent="0.25">
      <c r="B42" s="3">
        <f t="shared" si="0"/>
        <v>42144</v>
      </c>
      <c r="C42" s="27">
        <f>4639952+4722246+4382634+16300423</f>
        <v>30045255</v>
      </c>
      <c r="D42" s="28">
        <f>318+98+816+1140</f>
        <v>2372</v>
      </c>
      <c r="E42" s="25">
        <f t="shared" si="1"/>
        <v>30045.255000000001</v>
      </c>
      <c r="F42" s="26">
        <f t="shared" si="2"/>
        <v>2.3719999999999999</v>
      </c>
      <c r="G42" s="4">
        <f t="shared" si="3"/>
        <v>30042.883000000002</v>
      </c>
      <c r="H42" s="5">
        <v>0.61499999999999999</v>
      </c>
      <c r="I42" s="6">
        <f t="shared" si="4"/>
        <v>18476.373045</v>
      </c>
      <c r="L42" s="24"/>
    </row>
    <row r="43" spans="2:12" x14ac:dyDescent="0.25">
      <c r="B43" s="3">
        <f t="shared" si="0"/>
        <v>42175</v>
      </c>
      <c r="C43" s="27">
        <f>3642905+4139309+3979747+13782954</f>
        <v>25544915</v>
      </c>
      <c r="D43" s="28">
        <f>11024+545+957</f>
        <v>12526</v>
      </c>
      <c r="E43" s="25">
        <f t="shared" si="1"/>
        <v>25544.915000000001</v>
      </c>
      <c r="F43" s="26">
        <f t="shared" si="2"/>
        <v>12.526</v>
      </c>
      <c r="G43" s="4">
        <f t="shared" si="3"/>
        <v>25532.388999999999</v>
      </c>
      <c r="H43" s="5">
        <v>0.61499999999999999</v>
      </c>
      <c r="I43" s="6">
        <f t="shared" si="4"/>
        <v>15702.419234999999</v>
      </c>
      <c r="L43" s="24"/>
    </row>
    <row r="44" spans="2:12" x14ac:dyDescent="0.25">
      <c r="B44" s="3">
        <f t="shared" si="0"/>
        <v>42206</v>
      </c>
      <c r="C44" s="27">
        <f>4247366+4379188+3740287+14587296</f>
        <v>26954137</v>
      </c>
      <c r="D44" s="28">
        <f>194+17+1045+154</f>
        <v>1410</v>
      </c>
      <c r="E44" s="25">
        <f t="shared" si="1"/>
        <v>26954.136999999999</v>
      </c>
      <c r="F44" s="26">
        <f t="shared" si="2"/>
        <v>1.41</v>
      </c>
      <c r="G44" s="4">
        <f t="shared" si="3"/>
        <v>26952.726999999999</v>
      </c>
      <c r="H44" s="5">
        <v>0.61499999999999999</v>
      </c>
      <c r="I44" s="6">
        <f t="shared" si="4"/>
        <v>16575.927104999999</v>
      </c>
      <c r="L44" s="24"/>
    </row>
    <row r="45" spans="2:12" x14ac:dyDescent="0.25">
      <c r="B45" s="3">
        <f t="shared" si="0"/>
        <v>42237</v>
      </c>
      <c r="C45" s="27">
        <f>3964193+4059459+3402982+13755757</f>
        <v>25182391</v>
      </c>
      <c r="D45" s="28">
        <f>1123+160+1797</f>
        <v>3080</v>
      </c>
      <c r="E45" s="25">
        <f t="shared" si="1"/>
        <v>25182.391</v>
      </c>
      <c r="F45" s="26">
        <f t="shared" si="2"/>
        <v>3.08</v>
      </c>
      <c r="G45" s="4">
        <f t="shared" si="3"/>
        <v>25179.310999999998</v>
      </c>
      <c r="H45" s="5">
        <v>0.61499999999999999</v>
      </c>
      <c r="I45" s="6">
        <f t="shared" si="4"/>
        <v>15485.276264999999</v>
      </c>
      <c r="L45" s="24"/>
    </row>
    <row r="46" spans="2:12" x14ac:dyDescent="0.25">
      <c r="B46" s="3">
        <f t="shared" si="0"/>
        <v>42268</v>
      </c>
      <c r="C46" s="27">
        <f>3756174+3860888+3611+9248963</f>
        <v>16869636</v>
      </c>
      <c r="D46" s="28">
        <f>10+10067</f>
        <v>10077</v>
      </c>
      <c r="E46" s="25">
        <f t="shared" si="1"/>
        <v>16869.635999999999</v>
      </c>
      <c r="F46" s="26">
        <f t="shared" si="2"/>
        <v>10.077</v>
      </c>
      <c r="G46" s="4">
        <f t="shared" si="3"/>
        <v>16859.558999999997</v>
      </c>
      <c r="H46" s="5">
        <v>0.61499999999999999</v>
      </c>
      <c r="I46" s="6">
        <f t="shared" si="4"/>
        <v>10368.628784999999</v>
      </c>
      <c r="L46" s="24"/>
    </row>
    <row r="47" spans="2:12" x14ac:dyDescent="0.25">
      <c r="B47" s="3">
        <f t="shared" si="0"/>
        <v>42299</v>
      </c>
      <c r="C47" s="27">
        <f>2193868+1908678+2577652+7983391</f>
        <v>14663589</v>
      </c>
      <c r="D47" s="28">
        <f>4306+4693+3937+723</f>
        <v>13659</v>
      </c>
      <c r="E47" s="25">
        <f t="shared" si="1"/>
        <v>14663.589</v>
      </c>
      <c r="F47" s="26">
        <f t="shared" si="2"/>
        <v>13.659000000000001</v>
      </c>
      <c r="G47" s="4">
        <f t="shared" si="3"/>
        <v>14649.93</v>
      </c>
      <c r="H47" s="5">
        <v>0.61499999999999999</v>
      </c>
      <c r="I47" s="6">
        <f t="shared" si="4"/>
        <v>9009.7069499999998</v>
      </c>
      <c r="L47" s="24"/>
    </row>
    <row r="48" spans="2:12" x14ac:dyDescent="0.25">
      <c r="B48" s="3">
        <f t="shared" si="0"/>
        <v>42330</v>
      </c>
      <c r="C48" s="27">
        <f>381450+172576+3822773+5188891</f>
        <v>9565690</v>
      </c>
      <c r="D48" s="28">
        <f>8811+7201+2564+16</f>
        <v>18592</v>
      </c>
      <c r="E48" s="25">
        <f t="shared" si="1"/>
        <v>9565.69</v>
      </c>
      <c r="F48" s="26">
        <f t="shared" si="2"/>
        <v>18.591999999999999</v>
      </c>
      <c r="G48" s="4">
        <f t="shared" si="3"/>
        <v>9547.098</v>
      </c>
      <c r="H48" s="5">
        <v>0.61499999999999999</v>
      </c>
      <c r="I48" s="6">
        <f t="shared" si="4"/>
        <v>5871.4652699999997</v>
      </c>
      <c r="L48" s="24"/>
    </row>
    <row r="49" spans="2:12" x14ac:dyDescent="0.25">
      <c r="B49" s="3">
        <f t="shared" si="0"/>
        <v>42361</v>
      </c>
      <c r="C49" s="27">
        <f>3087136+25483+1426567+5257452</f>
        <v>9796638</v>
      </c>
      <c r="D49" s="28">
        <f>3407+8557+18669+369</f>
        <v>31002</v>
      </c>
      <c r="E49" s="25">
        <f t="shared" si="1"/>
        <v>9796.6380000000008</v>
      </c>
      <c r="F49" s="26">
        <f t="shared" si="2"/>
        <v>31.001999999999999</v>
      </c>
      <c r="G49" s="4">
        <f t="shared" si="3"/>
        <v>9765.6360000000004</v>
      </c>
      <c r="H49" s="5">
        <v>0.61499999999999999</v>
      </c>
      <c r="I49" s="6">
        <f t="shared" si="4"/>
        <v>6005.8661400000001</v>
      </c>
      <c r="L49" s="24"/>
    </row>
    <row r="50" spans="2:12" x14ac:dyDescent="0.25">
      <c r="B50" s="3">
        <f t="shared" si="0"/>
        <v>42392</v>
      </c>
      <c r="C50" s="27">
        <f>1400719+769246+3636999+6827513</f>
        <v>12634477</v>
      </c>
      <c r="D50" s="28">
        <f>10075+2248+27+124</f>
        <v>12474</v>
      </c>
      <c r="E50" s="25">
        <f t="shared" si="1"/>
        <v>12634.477000000001</v>
      </c>
      <c r="F50" s="26">
        <f t="shared" si="2"/>
        <v>12.474</v>
      </c>
      <c r="G50" s="4">
        <f t="shared" si="3"/>
        <v>12622.003000000001</v>
      </c>
      <c r="H50" s="5">
        <v>0.61499999999999999</v>
      </c>
      <c r="I50" s="6">
        <f t="shared" si="4"/>
        <v>7762.5318450000004</v>
      </c>
      <c r="L50" s="24"/>
    </row>
    <row r="51" spans="2:12" x14ac:dyDescent="0.25">
      <c r="B51" s="3">
        <f t="shared" si="0"/>
        <v>42423</v>
      </c>
      <c r="C51" s="27">
        <f>1079367+467290+4005371+6826066</f>
        <v>12378094</v>
      </c>
      <c r="D51" s="28">
        <f>16165+7746+1706+1817</f>
        <v>27434</v>
      </c>
      <c r="E51" s="25">
        <f t="shared" si="1"/>
        <v>12378.093999999999</v>
      </c>
      <c r="F51" s="26">
        <f t="shared" si="2"/>
        <v>27.434000000000001</v>
      </c>
      <c r="G51" s="4">
        <f t="shared" si="3"/>
        <v>12350.66</v>
      </c>
      <c r="H51" s="5">
        <v>0.61499999999999999</v>
      </c>
      <c r="I51" s="6">
        <f t="shared" si="4"/>
        <v>7595.6558999999997</v>
      </c>
      <c r="L51" s="24"/>
    </row>
    <row r="52" spans="2:12" x14ac:dyDescent="0.25">
      <c r="B52" s="3">
        <f t="shared" si="0"/>
        <v>42454</v>
      </c>
      <c r="C52" s="27">
        <f>1322074+1199585+991975+4333067</f>
        <v>7846701</v>
      </c>
      <c r="D52" s="28">
        <f>33806+6755+8202+11873</f>
        <v>60636</v>
      </c>
      <c r="E52" s="25">
        <f t="shared" si="1"/>
        <v>7846.701</v>
      </c>
      <c r="F52" s="26">
        <f t="shared" si="2"/>
        <v>60.636000000000003</v>
      </c>
      <c r="G52" s="4">
        <f t="shared" si="3"/>
        <v>7786.0649999999996</v>
      </c>
      <c r="H52" s="5">
        <v>0.61499999999999999</v>
      </c>
      <c r="I52" s="6">
        <f t="shared" si="4"/>
        <v>4788.429975</v>
      </c>
      <c r="L52" s="24"/>
    </row>
    <row r="53" spans="2:12" x14ac:dyDescent="0.25">
      <c r="B53" s="3">
        <f t="shared" si="0"/>
        <v>42485</v>
      </c>
      <c r="C53" s="27">
        <f>1513689+1481847+1369330+5057098</f>
        <v>9421964</v>
      </c>
      <c r="D53" s="28">
        <f>27692+5777+7146+5914</f>
        <v>46529</v>
      </c>
      <c r="E53" s="25">
        <f t="shared" si="1"/>
        <v>9421.9639999999999</v>
      </c>
      <c r="F53" s="26">
        <f t="shared" si="2"/>
        <v>46.529000000000003</v>
      </c>
      <c r="G53" s="4">
        <f t="shared" si="3"/>
        <v>9375.4349999999995</v>
      </c>
      <c r="H53" s="5">
        <v>0.61499999999999999</v>
      </c>
      <c r="I53" s="6">
        <f t="shared" si="4"/>
        <v>5765.8925249999993</v>
      </c>
      <c r="L53" s="24"/>
    </row>
    <row r="54" spans="2:12" x14ac:dyDescent="0.25">
      <c r="B54" s="3">
        <f t="shared" si="0"/>
        <v>42516</v>
      </c>
      <c r="C54" s="27">
        <f>4409611+3020335+4458161+13724526</f>
        <v>25612633</v>
      </c>
      <c r="D54" s="28">
        <f>26+2876+13</f>
        <v>2915</v>
      </c>
      <c r="E54" s="25">
        <f t="shared" si="1"/>
        <v>25612.633000000002</v>
      </c>
      <c r="F54" s="26">
        <f t="shared" si="2"/>
        <v>2.915</v>
      </c>
      <c r="G54" s="4">
        <f t="shared" si="3"/>
        <v>25609.718000000001</v>
      </c>
      <c r="H54" s="5">
        <v>0.61499999999999999</v>
      </c>
      <c r="I54" s="6">
        <f t="shared" si="4"/>
        <v>15749.976570000001</v>
      </c>
      <c r="L54" s="24"/>
    </row>
    <row r="55" spans="2:12" x14ac:dyDescent="0.25">
      <c r="B55" s="3">
        <f t="shared" si="0"/>
        <v>42547</v>
      </c>
      <c r="C55" s="27">
        <f>3904143+3562728+3957279+13743992</f>
        <v>25168142</v>
      </c>
      <c r="D55" s="28">
        <f>832+4</f>
        <v>836</v>
      </c>
      <c r="E55" s="25">
        <f t="shared" si="1"/>
        <v>25168.142</v>
      </c>
      <c r="F55" s="26">
        <f t="shared" si="2"/>
        <v>0.83599999999999997</v>
      </c>
      <c r="G55" s="4">
        <f t="shared" si="3"/>
        <v>25167.306</v>
      </c>
      <c r="H55" s="5">
        <v>0.61499999999999999</v>
      </c>
      <c r="I55" s="6">
        <f t="shared" si="4"/>
        <v>15477.893190000001</v>
      </c>
      <c r="L55" s="24"/>
    </row>
    <row r="56" spans="2:12" x14ac:dyDescent="0.25">
      <c r="B56" s="3">
        <f t="shared" si="0"/>
        <v>42578</v>
      </c>
      <c r="C56" s="27">
        <f>4091289+3250779+4157803+14344546</f>
        <v>25844417</v>
      </c>
      <c r="D56" s="28">
        <f>509+1798+77+754</f>
        <v>3138</v>
      </c>
      <c r="E56" s="25">
        <f t="shared" si="1"/>
        <v>25844.417000000001</v>
      </c>
      <c r="F56" s="26">
        <f t="shared" si="2"/>
        <v>3.1379999999999999</v>
      </c>
      <c r="G56" s="4">
        <f t="shared" si="3"/>
        <v>25841.279000000002</v>
      </c>
      <c r="H56" s="5">
        <v>0.61499999999999999</v>
      </c>
      <c r="I56" s="6">
        <f t="shared" si="4"/>
        <v>15892.386585000002</v>
      </c>
      <c r="L56" s="24"/>
    </row>
    <row r="57" spans="2:12" x14ac:dyDescent="0.25">
      <c r="B57" s="3">
        <f t="shared" si="0"/>
        <v>42609</v>
      </c>
      <c r="C57" s="27">
        <f>2381196+2706191+3239500+10163014</f>
        <v>18489901</v>
      </c>
      <c r="D57" s="28">
        <f>39712+1085+2358+16</f>
        <v>43171</v>
      </c>
      <c r="E57" s="25">
        <f t="shared" si="1"/>
        <v>18489.901000000002</v>
      </c>
      <c r="F57" s="26">
        <f t="shared" si="2"/>
        <v>43.170999999999999</v>
      </c>
      <c r="G57" s="4">
        <f t="shared" si="3"/>
        <v>18446.730000000003</v>
      </c>
      <c r="H57" s="5">
        <v>0.61499999999999999</v>
      </c>
      <c r="I57" s="6">
        <f t="shared" si="4"/>
        <v>11344.738950000003</v>
      </c>
      <c r="L57" s="24"/>
    </row>
    <row r="58" spans="2:12" x14ac:dyDescent="0.25">
      <c r="B58" s="3">
        <f>B57+31</f>
        <v>42640</v>
      </c>
      <c r="C58" s="27">
        <f>1920777+1680069+2502598+6493841</f>
        <v>12597285</v>
      </c>
      <c r="D58" s="28">
        <f>24731+3662+8839</f>
        <v>37232</v>
      </c>
      <c r="E58" s="25">
        <f t="shared" si="1"/>
        <v>12597.285</v>
      </c>
      <c r="F58" s="26">
        <f t="shared" si="2"/>
        <v>37.231999999999999</v>
      </c>
      <c r="G58" s="4">
        <f t="shared" si="3"/>
        <v>12560.053</v>
      </c>
      <c r="H58" s="5">
        <v>0.61499999999999999</v>
      </c>
      <c r="I58" s="6">
        <f t="shared" si="4"/>
        <v>7724.4325950000002</v>
      </c>
      <c r="L58" s="24"/>
    </row>
    <row r="59" spans="2:12" x14ac:dyDescent="0.25">
      <c r="B59" s="3">
        <f t="shared" si="0"/>
        <v>42671</v>
      </c>
      <c r="C59" s="27">
        <f>2044742+844067+1564122+4903098</f>
        <v>9356029</v>
      </c>
      <c r="D59" s="28">
        <f>31864+7431+6681+1232</f>
        <v>47208</v>
      </c>
      <c r="E59" s="25">
        <f t="shared" si="1"/>
        <v>9356.0290000000005</v>
      </c>
      <c r="F59" s="26">
        <f t="shared" si="2"/>
        <v>47.207999999999998</v>
      </c>
      <c r="G59" s="4">
        <f t="shared" si="3"/>
        <v>9308.8209999999999</v>
      </c>
      <c r="H59" s="5">
        <v>0.61499999999999999</v>
      </c>
      <c r="I59" s="6">
        <f t="shared" si="4"/>
        <v>5724.9249149999996</v>
      </c>
      <c r="L59" s="24"/>
    </row>
    <row r="60" spans="2:12" x14ac:dyDescent="0.25">
      <c r="B60" s="3">
        <f>B59+30</f>
        <v>42701</v>
      </c>
      <c r="C60" s="27">
        <f>57102+746901+1525424+2703147</f>
        <v>5032574</v>
      </c>
      <c r="D60" s="28">
        <f>21982+5571+15466+27289</f>
        <v>70308</v>
      </c>
      <c r="E60" s="25">
        <f t="shared" si="1"/>
        <v>5032.5739999999996</v>
      </c>
      <c r="F60" s="26">
        <f t="shared" si="2"/>
        <v>70.308000000000007</v>
      </c>
      <c r="G60" s="4">
        <f t="shared" si="3"/>
        <v>4962.2659999999996</v>
      </c>
      <c r="H60" s="5">
        <v>0.61499999999999999</v>
      </c>
      <c r="I60" s="6">
        <f t="shared" si="4"/>
        <v>3051.7935899999998</v>
      </c>
      <c r="L60" s="24"/>
    </row>
    <row r="61" spans="2:12" x14ac:dyDescent="0.25">
      <c r="B61" s="3">
        <f>B60+30</f>
        <v>42731</v>
      </c>
      <c r="C61" s="27">
        <f>747+2941318+2089744+6375230</f>
        <v>11407039</v>
      </c>
      <c r="D61" s="28">
        <f>2146+2595+26890+35728</f>
        <v>67359</v>
      </c>
      <c r="E61" s="25">
        <f t="shared" si="1"/>
        <v>11407.039000000001</v>
      </c>
      <c r="F61" s="26">
        <f t="shared" si="2"/>
        <v>67.358999999999995</v>
      </c>
      <c r="G61" s="4">
        <f t="shared" si="3"/>
        <v>11339.68</v>
      </c>
      <c r="H61" s="5">
        <v>0.61499999999999999</v>
      </c>
      <c r="I61" s="6">
        <f t="shared" si="4"/>
        <v>6973.9031999999997</v>
      </c>
      <c r="L61" s="24"/>
    </row>
    <row r="62" spans="2:12" x14ac:dyDescent="0.25">
      <c r="B62" s="3">
        <f t="shared" ref="B62:B78" si="5">B61+30</f>
        <v>42761</v>
      </c>
      <c r="C62" s="27">
        <f>510333+639687+585506+2057025</f>
        <v>3792551</v>
      </c>
      <c r="D62" s="28">
        <f>42387+5282+8590+69793</f>
        <v>126052</v>
      </c>
      <c r="E62" s="25">
        <f t="shared" si="1"/>
        <v>3792.5509999999999</v>
      </c>
      <c r="F62" s="26">
        <f t="shared" si="2"/>
        <v>126.05200000000001</v>
      </c>
      <c r="G62" s="4">
        <f t="shared" si="3"/>
        <v>3666.4989999999998</v>
      </c>
      <c r="H62" s="5">
        <v>0.61499999999999999</v>
      </c>
      <c r="I62" s="6">
        <f t="shared" si="4"/>
        <v>2254.8968849999997</v>
      </c>
      <c r="L62" s="24"/>
    </row>
    <row r="63" spans="2:12" x14ac:dyDescent="0.25">
      <c r="B63" s="3">
        <f t="shared" si="5"/>
        <v>42791</v>
      </c>
      <c r="C63" s="27">
        <f>514088+1153837+509339+2677505</f>
        <v>4854769</v>
      </c>
      <c r="D63" s="28">
        <f>38078+3709+7836+45923</f>
        <v>95546</v>
      </c>
      <c r="E63" s="25">
        <f t="shared" si="1"/>
        <v>4854.7690000000002</v>
      </c>
      <c r="F63" s="26">
        <f t="shared" si="2"/>
        <v>95.546000000000006</v>
      </c>
      <c r="G63" s="4">
        <f t="shared" si="3"/>
        <v>4759.223</v>
      </c>
      <c r="H63" s="5">
        <v>0.61499999999999999</v>
      </c>
      <c r="I63" s="6">
        <f t="shared" si="4"/>
        <v>2926.922145</v>
      </c>
      <c r="L63" s="24"/>
    </row>
    <row r="64" spans="2:12" x14ac:dyDescent="0.25">
      <c r="B64" s="3">
        <f t="shared" si="5"/>
        <v>42821</v>
      </c>
      <c r="C64" s="27">
        <f>56+1186187+19706+1378670</f>
        <v>2584619</v>
      </c>
      <c r="D64" s="28">
        <f>45184+5504+10083+48356</f>
        <v>109127</v>
      </c>
      <c r="E64" s="25">
        <f t="shared" si="1"/>
        <v>2584.6190000000001</v>
      </c>
      <c r="F64" s="26">
        <f t="shared" si="2"/>
        <v>109.127</v>
      </c>
      <c r="G64" s="4">
        <f t="shared" si="3"/>
        <v>2475.4920000000002</v>
      </c>
      <c r="H64" s="5">
        <v>0.61499999999999999</v>
      </c>
      <c r="I64" s="6">
        <f t="shared" si="4"/>
        <v>1522.42758</v>
      </c>
      <c r="L64" s="24"/>
    </row>
    <row r="65" spans="2:12" x14ac:dyDescent="0.25">
      <c r="B65" s="3">
        <f t="shared" si="5"/>
        <v>42851</v>
      </c>
      <c r="C65" s="27">
        <f>11+1693051+160982+2201168</f>
        <v>4055212</v>
      </c>
      <c r="D65" s="28">
        <f>41278+4930+9579+40421</f>
        <v>96208</v>
      </c>
      <c r="E65" s="25">
        <f t="shared" si="1"/>
        <v>4055.212</v>
      </c>
      <c r="F65" s="26">
        <f t="shared" si="2"/>
        <v>96.207999999999998</v>
      </c>
      <c r="G65" s="4">
        <f t="shared" si="3"/>
        <v>3959.0039999999999</v>
      </c>
      <c r="H65" s="5">
        <v>0.61499999999999999</v>
      </c>
      <c r="I65" s="6">
        <f t="shared" si="4"/>
        <v>2434.78746</v>
      </c>
      <c r="L65" s="24"/>
    </row>
    <row r="66" spans="2:12" x14ac:dyDescent="0.25">
      <c r="B66" s="3">
        <f t="shared" si="5"/>
        <v>42881</v>
      </c>
      <c r="C66" s="27">
        <f>2668734+2245345+3134526+9244882</f>
        <v>17293487</v>
      </c>
      <c r="D66" s="28">
        <f>22003+4953+3354+31</f>
        <v>30341</v>
      </c>
      <c r="E66" s="25">
        <f t="shared" si="1"/>
        <v>17293.487000000001</v>
      </c>
      <c r="F66" s="26">
        <f t="shared" si="2"/>
        <v>30.341000000000001</v>
      </c>
      <c r="G66" s="4">
        <f t="shared" si="3"/>
        <v>17263.146000000001</v>
      </c>
      <c r="H66" s="5">
        <v>0.61499999999999999</v>
      </c>
      <c r="I66" s="6">
        <f t="shared" si="4"/>
        <v>10616.834790000001</v>
      </c>
      <c r="L66" s="24"/>
    </row>
    <row r="67" spans="2:12" x14ac:dyDescent="0.25">
      <c r="B67" s="3">
        <f t="shared" si="5"/>
        <v>42911</v>
      </c>
      <c r="C67" s="27">
        <f>3782244+4168054+4217184+14260569</f>
        <v>26428051</v>
      </c>
      <c r="D67" s="28">
        <f>8770+223+21</f>
        <v>9014</v>
      </c>
      <c r="E67" s="25">
        <f t="shared" si="1"/>
        <v>26428.050999999999</v>
      </c>
      <c r="F67" s="26">
        <f t="shared" si="2"/>
        <v>9.0139999999999993</v>
      </c>
      <c r="G67" s="4">
        <f t="shared" si="3"/>
        <v>26419.037</v>
      </c>
      <c r="H67" s="5">
        <v>0.61499999999999999</v>
      </c>
      <c r="I67" s="6">
        <f t="shared" si="4"/>
        <v>16247.707754999999</v>
      </c>
      <c r="L67" s="24"/>
    </row>
    <row r="68" spans="2:12" x14ac:dyDescent="0.25">
      <c r="B68" s="3">
        <f t="shared" si="5"/>
        <v>42941</v>
      </c>
      <c r="C68" s="27">
        <f>4487379+4741241+4556537+16230507</f>
        <v>30015664</v>
      </c>
      <c r="D68" s="28">
        <f>3107+12+325+30</f>
        <v>3474</v>
      </c>
      <c r="E68" s="25">
        <f t="shared" si="1"/>
        <v>30015.664000000001</v>
      </c>
      <c r="F68" s="26">
        <f t="shared" si="2"/>
        <v>3.4740000000000002</v>
      </c>
      <c r="G68" s="4">
        <f t="shared" si="3"/>
        <v>30012.190000000002</v>
      </c>
      <c r="H68" s="5">
        <v>0.61499999999999999</v>
      </c>
      <c r="I68" s="6">
        <f t="shared" si="4"/>
        <v>18457.49685</v>
      </c>
      <c r="L68" s="24"/>
    </row>
    <row r="69" spans="2:12" x14ac:dyDescent="0.25">
      <c r="B69" s="3">
        <f t="shared" si="5"/>
        <v>42971</v>
      </c>
      <c r="C69" s="27">
        <f>3201146+2010651+2902072+9627325</f>
        <v>17741194</v>
      </c>
      <c r="D69" s="28">
        <f>20089+4358+2830+31</f>
        <v>27308</v>
      </c>
      <c r="E69" s="25">
        <f t="shared" si="1"/>
        <v>17741.194</v>
      </c>
      <c r="F69" s="26">
        <f t="shared" si="2"/>
        <v>27.308</v>
      </c>
      <c r="G69" s="4">
        <f t="shared" si="3"/>
        <v>17713.885999999999</v>
      </c>
      <c r="H69" s="5">
        <v>0.61499999999999999</v>
      </c>
      <c r="I69" s="6">
        <f t="shared" si="4"/>
        <v>10894.039889999998</v>
      </c>
      <c r="L69" s="24"/>
    </row>
    <row r="70" spans="2:12" x14ac:dyDescent="0.25">
      <c r="B70" s="3">
        <f t="shared" si="5"/>
        <v>43001</v>
      </c>
      <c r="C70" s="27">
        <f>2928052+303878+3715939+8404827</f>
        <v>15352696</v>
      </c>
      <c r="D70" s="28">
        <f>16445+6277+46</f>
        <v>22768</v>
      </c>
      <c r="E70" s="25">
        <f t="shared" si="1"/>
        <v>15352.696</v>
      </c>
      <c r="F70" s="26">
        <f t="shared" si="2"/>
        <v>22.768000000000001</v>
      </c>
      <c r="G70" s="4">
        <f t="shared" si="3"/>
        <v>15329.928</v>
      </c>
      <c r="H70" s="5">
        <v>0.61499999999999999</v>
      </c>
      <c r="I70" s="6">
        <f t="shared" si="4"/>
        <v>9427.9057200000007</v>
      </c>
      <c r="L70" s="24"/>
    </row>
    <row r="71" spans="2:12" x14ac:dyDescent="0.25">
      <c r="B71" s="3">
        <f t="shared" si="5"/>
        <v>43031</v>
      </c>
      <c r="C71" s="27">
        <f>948120+966947+2674870+5415272</f>
        <v>10005209</v>
      </c>
      <c r="D71" s="28">
        <f>44874+7146+4478+2772</f>
        <v>59270</v>
      </c>
      <c r="E71" s="25">
        <f t="shared" si="1"/>
        <v>10005.209000000001</v>
      </c>
      <c r="F71" s="26">
        <f t="shared" si="2"/>
        <v>59.27</v>
      </c>
      <c r="G71" s="4">
        <f t="shared" si="3"/>
        <v>9945.9390000000003</v>
      </c>
      <c r="H71" s="5">
        <v>0.61499999999999999</v>
      </c>
      <c r="I71" s="6">
        <f t="shared" si="4"/>
        <v>6116.752485</v>
      </c>
      <c r="L71" s="24"/>
    </row>
    <row r="72" spans="2:12" x14ac:dyDescent="0.25">
      <c r="B72" s="3">
        <f t="shared" si="5"/>
        <v>43061</v>
      </c>
      <c r="C72" s="27">
        <f>386140+347380+232032+1258703</f>
        <v>2224255</v>
      </c>
      <c r="D72" s="28">
        <f>34660+7756+9266+21129</f>
        <v>72811</v>
      </c>
      <c r="E72" s="25">
        <f t="shared" ref="E72:E78" si="6">C72/$L$1</f>
        <v>2224.2550000000001</v>
      </c>
      <c r="F72" s="26">
        <f t="shared" ref="F72:F78" si="7">D72/$L$1</f>
        <v>72.811000000000007</v>
      </c>
      <c r="G72" s="4">
        <f t="shared" ref="G72:G78" si="8">E72-F72</f>
        <v>2151.444</v>
      </c>
      <c r="H72" s="5">
        <v>0.61499999999999999</v>
      </c>
      <c r="I72" s="6">
        <f t="shared" ref="I72:I78" si="9">G72*H72</f>
        <v>1323.13806</v>
      </c>
      <c r="L72" s="24"/>
    </row>
    <row r="73" spans="2:12" x14ac:dyDescent="0.25">
      <c r="B73" s="3">
        <f t="shared" si="5"/>
        <v>43091</v>
      </c>
      <c r="C73" s="27">
        <f>974602+841169+886211+3406311</f>
        <v>6108293</v>
      </c>
      <c r="D73" s="28">
        <f>32842+7005+7972+19543</f>
        <v>67362</v>
      </c>
      <c r="E73" s="25">
        <f t="shared" si="6"/>
        <v>6108.2929999999997</v>
      </c>
      <c r="F73" s="26">
        <f t="shared" si="7"/>
        <v>67.361999999999995</v>
      </c>
      <c r="G73" s="4">
        <f t="shared" si="8"/>
        <v>6040.9309999999996</v>
      </c>
      <c r="H73" s="5">
        <v>0.61499999999999999</v>
      </c>
      <c r="I73" s="6">
        <f t="shared" si="9"/>
        <v>3715.1725649999998</v>
      </c>
      <c r="L73" s="24"/>
    </row>
    <row r="74" spans="2:12" x14ac:dyDescent="0.25">
      <c r="B74" s="3">
        <f t="shared" si="5"/>
        <v>43121</v>
      </c>
      <c r="C74" s="27">
        <f>1423780+1501409+1271531+5379774</f>
        <v>9576494</v>
      </c>
      <c r="D74" s="28">
        <f>28477+5303+6940+33464</f>
        <v>74184</v>
      </c>
      <c r="E74" s="25">
        <f t="shared" si="6"/>
        <v>9576.4940000000006</v>
      </c>
      <c r="F74" s="26">
        <f t="shared" si="7"/>
        <v>74.183999999999997</v>
      </c>
      <c r="G74" s="4">
        <f t="shared" si="8"/>
        <v>9502.3100000000013</v>
      </c>
      <c r="H74" s="5">
        <v>0.61499999999999999</v>
      </c>
      <c r="I74" s="6">
        <f t="shared" si="9"/>
        <v>5843.9206500000009</v>
      </c>
      <c r="L74" s="24"/>
    </row>
    <row r="75" spans="2:12" x14ac:dyDescent="0.25">
      <c r="B75" s="3">
        <f t="shared" si="5"/>
        <v>43151</v>
      </c>
      <c r="C75" s="27">
        <f>543460+460895+486415+1984922</f>
        <v>3475692</v>
      </c>
      <c r="D75" s="28">
        <f>33125+6824+7821+30985</f>
        <v>78755</v>
      </c>
      <c r="E75" s="25">
        <f t="shared" si="6"/>
        <v>3475.692</v>
      </c>
      <c r="F75" s="26">
        <f t="shared" si="7"/>
        <v>78.754999999999995</v>
      </c>
      <c r="G75" s="4">
        <f t="shared" si="8"/>
        <v>3396.9369999999999</v>
      </c>
      <c r="H75" s="5">
        <v>0.61499999999999999</v>
      </c>
      <c r="I75" s="6">
        <f t="shared" si="9"/>
        <v>2089.1162549999999</v>
      </c>
      <c r="L75" s="24"/>
    </row>
    <row r="76" spans="2:12" x14ac:dyDescent="0.25">
      <c r="B76" s="3">
        <f t="shared" si="5"/>
        <v>43181</v>
      </c>
      <c r="C76" s="27">
        <f>1911366+2144766+1558754+7180050</f>
        <v>12794936</v>
      </c>
      <c r="D76" s="28">
        <f>21735+4366+6435+18156</f>
        <v>50692</v>
      </c>
      <c r="E76" s="25">
        <f t="shared" si="6"/>
        <v>12794.936</v>
      </c>
      <c r="F76" s="26">
        <f t="shared" si="7"/>
        <v>50.692</v>
      </c>
      <c r="G76" s="4">
        <f t="shared" si="8"/>
        <v>12744.244000000001</v>
      </c>
      <c r="H76" s="5">
        <v>0.61499999999999999</v>
      </c>
      <c r="I76" s="6">
        <f t="shared" si="9"/>
        <v>7837.7100600000003</v>
      </c>
      <c r="L76" s="24"/>
    </row>
    <row r="77" spans="2:12" x14ac:dyDescent="0.25">
      <c r="B77" s="3">
        <f t="shared" si="5"/>
        <v>43211</v>
      </c>
      <c r="C77" s="27">
        <f>873135+2986395+2311799+7717155</f>
        <v>13888484</v>
      </c>
      <c r="D77" s="28">
        <f>38090+2716+4647+6745</f>
        <v>52198</v>
      </c>
      <c r="E77" s="25">
        <f t="shared" si="6"/>
        <v>13888.484</v>
      </c>
      <c r="F77" s="26">
        <f t="shared" si="7"/>
        <v>52.198</v>
      </c>
      <c r="G77" s="4">
        <f t="shared" si="8"/>
        <v>13836.286</v>
      </c>
      <c r="H77" s="5">
        <v>0.61499999999999999</v>
      </c>
      <c r="I77" s="6">
        <f t="shared" si="9"/>
        <v>8509.3158899999999</v>
      </c>
      <c r="L77" s="24"/>
    </row>
    <row r="78" spans="2:12" x14ac:dyDescent="0.25">
      <c r="B78" s="3">
        <f t="shared" si="5"/>
        <v>43241</v>
      </c>
      <c r="C78" s="27">
        <f>4352044+3081964+4593218+14291785</f>
        <v>26319011</v>
      </c>
      <c r="D78" s="28">
        <f>2703+2880</f>
        <v>5583</v>
      </c>
      <c r="E78" s="25">
        <f t="shared" si="6"/>
        <v>26319.010999999999</v>
      </c>
      <c r="F78" s="26">
        <f t="shared" si="7"/>
        <v>5.5830000000000002</v>
      </c>
      <c r="G78" s="4">
        <f t="shared" si="8"/>
        <v>26313.428</v>
      </c>
      <c r="H78" s="5">
        <v>0.61499999999999999</v>
      </c>
      <c r="I78" s="6">
        <f t="shared" si="9"/>
        <v>16182.75822</v>
      </c>
      <c r="L78" s="24"/>
    </row>
    <row r="79" spans="2:12" ht="28.5" x14ac:dyDescent="0.25">
      <c r="B79" s="29" t="s">
        <v>11</v>
      </c>
      <c r="C79" s="30">
        <f>SUM(C7:C13)</f>
        <v>137714656</v>
      </c>
      <c r="D79" s="31">
        <f>SUM(D7:D13)</f>
        <v>145268</v>
      </c>
      <c r="E79" s="31">
        <f>SUM(E7:E13)</f>
        <v>137714.65599999999</v>
      </c>
      <c r="F79" s="31">
        <f>SUM(F7:F13)</f>
        <v>145.268</v>
      </c>
      <c r="G79" s="31">
        <f>E79-F79</f>
        <v>137569.38799999998</v>
      </c>
      <c r="H79" s="32">
        <v>0.61499999999999999</v>
      </c>
      <c r="I79" s="30">
        <f>ROUNDDOWN(SUM(I7:I13),0)</f>
        <v>84605</v>
      </c>
    </row>
    <row r="80" spans="2:12" ht="28.5" x14ac:dyDescent="0.25">
      <c r="B80" s="29" t="s">
        <v>6</v>
      </c>
      <c r="C80" s="30">
        <f>SUM(C14:C25)</f>
        <v>233764354</v>
      </c>
      <c r="D80" s="31">
        <f>SUM(D14:D25)</f>
        <v>222973</v>
      </c>
      <c r="E80" s="31">
        <f>SUM(E14:E25)</f>
        <v>233764.35400000005</v>
      </c>
      <c r="F80" s="31">
        <f>SUM(F14:F25)</f>
        <v>222.97300000000004</v>
      </c>
      <c r="G80" s="31">
        <f t="shared" ref="G80:G85" si="10">E80-F80</f>
        <v>233541.38100000005</v>
      </c>
      <c r="H80" s="32">
        <v>0.61499999999999999</v>
      </c>
      <c r="I80" s="30">
        <f>ROUNDDOWN(SUM(I14:I25),0)</f>
        <v>143627</v>
      </c>
    </row>
    <row r="81" spans="2:9" ht="28.5" x14ac:dyDescent="0.25">
      <c r="B81" s="29" t="s">
        <v>7</v>
      </c>
      <c r="C81" s="30">
        <f>SUM(C26:C37)</f>
        <v>131931272</v>
      </c>
      <c r="D81" s="31">
        <f>SUM(D26:D37)</f>
        <v>505721</v>
      </c>
      <c r="E81" s="31">
        <f>SUM(E26:E37)</f>
        <v>131931.27200000003</v>
      </c>
      <c r="F81" s="31">
        <f>SUM(F26:F37)</f>
        <v>505.72099999999995</v>
      </c>
      <c r="G81" s="31">
        <f t="shared" si="10"/>
        <v>131425.55100000004</v>
      </c>
      <c r="H81" s="32">
        <v>0.61499999999999999</v>
      </c>
      <c r="I81" s="30">
        <f>ROUNDDOWN(SUM(I26:I37),0)</f>
        <v>80826</v>
      </c>
    </row>
    <row r="82" spans="2:9" ht="28.5" x14ac:dyDescent="0.25">
      <c r="B82" s="29" t="s">
        <v>8</v>
      </c>
      <c r="C82" s="30">
        <f>SUM(C38:C49)</f>
        <v>224549441</v>
      </c>
      <c r="D82" s="31">
        <f>SUM(D38:D49)</f>
        <v>255260</v>
      </c>
      <c r="E82" s="31">
        <f>SUM(E38:E49)</f>
        <v>224549.44100000002</v>
      </c>
      <c r="F82" s="31">
        <f>SUM(F38:F49)</f>
        <v>255.26</v>
      </c>
      <c r="G82" s="31">
        <f t="shared" si="10"/>
        <v>224294.18100000001</v>
      </c>
      <c r="H82" s="32">
        <v>0.61499999999999999</v>
      </c>
      <c r="I82" s="30">
        <f>ROUNDDOWN(SUM(I38:I49),0)</f>
        <v>137940</v>
      </c>
    </row>
    <row r="83" spans="2:9" ht="28.5" x14ac:dyDescent="0.25">
      <c r="B83" s="29" t="s">
        <v>9</v>
      </c>
      <c r="C83" s="30">
        <f>SUM(C50:C61)</f>
        <v>175789256</v>
      </c>
      <c r="D83" s="31">
        <f>SUM(D50:D61)</f>
        <v>419240</v>
      </c>
      <c r="E83" s="31">
        <f>SUM(E50:E61)</f>
        <v>175789.25599999999</v>
      </c>
      <c r="F83" s="31">
        <f>SUM(F50:F61)</f>
        <v>419.23999999999995</v>
      </c>
      <c r="G83" s="31">
        <f t="shared" si="10"/>
        <v>175370.016</v>
      </c>
      <c r="H83" s="32">
        <v>0.61499999999999999</v>
      </c>
      <c r="I83" s="30">
        <f>ROUNDDOWN(SUM(I50:I61),0)</f>
        <v>107852</v>
      </c>
    </row>
    <row r="84" spans="2:9" ht="28.5" x14ac:dyDescent="0.25">
      <c r="B84" s="29" t="s">
        <v>12</v>
      </c>
      <c r="C84" s="30">
        <f>SUM(C62:C73)</f>
        <v>140456000</v>
      </c>
      <c r="D84" s="31">
        <f>SUM(D62:D73)</f>
        <v>719281</v>
      </c>
      <c r="E84" s="31">
        <f>SUM(E62:E73)</f>
        <v>140456</v>
      </c>
      <c r="F84" s="31">
        <f>SUM(F62:F73)</f>
        <v>719.28099999999995</v>
      </c>
      <c r="G84" s="31">
        <f t="shared" si="10"/>
        <v>139736.71900000001</v>
      </c>
      <c r="H84" s="32">
        <v>0.61499999999999999</v>
      </c>
      <c r="I84" s="30">
        <f>ROUNDDOWN(SUM(I62:I73),0)</f>
        <v>85938</v>
      </c>
    </row>
    <row r="85" spans="2:9" ht="28.5" x14ac:dyDescent="0.25">
      <c r="B85" s="29" t="s">
        <v>13</v>
      </c>
      <c r="C85" s="30">
        <f>SUM(C74:C78)</f>
        <v>66054617</v>
      </c>
      <c r="D85" s="31">
        <f>SUM(D74:D78)</f>
        <v>261412</v>
      </c>
      <c r="E85" s="31">
        <f>SUM(E74:E78)</f>
        <v>66054.616999999998</v>
      </c>
      <c r="F85" s="31">
        <f>SUM(F74:F78)</f>
        <v>261.41200000000003</v>
      </c>
      <c r="G85" s="31">
        <f t="shared" si="10"/>
        <v>65793.205000000002</v>
      </c>
      <c r="H85" s="32">
        <v>0.61499999999999999</v>
      </c>
      <c r="I85" s="30">
        <f>ROUNDDOWN(SUM(I74:I78),0)</f>
        <v>40462</v>
      </c>
    </row>
    <row r="86" spans="2:9" x14ac:dyDescent="0.25">
      <c r="B86" s="29" t="s">
        <v>10</v>
      </c>
      <c r="C86" s="30">
        <f>SUM(C79:C85)</f>
        <v>1110259596</v>
      </c>
      <c r="D86" s="30">
        <f>SUM(D79:D85)</f>
        <v>2529155</v>
      </c>
      <c r="E86" s="31">
        <f>SUM(E79:E85)</f>
        <v>1110259.5960000001</v>
      </c>
      <c r="F86" s="31">
        <f>SUM(F79:F85)</f>
        <v>2529.1549999999997</v>
      </c>
      <c r="G86" s="31">
        <f>SUM(G79:G85)</f>
        <v>1107730.4410000001</v>
      </c>
      <c r="H86" s="32">
        <v>0.61499999999999999</v>
      </c>
      <c r="I86" s="33">
        <f>SUM(I79:I85)</f>
        <v>681250</v>
      </c>
    </row>
  </sheetData>
  <pageMargins left="0.7" right="0.7" top="0.75" bottom="0.75" header="0.3" footer="0.3"/>
  <pageSetup paperSize="121" orientation="portrait" horizontalDpi="203" verticalDpi="203" r:id="rId1"/>
  <ignoredErrors>
    <ignoredError sqref="B26 B3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C0DE-B444-4316-B7B4-FA548621812F}">
  <dimension ref="A1:N11"/>
  <sheetViews>
    <sheetView showGridLines="0" workbookViewId="0">
      <selection activeCell="D8" sqref="D8"/>
    </sheetView>
  </sheetViews>
  <sheetFormatPr defaultRowHeight="15" x14ac:dyDescent="0.25"/>
  <cols>
    <col min="1" max="1" width="8.85546875" style="7"/>
    <col min="2" max="2" width="8.42578125" style="7" bestFit="1" customWidth="1"/>
    <col min="3" max="3" width="23.140625" style="7" bestFit="1" customWidth="1"/>
    <col min="4" max="4" width="11.28515625" style="7" bestFit="1" customWidth="1"/>
    <col min="5" max="5" width="15.28515625" style="7" bestFit="1" customWidth="1"/>
    <col min="6" max="6" width="10.7109375" style="7" bestFit="1" customWidth="1"/>
    <col min="7" max="7" width="11" style="7" customWidth="1"/>
    <col min="8" max="8" width="11.7109375" style="7" customWidth="1"/>
    <col min="9" max="12" width="8.85546875" style="7"/>
    <col min="13" max="13" width="24.5703125" style="7" customWidth="1"/>
    <col min="14" max="14" width="8.85546875" style="7"/>
  </cols>
  <sheetData>
    <row r="1" spans="2:14" ht="73.150000000000006" customHeight="1" x14ac:dyDescent="0.25">
      <c r="L1" s="34" t="s">
        <v>14</v>
      </c>
      <c r="M1" s="35"/>
      <c r="N1" s="8">
        <v>147566</v>
      </c>
    </row>
    <row r="3" spans="2:14" ht="81" x14ac:dyDescent="0.25">
      <c r="B3" s="9" t="s">
        <v>15</v>
      </c>
      <c r="C3" s="9" t="s">
        <v>16</v>
      </c>
      <c r="D3" s="9" t="s">
        <v>17</v>
      </c>
      <c r="E3" s="10" t="s">
        <v>18</v>
      </c>
      <c r="F3" s="10" t="s">
        <v>19</v>
      </c>
      <c r="G3" s="10" t="s">
        <v>20</v>
      </c>
      <c r="H3" s="10" t="s">
        <v>21</v>
      </c>
    </row>
    <row r="4" spans="2:14" x14ac:dyDescent="0.25">
      <c r="B4" s="11">
        <v>2012</v>
      </c>
      <c r="C4" s="11" t="s">
        <v>26</v>
      </c>
      <c r="D4" s="12">
        <v>214</v>
      </c>
      <c r="E4" s="13">
        <f>'Baseline Emissions'!I79</f>
        <v>84605</v>
      </c>
      <c r="F4" s="13">
        <f>N1/365*D4</f>
        <v>86518.147945205477</v>
      </c>
      <c r="G4" s="13">
        <f>E4-F4</f>
        <v>-1913.1479452054773</v>
      </c>
      <c r="H4" s="14">
        <f>G4/F4</f>
        <v>-2.2112677983087789E-2</v>
      </c>
    </row>
    <row r="5" spans="2:14" x14ac:dyDescent="0.25">
      <c r="B5" s="11">
        <v>2013</v>
      </c>
      <c r="C5" s="11" t="s">
        <v>22</v>
      </c>
      <c r="D5" s="12">
        <v>365</v>
      </c>
      <c r="E5" s="13">
        <f>'Baseline Emissions'!I80</f>
        <v>143627</v>
      </c>
      <c r="F5" s="13">
        <f>$N$1</f>
        <v>147566</v>
      </c>
      <c r="G5" s="13">
        <f t="shared" ref="G5:G10" si="0">E5-F5</f>
        <v>-3939</v>
      </c>
      <c r="H5" s="14">
        <f t="shared" ref="H5:H11" si="1">G5/F5</f>
        <v>-2.6693140696366371E-2</v>
      </c>
    </row>
    <row r="6" spans="2:14" x14ac:dyDescent="0.25">
      <c r="B6" s="11">
        <v>2014</v>
      </c>
      <c r="C6" s="11" t="s">
        <v>27</v>
      </c>
      <c r="D6" s="12">
        <v>365</v>
      </c>
      <c r="E6" s="13">
        <f>'Baseline Emissions'!I81</f>
        <v>80826</v>
      </c>
      <c r="F6" s="13">
        <f>$N$1</f>
        <v>147566</v>
      </c>
      <c r="G6" s="13">
        <f t="shared" si="0"/>
        <v>-66740</v>
      </c>
      <c r="H6" s="14">
        <f t="shared" si="1"/>
        <v>-0.45227220362414106</v>
      </c>
    </row>
    <row r="7" spans="2:14" x14ac:dyDescent="0.25">
      <c r="B7" s="11">
        <v>2015</v>
      </c>
      <c r="C7" s="11" t="s">
        <v>23</v>
      </c>
      <c r="D7" s="12">
        <v>365</v>
      </c>
      <c r="E7" s="13">
        <f>'Baseline Emissions'!I82</f>
        <v>137940</v>
      </c>
      <c r="F7" s="13">
        <f>$N$1</f>
        <v>147566</v>
      </c>
      <c r="G7" s="13">
        <f t="shared" si="0"/>
        <v>-9626</v>
      </c>
      <c r="H7" s="14">
        <f t="shared" si="1"/>
        <v>-6.5231828469972761E-2</v>
      </c>
    </row>
    <row r="8" spans="2:14" x14ac:dyDescent="0.25">
      <c r="B8" s="11">
        <v>2016</v>
      </c>
      <c r="C8" s="11" t="s">
        <v>24</v>
      </c>
      <c r="D8" s="12">
        <v>366</v>
      </c>
      <c r="E8" s="13">
        <f>'Baseline Emissions'!I83</f>
        <v>107852</v>
      </c>
      <c r="F8" s="13">
        <f>$N$1</f>
        <v>147566</v>
      </c>
      <c r="G8" s="13">
        <f t="shared" si="0"/>
        <v>-39714</v>
      </c>
      <c r="H8" s="14">
        <f t="shared" si="1"/>
        <v>-0.26912703468278598</v>
      </c>
    </row>
    <row r="9" spans="2:14" x14ac:dyDescent="0.25">
      <c r="B9" s="11">
        <v>2017</v>
      </c>
      <c r="C9" s="15" t="s">
        <v>25</v>
      </c>
      <c r="D9" s="12">
        <v>365</v>
      </c>
      <c r="E9" s="13">
        <f>'Baseline Emissions'!I84</f>
        <v>85938</v>
      </c>
      <c r="F9" s="13">
        <f>N1</f>
        <v>147566</v>
      </c>
      <c r="G9" s="13">
        <f t="shared" si="0"/>
        <v>-61628</v>
      </c>
      <c r="H9" s="14">
        <f t="shared" si="1"/>
        <v>-0.41763007738910046</v>
      </c>
    </row>
    <row r="10" spans="2:14" x14ac:dyDescent="0.25">
      <c r="B10" s="11">
        <v>2018</v>
      </c>
      <c r="C10" s="15" t="s">
        <v>28</v>
      </c>
      <c r="D10" s="12">
        <v>151</v>
      </c>
      <c r="E10" s="13">
        <f>'Baseline Emissions'!I85</f>
        <v>40462</v>
      </c>
      <c r="F10" s="13">
        <f>N1/365*D10</f>
        <v>61047.852054794515</v>
      </c>
      <c r="G10" s="13">
        <f t="shared" si="0"/>
        <v>-20585.852054794515</v>
      </c>
      <c r="H10" s="14">
        <f t="shared" si="1"/>
        <v>-0.33720845798665189</v>
      </c>
    </row>
    <row r="11" spans="2:14" x14ac:dyDescent="0.25">
      <c r="B11" s="16" t="s">
        <v>10</v>
      </c>
      <c r="C11" s="16"/>
      <c r="D11" s="17">
        <f>SUM(D4:D10)</f>
        <v>2191</v>
      </c>
      <c r="E11" s="17">
        <f>SUM(E4:E10)</f>
        <v>681250</v>
      </c>
      <c r="F11" s="18">
        <f>SUM(F4:F10)</f>
        <v>885396</v>
      </c>
      <c r="G11" s="17">
        <f>E11-F11</f>
        <v>-204146</v>
      </c>
      <c r="H11" s="19">
        <f t="shared" si="1"/>
        <v>-0.23057027589914569</v>
      </c>
    </row>
  </sheetData>
  <mergeCells count="1">
    <mergeCell ref="L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E17C-5417-4E20-AAA5-4BE4CFFD5765}">
  <dimension ref="B3:F7"/>
  <sheetViews>
    <sheetView workbookViewId="0">
      <selection activeCell="C5" sqref="C5"/>
    </sheetView>
  </sheetViews>
  <sheetFormatPr defaultRowHeight="15" x14ac:dyDescent="0.25"/>
  <cols>
    <col min="2" max="2" width="19.5703125" bestFit="1" customWidth="1"/>
    <col min="3" max="3" width="14.28515625" bestFit="1" customWidth="1"/>
    <col min="5" max="5" width="19.5703125" bestFit="1" customWidth="1"/>
    <col min="6" max="6" width="14.28515625" bestFit="1" customWidth="1"/>
  </cols>
  <sheetData>
    <row r="3" spans="2:6" x14ac:dyDescent="0.25">
      <c r="B3" s="36" t="s">
        <v>32</v>
      </c>
      <c r="C3" s="37"/>
      <c r="E3" s="36" t="s">
        <v>33</v>
      </c>
      <c r="F3" s="37"/>
    </row>
    <row r="4" spans="2:6" x14ac:dyDescent="0.25">
      <c r="B4" s="20" t="s">
        <v>29</v>
      </c>
      <c r="C4" s="21">
        <v>23889000</v>
      </c>
      <c r="E4" s="20" t="s">
        <v>29</v>
      </c>
      <c r="F4" s="21">
        <v>37815000</v>
      </c>
    </row>
    <row r="5" spans="2:6" x14ac:dyDescent="0.25">
      <c r="B5" s="20" t="s">
        <v>30</v>
      </c>
      <c r="C5" s="21">
        <v>1621425.95</v>
      </c>
      <c r="E5" s="20" t="s">
        <v>30</v>
      </c>
      <c r="F5" s="21">
        <v>1648560.79</v>
      </c>
    </row>
    <row r="6" spans="2:6" x14ac:dyDescent="0.25">
      <c r="B6" s="20"/>
      <c r="C6" s="22"/>
      <c r="E6" s="20"/>
      <c r="F6" s="22"/>
    </row>
    <row r="7" spans="2:6" x14ac:dyDescent="0.25">
      <c r="B7" s="20" t="s">
        <v>31</v>
      </c>
      <c r="C7" s="23">
        <f>C4/C5</f>
        <v>14.73332778471937</v>
      </c>
      <c r="E7" s="20" t="s">
        <v>31</v>
      </c>
      <c r="F7" s="23">
        <f>F4/F5</f>
        <v>22.93818961932244</v>
      </c>
    </row>
  </sheetData>
  <mergeCells count="2">
    <mergeCell ref="B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Baseline Emissions</vt:lpstr>
      <vt:lpstr>Comp.of Baseline Emissions</vt:lpstr>
      <vt:lpstr>Power Density Calculation</vt:lpstr>
      <vt:lpstr>'Power Density Calculation'!_ftnref1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</dc:creator>
  <cp:lastModifiedBy>Sila Kilic</cp:lastModifiedBy>
  <dcterms:created xsi:type="dcterms:W3CDTF">2015-06-05T18:17:20Z</dcterms:created>
  <dcterms:modified xsi:type="dcterms:W3CDTF">2022-01-05T11:00:04Z</dcterms:modified>
</cp:coreProperties>
</file>