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ilak\OneDrive\Masaüstü\Sekans\Carbon\Ceyhan HES\Verifikasyon\Ikınci Paket\"/>
    </mc:Choice>
  </mc:AlternateContent>
  <xr:revisionPtr revIDLastSave="0" documentId="13_ncr:1_{6A932E21-1E94-458E-9760-57037A056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eline Emissions" sheetId="1" r:id="rId1"/>
    <sheet name="Comp.of Baseline Emissions" sheetId="3" r:id="rId2"/>
    <sheet name="Power Density Calculation" sheetId="4" r:id="rId3"/>
  </sheets>
  <definedNames>
    <definedName name="_ftnref1" localSheetId="2">'Power Density Calculation'!$C$7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F4" i="3"/>
  <c r="D7" i="3"/>
  <c r="I31" i="1"/>
  <c r="E31" i="1"/>
  <c r="F31" i="1"/>
  <c r="G31" i="1"/>
  <c r="D31" i="1"/>
  <c r="C31" i="1"/>
  <c r="C23" i="1"/>
  <c r="E23" i="1"/>
  <c r="D23" i="1"/>
  <c r="F23" i="1"/>
  <c r="G23" i="1"/>
  <c r="I23" i="1"/>
  <c r="C24" i="1"/>
  <c r="E24" i="1"/>
  <c r="D24" i="1"/>
  <c r="F24" i="1"/>
  <c r="G24" i="1"/>
  <c r="I24" i="1"/>
  <c r="C25" i="1"/>
  <c r="E25" i="1"/>
  <c r="D25" i="1"/>
  <c r="F25" i="1"/>
  <c r="G25" i="1"/>
  <c r="I25" i="1"/>
  <c r="C26" i="1"/>
  <c r="E26" i="1"/>
  <c r="D26" i="1"/>
  <c r="F26" i="1"/>
  <c r="G26" i="1"/>
  <c r="I26" i="1"/>
  <c r="C27" i="1"/>
  <c r="E27" i="1"/>
  <c r="D27" i="1"/>
  <c r="F27" i="1"/>
  <c r="G27" i="1"/>
  <c r="I27" i="1"/>
  <c r="I30" i="1"/>
  <c r="C11" i="1"/>
  <c r="E11" i="1"/>
  <c r="D11" i="1"/>
  <c r="F11" i="1"/>
  <c r="G11" i="1"/>
  <c r="I11" i="1"/>
  <c r="C12" i="1"/>
  <c r="E12" i="1"/>
  <c r="D12" i="1"/>
  <c r="F12" i="1"/>
  <c r="G12" i="1"/>
  <c r="I12" i="1"/>
  <c r="C13" i="1"/>
  <c r="E13" i="1"/>
  <c r="D13" i="1"/>
  <c r="F13" i="1"/>
  <c r="G13" i="1"/>
  <c r="I13" i="1"/>
  <c r="C14" i="1"/>
  <c r="E14" i="1"/>
  <c r="D14" i="1"/>
  <c r="F14" i="1"/>
  <c r="G14" i="1"/>
  <c r="I14" i="1"/>
  <c r="C15" i="1"/>
  <c r="E15" i="1"/>
  <c r="D15" i="1"/>
  <c r="F15" i="1"/>
  <c r="G15" i="1"/>
  <c r="I15" i="1"/>
  <c r="C16" i="1"/>
  <c r="E16" i="1"/>
  <c r="D16" i="1"/>
  <c r="F16" i="1"/>
  <c r="G16" i="1"/>
  <c r="I16" i="1"/>
  <c r="C17" i="1"/>
  <c r="E17" i="1"/>
  <c r="D17" i="1"/>
  <c r="F17" i="1"/>
  <c r="G17" i="1"/>
  <c r="I17" i="1"/>
  <c r="C18" i="1"/>
  <c r="E18" i="1"/>
  <c r="D18" i="1"/>
  <c r="F18" i="1"/>
  <c r="G18" i="1"/>
  <c r="I18" i="1"/>
  <c r="C19" i="1"/>
  <c r="E19" i="1"/>
  <c r="D19" i="1"/>
  <c r="F19" i="1"/>
  <c r="G19" i="1"/>
  <c r="I19" i="1"/>
  <c r="C20" i="1"/>
  <c r="E20" i="1"/>
  <c r="D20" i="1"/>
  <c r="F20" i="1"/>
  <c r="G20" i="1"/>
  <c r="I20" i="1"/>
  <c r="C21" i="1"/>
  <c r="E21" i="1"/>
  <c r="D21" i="1"/>
  <c r="F21" i="1"/>
  <c r="G21" i="1"/>
  <c r="I21" i="1"/>
  <c r="C22" i="1"/>
  <c r="E22" i="1"/>
  <c r="D22" i="1"/>
  <c r="F22" i="1"/>
  <c r="G22" i="1"/>
  <c r="I22" i="1"/>
  <c r="I29" i="1"/>
  <c r="D29" i="1"/>
  <c r="E29" i="1"/>
  <c r="F29" i="1"/>
  <c r="G29" i="1"/>
  <c r="D30" i="1"/>
  <c r="E30" i="1"/>
  <c r="F30" i="1"/>
  <c r="G30" i="1"/>
  <c r="C30" i="1"/>
  <c r="C29" i="1"/>
  <c r="C4" i="1"/>
  <c r="E4" i="1"/>
  <c r="D4" i="1"/>
  <c r="F4" i="1"/>
  <c r="G4" i="1"/>
  <c r="I4" i="1"/>
  <c r="C5" i="1"/>
  <c r="E5" i="1"/>
  <c r="D5" i="1"/>
  <c r="F5" i="1"/>
  <c r="G5" i="1"/>
  <c r="I5" i="1"/>
  <c r="C6" i="1"/>
  <c r="E6" i="1"/>
  <c r="D6" i="1"/>
  <c r="F6" i="1"/>
  <c r="G6" i="1"/>
  <c r="I6" i="1"/>
  <c r="C7" i="1"/>
  <c r="E7" i="1"/>
  <c r="D7" i="1"/>
  <c r="F7" i="1"/>
  <c r="G7" i="1"/>
  <c r="I7" i="1"/>
  <c r="C8" i="1"/>
  <c r="E8" i="1"/>
  <c r="D8" i="1"/>
  <c r="F8" i="1"/>
  <c r="G8" i="1"/>
  <c r="I8" i="1"/>
  <c r="C9" i="1"/>
  <c r="E9" i="1"/>
  <c r="D9" i="1"/>
  <c r="F9" i="1"/>
  <c r="G9" i="1"/>
  <c r="I9" i="1"/>
  <c r="C10" i="1"/>
  <c r="E10" i="1"/>
  <c r="D10" i="1"/>
  <c r="F10" i="1"/>
  <c r="G10" i="1"/>
  <c r="I10" i="1"/>
  <c r="I28" i="1"/>
  <c r="D28" i="1"/>
  <c r="E28" i="1"/>
  <c r="F28" i="1"/>
  <c r="G28" i="1"/>
  <c r="C28" i="1"/>
  <c r="F7" i="4"/>
  <c r="C7" i="4"/>
  <c r="E6" i="3"/>
  <c r="E5" i="3"/>
  <c r="E4" i="3"/>
  <c r="E7" i="3"/>
  <c r="F7" i="3"/>
  <c r="G5" i="3"/>
  <c r="H5" i="3"/>
  <c r="G6" i="3"/>
  <c r="H6" i="3"/>
  <c r="G4" i="3"/>
  <c r="H4" i="3"/>
  <c r="G7" i="3"/>
  <c r="H7" i="3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<sst xmlns="http://schemas.openxmlformats.org/spreadsheetml/2006/main" count="32" uniqueCount="25">
  <si>
    <t>Month</t>
  </si>
  <si>
    <t>(A)
Electricity
supplied to
the grid
[MWh]</t>
  </si>
  <si>
    <t>(B)
Electricity
consumption
from the grid
[MWh]</t>
  </si>
  <si>
    <t>(C) = (A) - (B)
EG (ID 8)
Net electricity
supplied to the grid
[MWh]</t>
  </si>
  <si>
    <r>
      <t>EF  [tCO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/MWh]</t>
    </r>
  </si>
  <si>
    <r>
      <t>Baseline
emission:
ER = EG * EF
[t 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-eq]</t>
    </r>
  </si>
  <si>
    <t>Total</t>
  </si>
  <si>
    <t>Estimated amount of annual average GHG emission reductions monitoring period in the PDD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</si>
  <si>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</si>
  <si>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</si>
  <si>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</si>
  <si>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</si>
  <si>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</si>
  <si>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</si>
  <si>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</si>
  <si>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Installed Capacity (W)</t>
  </si>
  <si>
    <t>Reservoir Area (m2)</t>
  </si>
  <si>
    <t>Power Density (W/m2)</t>
  </si>
  <si>
    <t>Oşkan</t>
  </si>
  <si>
    <t>Berkman</t>
  </si>
  <si>
    <t>(A)
Electricity
supplied to
the grid
[kWh]</t>
  </si>
  <si>
    <t>(B)
Electricity
consumption
from the grid
[kWh]</t>
  </si>
  <si>
    <t>2018 Vintage
(01.06.2018-31.12.2018)</t>
  </si>
  <si>
    <t>2019 Vintage
(01.01.2019-31.12.2019)</t>
  </si>
  <si>
    <t>2020 Vintage
(01.01.2020-31.05.2020)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</si>
</sst>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mmm\-yy;@"/>
    <numFmt numFmtId="167" formatCode="#,##0.000"/>
    <numFmt numFmtId="168" formatCode="0.0%"/>
    <numFmt numFmtId="169" formatCode="_-* #,##0_-;\-* #,##0_-;_-* &quot;-&quot;??_-;_-@_-"/>
    <numFmt numFmtId="170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b/>
      <vertAlign val="subscript"/>
      <sz val="10.5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0.5"/>
      <color theme="1"/>
      <name val="Calibri"/>
      <family val="2"/>
      <charset val="162"/>
      <scheme val="minor"/>
    </font>
    <font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1"/>
      <name val="Calibri"/>
      <family val="2"/>
      <scheme val="minor"/>
    </font>
    <font>
      <sz val="10.5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5" fillId="0" borderId="0"/>
  </cellStyleXfs>
  <cellXfs count="36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43" fontId="3" fillId="2" borderId="1" xfId="3" applyNumberFormat="1" applyFont="1" applyFill="1" applyBorder="1" applyAlignment="1">
      <alignment horizontal="center" vertical="center" wrapText="1"/>
    </xf>
    <xf numFmtId="166" fontId="6" fillId="0" borderId="1" xfId="4" applyNumberFormat="1" applyFont="1" applyBorder="1" applyAlignment="1">
      <alignment horizontal="center" vertical="center"/>
    </xf>
    <xf numFmtId="39" fontId="7" fillId="0" borderId="1" xfId="1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6" fontId="6" fillId="0" borderId="1" xfId="4" applyNumberFormat="1" applyFont="1" applyBorder="1" applyAlignment="1">
      <alignment horizontal="center" vertical="center" wrapText="1"/>
    </xf>
    <xf numFmtId="0" fontId="8" fillId="0" borderId="0" xfId="0" applyFont="1"/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0" fontId="10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3" fontId="3" fillId="2" borderId="1" xfId="3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11" fillId="0" borderId="1" xfId="1" applyNumberFormat="1" applyFont="1" applyFill="1" applyBorder="1" applyAlignment="1">
      <alignment horizontal="center" vertical="center"/>
    </xf>
    <xf numFmtId="164" fontId="0" fillId="0" borderId="1" xfId="1" applyFont="1" applyFill="1" applyBorder="1"/>
    <xf numFmtId="3" fontId="11" fillId="0" borderId="1" xfId="4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wrapText="1"/>
    </xf>
    <xf numFmtId="166" fontId="11" fillId="0" borderId="1" xfId="4" applyNumberFormat="1" applyFont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81" xfId="4" xr:uid="{482AFBBF-B8EA-4FB6-B90C-E8CDB45913B1}"/>
    <cellStyle name="Normal_Sheet1" xfId="3" xr:uid="{45781E15-CCCD-47B3-90D4-7C8EB180F9FB}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showGridLines="0" tabSelected="1" topLeftCell="A19" workbookViewId="0">
      <selection activeCell="B19" sqref="B1:E1048576"/>
    </sheetView>
  </sheetViews>
  <sheetFormatPr defaultRowHeight="15" x14ac:dyDescent="0.25"/>
  <cols>
    <col min="2" max="2" width="11.85546875" bestFit="1" customWidth="1"/>
    <col min="3" max="3" width="12.28515625" style="24" customWidth="1"/>
    <col min="4" max="4" width="15.28515625" customWidth="1"/>
    <col min="5" max="5" width="16.42578125" customWidth="1"/>
    <col min="6" max="6" width="13.7109375" customWidth="1"/>
    <col min="7" max="7" width="15.5703125" customWidth="1"/>
    <col min="8" max="8" width="12.140625" customWidth="1"/>
    <col min="9" max="9" width="13.5703125" bestFit="1" customWidth="1"/>
  </cols>
  <sheetData>
    <row r="1" spans="2:12" x14ac:dyDescent="0.25">
      <c r="L1">
        <v>1000</v>
      </c>
    </row>
    <row r="3" spans="2:12" ht="94.5" x14ac:dyDescent="0.25">
      <c r="B3" s="1" t="s">
        <v>0</v>
      </c>
      <c r="C3" s="25" t="s">
        <v>20</v>
      </c>
      <c r="D3" s="1" t="s">
        <v>21</v>
      </c>
      <c r="E3" s="1" t="s">
        <v>1</v>
      </c>
      <c r="F3" s="2" t="s">
        <v>2</v>
      </c>
      <c r="G3" s="1" t="s">
        <v>3</v>
      </c>
      <c r="H3" s="1" t="s">
        <v>4</v>
      </c>
      <c r="I3" s="1" t="s">
        <v>5</v>
      </c>
    </row>
    <row r="4" spans="2:12" x14ac:dyDescent="0.25">
      <c r="B4" s="3">
        <v>43252</v>
      </c>
      <c r="C4" s="30">
        <f>3504532+2012447+3278073+10935987</f>
        <v>19731039</v>
      </c>
      <c r="D4" s="30">
        <f>14707+4595+2789</f>
        <v>22091</v>
      </c>
      <c r="E4" s="31">
        <f>C4/$L$1</f>
        <v>19731.039000000001</v>
      </c>
      <c r="F4" s="20">
        <f>D4/$L$1</f>
        <v>22.091000000000001</v>
      </c>
      <c r="G4" s="4">
        <f>E4-F4</f>
        <v>19708.948</v>
      </c>
      <c r="H4" s="5">
        <v>0.61499999999999999</v>
      </c>
      <c r="I4" s="6">
        <f>G4*H4</f>
        <v>12121.00302</v>
      </c>
    </row>
    <row r="5" spans="2:12" x14ac:dyDescent="0.25">
      <c r="B5" s="3">
        <f t="shared" ref="B5:B27" si="0">B4+31</f>
        <v>43283</v>
      </c>
      <c r="C5" s="32">
        <f>3282980+3641449+3159566+12658646</f>
        <v>22742641</v>
      </c>
      <c r="D5" s="32">
        <f>19579+1448+2568</f>
        <v>23595</v>
      </c>
      <c r="E5" s="31">
        <f t="shared" ref="E5:E27" si="1">C5/$L$1</f>
        <v>22742.641</v>
      </c>
      <c r="F5" s="20">
        <f t="shared" ref="F5:F27" si="2">D5/$L$1</f>
        <v>23.594999999999999</v>
      </c>
      <c r="G5" s="4">
        <f t="shared" ref="G5:G27" si="3">E5-F5</f>
        <v>22719.045999999998</v>
      </c>
      <c r="H5" s="5">
        <v>0.61499999999999999</v>
      </c>
      <c r="I5" s="6">
        <f t="shared" ref="I5:I27" si="4">G5*H5</f>
        <v>13972.21329</v>
      </c>
    </row>
    <row r="6" spans="2:12" x14ac:dyDescent="0.25">
      <c r="B6" s="3">
        <f t="shared" si="0"/>
        <v>43314</v>
      </c>
      <c r="C6" s="32">
        <f>2505006+2023321+2521496+8290729</f>
        <v>15340552</v>
      </c>
      <c r="D6" s="32">
        <f>33337+4774+4143+10827</f>
        <v>53081</v>
      </c>
      <c r="E6" s="31">
        <f t="shared" si="1"/>
        <v>15340.552</v>
      </c>
      <c r="F6" s="20">
        <f t="shared" si="2"/>
        <v>53.081000000000003</v>
      </c>
      <c r="G6" s="4">
        <f t="shared" si="3"/>
        <v>15287.471</v>
      </c>
      <c r="H6" s="5">
        <v>0.61499999999999999</v>
      </c>
      <c r="I6" s="6">
        <f t="shared" si="4"/>
        <v>9401.7946649999994</v>
      </c>
    </row>
    <row r="7" spans="2:12" x14ac:dyDescent="0.25">
      <c r="B7" s="3">
        <f t="shared" si="0"/>
        <v>43345</v>
      </c>
      <c r="C7" s="32">
        <f>2093536+1164664+1616103+5479504</f>
        <v>10353807</v>
      </c>
      <c r="D7" s="32">
        <f>46837+6739+6949+739</f>
        <v>61264</v>
      </c>
      <c r="E7" s="31">
        <f t="shared" si="1"/>
        <v>10353.807000000001</v>
      </c>
      <c r="F7" s="20">
        <f t="shared" si="2"/>
        <v>61.264000000000003</v>
      </c>
      <c r="G7" s="4">
        <f t="shared" si="3"/>
        <v>10292.543000000001</v>
      </c>
      <c r="H7" s="5">
        <v>0.61499999999999999</v>
      </c>
      <c r="I7" s="6">
        <f t="shared" si="4"/>
        <v>6329.9139450000011</v>
      </c>
    </row>
    <row r="8" spans="2:12" x14ac:dyDescent="0.25">
      <c r="B8" s="3">
        <f t="shared" si="0"/>
        <v>43376</v>
      </c>
      <c r="C8" s="32">
        <f>934069+1175971+1633493+4295615</f>
        <v>8039148</v>
      </c>
      <c r="D8" s="32">
        <f>51157+6755+6333+7854</f>
        <v>72099</v>
      </c>
      <c r="E8" s="31">
        <f t="shared" si="1"/>
        <v>8039.1480000000001</v>
      </c>
      <c r="F8" s="20">
        <f t="shared" si="2"/>
        <v>72.099000000000004</v>
      </c>
      <c r="G8" s="4">
        <f t="shared" si="3"/>
        <v>7967.049</v>
      </c>
      <c r="H8" s="5">
        <v>0.61499999999999999</v>
      </c>
      <c r="I8" s="6">
        <f t="shared" si="4"/>
        <v>4899.7351349999999</v>
      </c>
    </row>
    <row r="9" spans="2:12" x14ac:dyDescent="0.25">
      <c r="B9" s="3">
        <f t="shared" si="0"/>
        <v>43407</v>
      </c>
      <c r="C9" s="32">
        <f>734532+702657+479533+2412795</f>
        <v>4329517</v>
      </c>
      <c r="D9" s="32">
        <f>30608+6934+8605+38469</f>
        <v>84616</v>
      </c>
      <c r="E9" s="31">
        <f t="shared" si="1"/>
        <v>4329.5169999999998</v>
      </c>
      <c r="F9" s="20">
        <f t="shared" si="2"/>
        <v>84.616</v>
      </c>
      <c r="G9" s="4">
        <f t="shared" si="3"/>
        <v>4244.9009999999998</v>
      </c>
      <c r="H9" s="5">
        <v>0.61499999999999999</v>
      </c>
      <c r="I9" s="6">
        <f t="shared" si="4"/>
        <v>2610.6141149999999</v>
      </c>
    </row>
    <row r="10" spans="2:12" x14ac:dyDescent="0.25">
      <c r="B10" s="3">
        <f t="shared" si="0"/>
        <v>43438</v>
      </c>
      <c r="C10" s="32">
        <f>444157+504262+450675+1808314</f>
        <v>3207408</v>
      </c>
      <c r="D10" s="32">
        <f>37526+7939+9067+55040</f>
        <v>109572</v>
      </c>
      <c r="E10" s="31">
        <f t="shared" si="1"/>
        <v>3207.4079999999999</v>
      </c>
      <c r="F10" s="20">
        <f t="shared" si="2"/>
        <v>109.572</v>
      </c>
      <c r="G10" s="4">
        <f t="shared" si="3"/>
        <v>3097.8359999999998</v>
      </c>
      <c r="H10" s="5">
        <v>0.61499999999999999</v>
      </c>
      <c r="I10" s="6">
        <f t="shared" si="4"/>
        <v>1905.1691399999997</v>
      </c>
    </row>
    <row r="11" spans="2:12" x14ac:dyDescent="0.25">
      <c r="B11" s="3">
        <f t="shared" si="0"/>
        <v>43469</v>
      </c>
      <c r="C11" s="32">
        <f>3419957+3441232+3324537+13222579</f>
        <v>23408305</v>
      </c>
      <c r="D11" s="32">
        <f>13898+2812+3473+19712</f>
        <v>39895</v>
      </c>
      <c r="E11" s="31">
        <f t="shared" si="1"/>
        <v>23408.305</v>
      </c>
      <c r="F11" s="20">
        <f t="shared" si="2"/>
        <v>39.895000000000003</v>
      </c>
      <c r="G11" s="4">
        <f t="shared" si="3"/>
        <v>23368.41</v>
      </c>
      <c r="H11" s="5">
        <v>0.61499999999999999</v>
      </c>
      <c r="I11" s="6">
        <f t="shared" si="4"/>
        <v>14371.57215</v>
      </c>
    </row>
    <row r="12" spans="2:12" x14ac:dyDescent="0.25">
      <c r="B12" s="3">
        <f t="shared" si="0"/>
        <v>43500</v>
      </c>
      <c r="C12" s="32">
        <f>4749786+4826893+4780108+17988539</f>
        <v>32345326</v>
      </c>
      <c r="D12" s="32">
        <f>173+36+15</f>
        <v>224</v>
      </c>
      <c r="E12" s="31">
        <f t="shared" si="1"/>
        <v>32345.326000000001</v>
      </c>
      <c r="F12" s="20">
        <f t="shared" si="2"/>
        <v>0.224</v>
      </c>
      <c r="G12" s="4">
        <f t="shared" si="3"/>
        <v>32345.102000000003</v>
      </c>
      <c r="H12" s="5">
        <v>0.61499999999999999</v>
      </c>
      <c r="I12" s="6">
        <f t="shared" si="4"/>
        <v>19892.237730000001</v>
      </c>
    </row>
    <row r="13" spans="2:12" x14ac:dyDescent="0.25">
      <c r="B13" s="3">
        <f t="shared" si="0"/>
        <v>43531</v>
      </c>
      <c r="C13" s="32">
        <f>3638752+3678361+3692743+13684887</f>
        <v>24694743</v>
      </c>
      <c r="D13" s="32">
        <f>12779+2350+2426+7577</f>
        <v>25132</v>
      </c>
      <c r="E13" s="31">
        <f t="shared" si="1"/>
        <v>24694.742999999999</v>
      </c>
      <c r="F13" s="20">
        <f t="shared" si="2"/>
        <v>25.132000000000001</v>
      </c>
      <c r="G13" s="4">
        <f t="shared" si="3"/>
        <v>24669.610999999997</v>
      </c>
      <c r="H13" s="5">
        <v>0.61499999999999999</v>
      </c>
      <c r="I13" s="6">
        <f t="shared" si="4"/>
        <v>15171.810764999998</v>
      </c>
    </row>
    <row r="14" spans="2:12" x14ac:dyDescent="0.25">
      <c r="B14" s="3">
        <f t="shared" si="0"/>
        <v>43562</v>
      </c>
      <c r="C14" s="32">
        <f>5118631+5189094+5137879+19038481</f>
        <v>34484085</v>
      </c>
      <c r="D14" s="32">
        <f>458+66+96+77</f>
        <v>697</v>
      </c>
      <c r="E14" s="31">
        <f t="shared" si="1"/>
        <v>34484.084999999999</v>
      </c>
      <c r="F14" s="20">
        <f t="shared" si="2"/>
        <v>0.69699999999999995</v>
      </c>
      <c r="G14" s="4">
        <f t="shared" si="3"/>
        <v>34483.387999999999</v>
      </c>
      <c r="H14" s="5">
        <v>0.61499999999999999</v>
      </c>
      <c r="I14" s="6">
        <f t="shared" si="4"/>
        <v>21207.283619999998</v>
      </c>
    </row>
    <row r="15" spans="2:12" x14ac:dyDescent="0.25">
      <c r="B15" s="3">
        <f t="shared" si="0"/>
        <v>43593</v>
      </c>
      <c r="C15" s="32">
        <f>4478794+4918954+4805572+17101053</f>
        <v>31304373</v>
      </c>
      <c r="D15" s="32">
        <f>4225+19+135+169</f>
        <v>4548</v>
      </c>
      <c r="E15" s="31">
        <f t="shared" si="1"/>
        <v>31304.373</v>
      </c>
      <c r="F15" s="20">
        <f t="shared" si="2"/>
        <v>4.548</v>
      </c>
      <c r="G15" s="4">
        <f t="shared" si="3"/>
        <v>31299.825000000001</v>
      </c>
      <c r="H15" s="5">
        <v>0.61499999999999999</v>
      </c>
      <c r="I15" s="6">
        <f t="shared" si="4"/>
        <v>19249.392374999999</v>
      </c>
    </row>
    <row r="16" spans="2:12" x14ac:dyDescent="0.25">
      <c r="B16" s="3">
        <f t="shared" si="0"/>
        <v>43624</v>
      </c>
      <c r="C16" s="32">
        <f>4130299+3564555+3439774+13257783</f>
        <v>24392411</v>
      </c>
      <c r="D16" s="32">
        <f>2918+1581+1948+16</f>
        <v>6463</v>
      </c>
      <c r="E16" s="31">
        <f t="shared" si="1"/>
        <v>24392.411</v>
      </c>
      <c r="F16" s="20">
        <f t="shared" si="2"/>
        <v>6.4630000000000001</v>
      </c>
      <c r="G16" s="4">
        <f t="shared" si="3"/>
        <v>24385.948</v>
      </c>
      <c r="H16" s="5">
        <v>0.61499999999999999</v>
      </c>
      <c r="I16" s="6">
        <f t="shared" si="4"/>
        <v>14997.35802</v>
      </c>
    </row>
    <row r="17" spans="2:9" x14ac:dyDescent="0.25">
      <c r="B17" s="3">
        <f t="shared" si="0"/>
        <v>43655</v>
      </c>
      <c r="C17" s="32">
        <f>3805169+3858401+3924026+14097961</f>
        <v>25685557</v>
      </c>
      <c r="D17" s="32">
        <f>15720+1380+1349</f>
        <v>18449</v>
      </c>
      <c r="E17" s="31">
        <f t="shared" si="1"/>
        <v>25685.557000000001</v>
      </c>
      <c r="F17" s="20">
        <f t="shared" si="2"/>
        <v>18.449000000000002</v>
      </c>
      <c r="G17" s="4">
        <f t="shared" si="3"/>
        <v>25667.108</v>
      </c>
      <c r="H17" s="5">
        <v>0.61499999999999999</v>
      </c>
      <c r="I17" s="6">
        <f t="shared" si="4"/>
        <v>15785.271419999999</v>
      </c>
    </row>
    <row r="18" spans="2:9" x14ac:dyDescent="0.25">
      <c r="B18" s="3">
        <f t="shared" si="0"/>
        <v>43686</v>
      </c>
      <c r="C18" s="32">
        <f>2794068+3412276+2353690+10205719</f>
        <v>18765753</v>
      </c>
      <c r="D18" s="32">
        <f>36575+2306+4959+6483</f>
        <v>50323</v>
      </c>
      <c r="E18" s="31">
        <f t="shared" si="1"/>
        <v>18765.753000000001</v>
      </c>
      <c r="F18" s="20">
        <f t="shared" si="2"/>
        <v>50.323</v>
      </c>
      <c r="G18" s="4">
        <f t="shared" si="3"/>
        <v>18715.43</v>
      </c>
      <c r="H18" s="5">
        <v>0.61499999999999999</v>
      </c>
      <c r="I18" s="6">
        <f t="shared" si="4"/>
        <v>11509.989449999999</v>
      </c>
    </row>
    <row r="19" spans="2:9" x14ac:dyDescent="0.25">
      <c r="B19" s="3">
        <f t="shared" si="0"/>
        <v>43717</v>
      </c>
      <c r="C19" s="32">
        <f>3583743+1688847+3142374+9899335</f>
        <v>18314299</v>
      </c>
      <c r="D19" s="32">
        <f>10745+5199+2366+123</f>
        <v>18433</v>
      </c>
      <c r="E19" s="31">
        <f t="shared" si="1"/>
        <v>18314.298999999999</v>
      </c>
      <c r="F19" s="20">
        <f t="shared" si="2"/>
        <v>18.433</v>
      </c>
      <c r="G19" s="4">
        <f t="shared" si="3"/>
        <v>18295.865999999998</v>
      </c>
      <c r="H19" s="5">
        <v>0.61499999999999999</v>
      </c>
      <c r="I19" s="6">
        <f t="shared" si="4"/>
        <v>11251.957589999998</v>
      </c>
    </row>
    <row r="20" spans="2:9" x14ac:dyDescent="0.25">
      <c r="B20" s="3">
        <f t="shared" si="0"/>
        <v>43748</v>
      </c>
      <c r="C20" s="32">
        <f>3987783+229448+2532207+7943436</f>
        <v>14692874</v>
      </c>
      <c r="D20" s="32">
        <f>2892+8803+4520+2267</f>
        <v>18482</v>
      </c>
      <c r="E20" s="31">
        <f t="shared" si="1"/>
        <v>14692.874</v>
      </c>
      <c r="F20" s="20">
        <f t="shared" si="2"/>
        <v>18.481999999999999</v>
      </c>
      <c r="G20" s="4">
        <f t="shared" si="3"/>
        <v>14674.392</v>
      </c>
      <c r="H20" s="5">
        <v>0.61499999999999999</v>
      </c>
      <c r="I20" s="6">
        <f t="shared" si="4"/>
        <v>9024.75108</v>
      </c>
    </row>
    <row r="21" spans="2:9" x14ac:dyDescent="0.25">
      <c r="B21" s="3">
        <f t="shared" si="0"/>
        <v>43779</v>
      </c>
      <c r="C21" s="32">
        <f>2963347+770170+1465375+6075485</f>
        <v>11274377</v>
      </c>
      <c r="D21" s="32">
        <f>13510+7779+12796+1173</f>
        <v>35258</v>
      </c>
      <c r="E21" s="31">
        <f t="shared" si="1"/>
        <v>11274.377</v>
      </c>
      <c r="F21" s="20">
        <f t="shared" si="2"/>
        <v>35.258000000000003</v>
      </c>
      <c r="G21" s="4">
        <f t="shared" si="3"/>
        <v>11239.119000000001</v>
      </c>
      <c r="H21" s="5">
        <v>0.61499999999999999</v>
      </c>
      <c r="I21" s="6">
        <f t="shared" si="4"/>
        <v>6912.0581849999999</v>
      </c>
    </row>
    <row r="22" spans="2:9" x14ac:dyDescent="0.25">
      <c r="B22" s="3">
        <f t="shared" si="0"/>
        <v>43810</v>
      </c>
      <c r="C22" s="32">
        <f>1622341+487392+999613+3818401</f>
        <v>6927747</v>
      </c>
      <c r="D22" s="32">
        <f>28440+8499+7434+32155</f>
        <v>76528</v>
      </c>
      <c r="E22" s="31">
        <f t="shared" si="1"/>
        <v>6927.7470000000003</v>
      </c>
      <c r="F22" s="20">
        <f t="shared" si="2"/>
        <v>76.528000000000006</v>
      </c>
      <c r="G22" s="4">
        <f t="shared" si="3"/>
        <v>6851.2190000000001</v>
      </c>
      <c r="H22" s="5">
        <v>0.61499999999999999</v>
      </c>
      <c r="I22" s="6">
        <f t="shared" si="4"/>
        <v>4213.4996849999998</v>
      </c>
    </row>
    <row r="23" spans="2:9" x14ac:dyDescent="0.25">
      <c r="B23" s="3">
        <f>B22+30</f>
        <v>43840</v>
      </c>
      <c r="C23" s="32">
        <f>1566204+1823074+1352155+6053014</f>
        <v>10794447</v>
      </c>
      <c r="D23" s="32">
        <f>29227+4877+6280+22252</f>
        <v>62636</v>
      </c>
      <c r="E23" s="31">
        <f t="shared" si="1"/>
        <v>10794.447</v>
      </c>
      <c r="F23" s="20">
        <f t="shared" si="2"/>
        <v>62.636000000000003</v>
      </c>
      <c r="G23" s="4">
        <f t="shared" si="3"/>
        <v>10731.811</v>
      </c>
      <c r="H23" s="5">
        <v>0.61499999999999999</v>
      </c>
      <c r="I23" s="6">
        <f t="shared" si="4"/>
        <v>6600.0637649999999</v>
      </c>
    </row>
    <row r="24" spans="2:9" x14ac:dyDescent="0.25">
      <c r="B24" s="3">
        <f t="shared" si="0"/>
        <v>43871</v>
      </c>
      <c r="C24" s="32">
        <f>3390261+3188102+3457219+13281686</f>
        <v>23317268</v>
      </c>
      <c r="D24" s="32">
        <f>10531+2783+1962</f>
        <v>15276</v>
      </c>
      <c r="E24" s="31">
        <f t="shared" si="1"/>
        <v>23317.268</v>
      </c>
      <c r="F24" s="20">
        <f t="shared" si="2"/>
        <v>15.276</v>
      </c>
      <c r="G24" s="4">
        <f t="shared" si="3"/>
        <v>23301.991999999998</v>
      </c>
      <c r="H24" s="5">
        <v>0.61499999999999999</v>
      </c>
      <c r="I24" s="6">
        <f t="shared" si="4"/>
        <v>14330.725079999998</v>
      </c>
    </row>
    <row r="25" spans="2:9" x14ac:dyDescent="0.25">
      <c r="B25" s="3">
        <f>B24+31</f>
        <v>43902</v>
      </c>
      <c r="C25" s="32">
        <f>3327633+4451713+3568219+14700983</f>
        <v>26048548</v>
      </c>
      <c r="D25" s="32">
        <f>16331+323+2398</f>
        <v>19052</v>
      </c>
      <c r="E25" s="31">
        <f t="shared" si="1"/>
        <v>26048.547999999999</v>
      </c>
      <c r="F25" s="20">
        <f t="shared" si="2"/>
        <v>19.052</v>
      </c>
      <c r="G25" s="4">
        <f t="shared" si="3"/>
        <v>26029.495999999999</v>
      </c>
      <c r="H25" s="5">
        <v>0.61499999999999999</v>
      </c>
      <c r="I25" s="6">
        <f t="shared" si="4"/>
        <v>16008.140039999998</v>
      </c>
    </row>
    <row r="26" spans="2:9" x14ac:dyDescent="0.25">
      <c r="B26" s="3">
        <f t="shared" si="0"/>
        <v>43933</v>
      </c>
      <c r="C26" s="32">
        <f>4720616+4679261+4520702+17835482</f>
        <v>31756061</v>
      </c>
      <c r="D26" s="32">
        <f>4552+1049+1163+11</f>
        <v>6775</v>
      </c>
      <c r="E26" s="31">
        <f t="shared" si="1"/>
        <v>31756.061000000002</v>
      </c>
      <c r="F26" s="20">
        <f t="shared" si="2"/>
        <v>6.7750000000000004</v>
      </c>
      <c r="G26" s="4">
        <f t="shared" si="3"/>
        <v>31749.286</v>
      </c>
      <c r="H26" s="5">
        <v>0.61499999999999999</v>
      </c>
      <c r="I26" s="6">
        <f t="shared" si="4"/>
        <v>19525.810890000001</v>
      </c>
    </row>
    <row r="27" spans="2:9" x14ac:dyDescent="0.25">
      <c r="B27" s="3">
        <f t="shared" si="0"/>
        <v>43964</v>
      </c>
      <c r="C27" s="32">
        <f>4005973+4053959+3562409+14847241</f>
        <v>26469582</v>
      </c>
      <c r="D27" s="32">
        <f>5817+1312+1894</f>
        <v>9023</v>
      </c>
      <c r="E27" s="31">
        <f t="shared" si="1"/>
        <v>26469.581999999999</v>
      </c>
      <c r="F27" s="20">
        <f t="shared" si="2"/>
        <v>9.0229999999999997</v>
      </c>
      <c r="G27" s="4">
        <f t="shared" si="3"/>
        <v>26460.558999999997</v>
      </c>
      <c r="H27" s="5">
        <v>0.61499999999999999</v>
      </c>
      <c r="I27" s="6">
        <f t="shared" si="4"/>
        <v>16273.243784999999</v>
      </c>
    </row>
    <row r="28" spans="2:9" ht="42.75" x14ac:dyDescent="0.25">
      <c r="B28" s="7" t="s">
        <v>22</v>
      </c>
      <c r="C28" s="33">
        <f>SUM(C4:C10)</f>
        <v>83744112</v>
      </c>
      <c r="D28" s="33">
        <f>SUM(D4:D10)</f>
        <v>426318</v>
      </c>
      <c r="E28" s="33">
        <f>SUM(E4:E10)</f>
        <v>83744.111999999994</v>
      </c>
      <c r="F28" s="33">
        <f>SUM(F4:F10)</f>
        <v>426.31799999999998</v>
      </c>
      <c r="G28" s="35">
        <f>SUM(G4:G10)</f>
        <v>83317.793999999994</v>
      </c>
      <c r="H28" s="5">
        <v>0.61499999999999999</v>
      </c>
      <c r="I28" s="33">
        <f>SUM(I4:I10)</f>
        <v>51240.443309999995</v>
      </c>
    </row>
    <row r="29" spans="2:9" ht="42.75" x14ac:dyDescent="0.25">
      <c r="B29" s="7" t="s">
        <v>23</v>
      </c>
      <c r="C29" s="33">
        <f>SUM(C11:C22)</f>
        <v>266289850</v>
      </c>
      <c r="D29" s="33">
        <f>SUM(D11:D22)</f>
        <v>294432</v>
      </c>
      <c r="E29" s="33">
        <f>SUM(E11:E22)</f>
        <v>266289.84999999998</v>
      </c>
      <c r="F29" s="33">
        <f>SUM(F11:F22)</f>
        <v>294.43200000000002</v>
      </c>
      <c r="G29" s="35">
        <f>SUM(G11:G22)</f>
        <v>265995.41800000001</v>
      </c>
      <c r="H29" s="5">
        <v>0.61499999999999999</v>
      </c>
      <c r="I29" s="33">
        <f>SUM(I11:I22)</f>
        <v>163587.18206999998</v>
      </c>
    </row>
    <row r="30" spans="2:9" ht="42.75" x14ac:dyDescent="0.25">
      <c r="B30" s="7" t="s">
        <v>24</v>
      </c>
      <c r="C30" s="33">
        <f>SUM(C23:C27)</f>
        <v>118385906</v>
      </c>
      <c r="D30" s="33">
        <f>SUM(D23:D27)</f>
        <v>112762</v>
      </c>
      <c r="E30" s="33">
        <f>SUM(E23:E27)</f>
        <v>118385.90599999999</v>
      </c>
      <c r="F30" s="33">
        <f>SUM(F23:F27)</f>
        <v>112.762</v>
      </c>
      <c r="G30" s="35">
        <f>SUM(G23:G27)</f>
        <v>118273.14399999999</v>
      </c>
      <c r="H30" s="5">
        <v>0.61499999999999999</v>
      </c>
      <c r="I30" s="33">
        <f>SUM(I23:I27)</f>
        <v>72737.983559999993</v>
      </c>
    </row>
    <row r="31" spans="2:9" x14ac:dyDescent="0.25">
      <c r="B31" s="7" t="s">
        <v>6</v>
      </c>
      <c r="C31" s="33">
        <f>SUM(C28:C30)</f>
        <v>468419868</v>
      </c>
      <c r="D31" s="33">
        <f>SUM(D28:D30)</f>
        <v>833512</v>
      </c>
      <c r="E31" s="33">
        <f t="shared" ref="E31:I31" si="5">SUM(E28:E30)</f>
        <v>468419.8679999999</v>
      </c>
      <c r="F31" s="33">
        <f t="shared" si="5"/>
        <v>833.51199999999994</v>
      </c>
      <c r="G31" s="35">
        <f t="shared" si="5"/>
        <v>467586.35599999997</v>
      </c>
      <c r="H31" s="5">
        <v>0.61499999999999999</v>
      </c>
      <c r="I31" s="33">
        <f t="shared" si="5"/>
        <v>287565.60893999995</v>
      </c>
    </row>
  </sheetData>
  <pageMargins left="0.7" right="0.7" top="0.75" bottom="0.75" header="0.3" footer="0.3"/>
  <pageSetup paperSize="121" orientation="portrait" horizontalDpi="203" verticalDpi="203" r:id="rId1"/>
  <ignoredErrors>
    <ignoredError sqref="B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C0DE-B444-4316-B7B4-FA548621812F}">
  <dimension ref="A1:N7"/>
  <sheetViews>
    <sheetView showGridLines="0" topLeftCell="A2" workbookViewId="0">
      <selection activeCell="B3" sqref="B3:H7"/>
    </sheetView>
  </sheetViews>
  <sheetFormatPr defaultRowHeight="15" x14ac:dyDescent="0.25"/>
  <cols>
    <col min="1" max="1" width="8.85546875" style="8"/>
    <col min="2" max="2" width="8.42578125" style="8" bestFit="1" customWidth="1"/>
    <col min="3" max="3" width="23.140625" style="8" bestFit="1" customWidth="1"/>
    <col min="4" max="4" width="11.28515625" style="8" bestFit="1" customWidth="1"/>
    <col min="5" max="5" width="15.28515625" style="8" bestFit="1" customWidth="1"/>
    <col min="6" max="6" width="10.7109375" style="8" bestFit="1" customWidth="1"/>
    <col min="7" max="7" width="11" style="8" customWidth="1"/>
    <col min="8" max="8" width="11.7109375" style="8" customWidth="1"/>
    <col min="9" max="12" width="8.85546875" style="8"/>
    <col min="13" max="13" width="24.5703125" style="8" customWidth="1"/>
    <col min="14" max="14" width="8.85546875" style="8"/>
  </cols>
  <sheetData>
    <row r="1" spans="2:14" ht="73.150000000000006" customHeight="1" x14ac:dyDescent="0.25">
      <c r="L1" s="26" t="s">
        <v>7</v>
      </c>
      <c r="M1" s="27"/>
      <c r="N1" s="9">
        <v>147566</v>
      </c>
    </row>
    <row r="3" spans="2:14" ht="81" x14ac:dyDescent="0.25">
      <c r="B3" s="10" t="s">
        <v>8</v>
      </c>
      <c r="C3" s="10" t="s">
        <v>9</v>
      </c>
      <c r="D3" s="10" t="s">
        <v>10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4" ht="28.5" x14ac:dyDescent="0.25">
      <c r="B4" s="12">
        <v>2018</v>
      </c>
      <c r="C4" s="34" t="s">
        <v>22</v>
      </c>
      <c r="D4" s="13">
        <v>214</v>
      </c>
      <c r="E4" s="14">
        <f>'Baseline Emissions'!I28</f>
        <v>51240.443309999995</v>
      </c>
      <c r="F4" s="14">
        <f>N1/365*D4</f>
        <v>86518.147945205477</v>
      </c>
      <c r="G4" s="14">
        <f>E4-F4</f>
        <v>-35277.704635205482</v>
      </c>
      <c r="H4" s="15">
        <f>G4/F4</f>
        <v>-0.40774918873145438</v>
      </c>
    </row>
    <row r="5" spans="2:14" ht="28.5" x14ac:dyDescent="0.25">
      <c r="B5" s="12">
        <v>2019</v>
      </c>
      <c r="C5" s="34" t="s">
        <v>23</v>
      </c>
      <c r="D5" s="13">
        <v>365</v>
      </c>
      <c r="E5" s="14">
        <f>'Baseline Emissions'!I29</f>
        <v>163587.18206999998</v>
      </c>
      <c r="F5" s="14">
        <f>$N$1</f>
        <v>147566</v>
      </c>
      <c r="G5" s="14">
        <f t="shared" ref="G5:G6" si="0">E5-F5</f>
        <v>16021.182069999981</v>
      </c>
      <c r="H5" s="15">
        <f t="shared" ref="H5:H7" si="1">G5/F5</f>
        <v>0.10856960322838581</v>
      </c>
    </row>
    <row r="6" spans="2:14" ht="28.5" x14ac:dyDescent="0.25">
      <c r="B6" s="12">
        <v>2020</v>
      </c>
      <c r="C6" s="34" t="s">
        <v>24</v>
      </c>
      <c r="D6" s="13">
        <v>152</v>
      </c>
      <c r="E6" s="14">
        <f>'Baseline Emissions'!I30</f>
        <v>72737.983559999993</v>
      </c>
      <c r="F6" s="14">
        <f>N1/365*D6</f>
        <v>61452.142465753423</v>
      </c>
      <c r="G6" s="14">
        <f t="shared" si="0"/>
        <v>11285.841094246571</v>
      </c>
      <c r="H6" s="15">
        <f t="shared" si="1"/>
        <v>0.18365252441013005</v>
      </c>
    </row>
    <row r="7" spans="2:14" x14ac:dyDescent="0.25">
      <c r="B7" s="16" t="s">
        <v>6</v>
      </c>
      <c r="C7" s="16"/>
      <c r="D7" s="17">
        <f>SUM(D4:D6)</f>
        <v>731</v>
      </c>
      <c r="E7" s="17">
        <f>SUM(E4:E6)</f>
        <v>287565.60893999995</v>
      </c>
      <c r="F7" s="18">
        <f>SUM(F4:F6)</f>
        <v>295536.29041095893</v>
      </c>
      <c r="G7" s="17">
        <f>E7-F7</f>
        <v>-7970.6814709589817</v>
      </c>
      <c r="H7" s="19">
        <f t="shared" si="1"/>
        <v>-2.6970229137935398E-2</v>
      </c>
    </row>
  </sheetData>
  <mergeCells count="1">
    <mergeCell ref="L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E17C-5417-4E20-AAA5-4BE4CFFD5765}">
  <dimension ref="B3:F7"/>
  <sheetViews>
    <sheetView showGridLines="0" workbookViewId="0">
      <selection activeCell="C7" sqref="C7"/>
    </sheetView>
  </sheetViews>
  <sheetFormatPr defaultRowHeight="15" x14ac:dyDescent="0.25"/>
  <cols>
    <col min="2" max="2" width="29.28515625" customWidth="1"/>
    <col min="3" max="3" width="22" customWidth="1"/>
    <col min="5" max="5" width="19.5703125" bestFit="1" customWidth="1"/>
    <col min="6" max="6" width="13.7109375" bestFit="1" customWidth="1"/>
  </cols>
  <sheetData>
    <row r="3" spans="2:6" x14ac:dyDescent="0.25">
      <c r="B3" s="28" t="s">
        <v>18</v>
      </c>
      <c r="C3" s="29"/>
      <c r="E3" s="28" t="s">
        <v>19</v>
      </c>
      <c r="F3" s="29"/>
    </row>
    <row r="4" spans="2:6" x14ac:dyDescent="0.25">
      <c r="B4" s="20" t="s">
        <v>15</v>
      </c>
      <c r="C4" s="21">
        <v>23889000</v>
      </c>
      <c r="E4" s="20" t="s">
        <v>15</v>
      </c>
      <c r="F4" s="21">
        <v>37815000</v>
      </c>
    </row>
    <row r="5" spans="2:6" x14ac:dyDescent="0.25">
      <c r="B5" s="20" t="s">
        <v>16</v>
      </c>
      <c r="C5" s="21">
        <v>1621425.95</v>
      </c>
      <c r="E5" s="20" t="s">
        <v>16</v>
      </c>
      <c r="F5" s="21">
        <v>1648560.79</v>
      </c>
    </row>
    <row r="6" spans="2:6" x14ac:dyDescent="0.25">
      <c r="B6" s="20"/>
      <c r="C6" s="22"/>
      <c r="E6" s="20"/>
      <c r="F6" s="22"/>
    </row>
    <row r="7" spans="2:6" x14ac:dyDescent="0.25">
      <c r="B7" s="20" t="s">
        <v>17</v>
      </c>
      <c r="C7" s="23">
        <f>C4/C5</f>
        <v>14.73332778471937</v>
      </c>
      <c r="E7" s="20" t="s">
        <v>17</v>
      </c>
      <c r="F7" s="23">
        <f>F4/F5</f>
        <v>22.93818961932244</v>
      </c>
    </row>
  </sheetData>
  <mergeCells count="2"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Baseline Emissions</vt:lpstr>
      <vt:lpstr>Comp.of Baseline Emissions</vt:lpstr>
      <vt:lpstr>Power Density Calculation</vt:lpstr>
      <vt:lpstr>'Power Density Calculation'!_ftnref1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</dc:creator>
  <cp:lastModifiedBy>Sila Kilic</cp:lastModifiedBy>
  <dcterms:created xsi:type="dcterms:W3CDTF">2015-06-05T18:17:20Z</dcterms:created>
  <dcterms:modified xsi:type="dcterms:W3CDTF">2022-01-03T12:51:00Z</dcterms:modified>
</cp:coreProperties>
</file>