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Shared with Me\Vipul Sahu_Ongoing Projects\3. GS4GG Projects\20240930 Submission Docs_VS GCER 036 GS 7154 Chnaju Hydro\Working\20250908 Deviation Approved PRR Work shared to DOE\"/>
    </mc:Choice>
  </mc:AlternateContent>
  <xr:revisionPtr revIDLastSave="0" documentId="13_ncr:1_{03E9EAD8-7E59-4E07-9CA8-DF19DE0CFD11}" xr6:coauthVersionLast="47" xr6:coauthVersionMax="47" xr10:uidLastSave="{00000000-0000-0000-0000-000000000000}"/>
  <bookViews>
    <workbookView xWindow="-108" yWindow="-108" windowWidth="23256" windowHeight="12456" activeTab="4" xr2:uid="{00000000-000D-0000-FFFF-FFFF00000000}"/>
  </bookViews>
  <sheets>
    <sheet name="ER" sheetId="30" r:id="rId1"/>
    <sheet name="Daily data" sheetId="29" r:id="rId2"/>
    <sheet name="PE" sheetId="31" r:id="rId3"/>
    <sheet name="JMR" sheetId="27" r:id="rId4"/>
    <sheet name="PLF Justification" sheetId="32" r:id="rId5"/>
  </sheets>
  <externalReferences>
    <externalReference r:id="rId6"/>
  </externalReferences>
  <definedNames>
    <definedName name="_msoanchor_1">#REF!</definedName>
    <definedName name="Aux_Coal">[1]Assumptions!$D$17</definedName>
    <definedName name="Aux_CoalR1">#REF!</definedName>
    <definedName name="Aux_CoalR2">[1]Assumptions!$E$30</definedName>
    <definedName name="Aux_CoalR3">[1]Assumptions!$F$30</definedName>
    <definedName name="Aux_CoalR4">[1]Assumptions!$G$30</definedName>
    <definedName name="Aux_CoalR5">#REF!</definedName>
    <definedName name="Aux_Diesel">[1]Assumptions!$I$17</definedName>
    <definedName name="Aux_DieselOC">#REF!</definedName>
    <definedName name="Aux_Gas">[1]Assumptions!$F$17</definedName>
    <definedName name="Aux_GasOC">[1]Assumptions!$G$17</definedName>
    <definedName name="Aux_Hydro">[1]Assumptions!$L$17</definedName>
    <definedName name="Aux_Lign">[1]Assumptions!$E$17</definedName>
    <definedName name="Aux_LignR1">#REF!</definedName>
    <definedName name="Aux_LignR2">#REF!</definedName>
    <definedName name="Aux_LignR3">#REF!</definedName>
    <definedName name="Aux_Napt">[1]Assumptions!$K$17</definedName>
    <definedName name="Aux_Nuclear">[1]Assumptions!$M$17</definedName>
    <definedName name="Aux_Oil">[1]Assumptions!$H$17</definedName>
    <definedName name="Bottom_ash">#REF!</definedName>
    <definedName name="Density_Diesel">[1]Assumptions!$I$22</definedName>
    <definedName name="Density_DieselOC">#REF!</definedName>
    <definedName name="Density_Naphta">[1]Assumptions!$K$22</definedName>
    <definedName name="Density_Oil">[1]Assumptions!$H$22</definedName>
    <definedName name="DGR">#REF!</definedName>
    <definedName name="EEEEE">#REF!</definedName>
    <definedName name="EEEEEE">#REF!</definedName>
    <definedName name="Fly_ash">#REF!</definedName>
    <definedName name="GCV_Coal">[1]Assumptions!$D$21</definedName>
    <definedName name="GCV_Diesel">[1]Assumptions!$I$21</definedName>
    <definedName name="GCV_DieselOC">#REF!</definedName>
    <definedName name="GCV_Gas">[1]Assumptions!$F$21</definedName>
    <definedName name="GCV_Naphta">[1]Assumptions!$K$21</definedName>
    <definedName name="GCV_Oil">[1]Assumptions!$H$21</definedName>
    <definedName name="I22Density_Naphta">#REF!</definedName>
    <definedName name="kJ_kcal">[1]Assumptions!$D$66</definedName>
    <definedName name="MJ_kWh">#REF!</definedName>
    <definedName name="OpHours_Hydro">#REF!</definedName>
    <definedName name="PLF_Gas">#REF!</definedName>
    <definedName name="SpecCons_OillF2">[1]Assumptions!$D$20</definedName>
    <definedName name="SpecCons_OillF2_Lign">#REF!</definedName>
    <definedName name="SpecEm_Coal">[1]Assumptions!$D$23</definedName>
    <definedName name="SpecEm_CoalR1">#REF!</definedName>
    <definedName name="SpecEm_CoalR2">[1]Assumptions!$E$34</definedName>
    <definedName name="SpecEm_CoalR3">[1]Assumptions!$F$34</definedName>
    <definedName name="SpecEm_CoalR4">[1]Assumptions!$G$34</definedName>
    <definedName name="SpecEm_CoalR5">#REF!</definedName>
    <definedName name="SpecEm_Diesel">[1]Assumptions!$I$23</definedName>
    <definedName name="SpecEm_DieselOC">[1]Assumptions!$J$23</definedName>
    <definedName name="SpecEm_DieselR1">#REF!</definedName>
    <definedName name="SpecEm_DieselR2">#REF!</definedName>
    <definedName name="SpecEm_DieselR3">[1]Assumptions!$F$52</definedName>
    <definedName name="SpecEm_DieselR4">[1]Assumptions!$G$52</definedName>
    <definedName name="SpecEm_Gas">[1]Assumptions!$F$23</definedName>
    <definedName name="SpecEm_GasOC">[1]Assumptions!$G$23</definedName>
    <definedName name="SpecEm_GasR1">[1]Assumptions!$D$47</definedName>
    <definedName name="SpecEm_GasR2">[1]Assumptions!$E$47</definedName>
    <definedName name="SpecEm_GasR3">[1]Assumptions!$F$47</definedName>
    <definedName name="SpecEm_GasR4">#REF!</definedName>
    <definedName name="SpecEm_Lignite">[1]Assumptions!$E$23</definedName>
    <definedName name="SpecEm_LignR1">#REF!</definedName>
    <definedName name="SpecEm_LignR2">#REF!</definedName>
    <definedName name="SpecEm_LignR3">#REF!</definedName>
    <definedName name="SpecEm_Naphta">[1]Assumptions!$D$58</definedName>
    <definedName name="SpecEm_Oil">[1]Assumptions!$H$23</definedName>
    <definedName name="Weight_BM">[1]Assumptions!$D$63</definedName>
    <definedName name="Weight_OM">[1]Assumptions!$D$62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 i="32" l="1"/>
  <c r="K5" i="32"/>
  <c r="E5" i="32"/>
  <c r="H5" i="32"/>
  <c r="H6" i="32"/>
  <c r="H7" i="32"/>
  <c r="H8" i="32"/>
  <c r="H9" i="32"/>
  <c r="H10" i="32"/>
  <c r="H11" i="32"/>
  <c r="H16" i="32"/>
  <c r="D15" i="30"/>
  <c r="H15" i="32" l="1"/>
  <c r="H14" i="32"/>
  <c r="H13" i="32"/>
  <c r="H12" i="32"/>
  <c r="G17" i="32"/>
  <c r="F17" i="32"/>
  <c r="I5" i="32" l="1"/>
  <c r="O5" i="32"/>
  <c r="H17" i="32"/>
  <c r="B37" i="30"/>
  <c r="B4" i="27"/>
  <c r="B4" i="29"/>
  <c r="F33" i="30" l="1"/>
  <c r="E33" i="30"/>
  <c r="I37" i="30" l="1"/>
  <c r="D10" i="30" l="1"/>
  <c r="D9" i="30" l="1"/>
  <c r="E3" i="29"/>
  <c r="D3" i="29"/>
  <c r="E4" i="27"/>
  <c r="E5" i="27"/>
  <c r="E6" i="27"/>
  <c r="D11" i="30" l="1"/>
  <c r="F27" i="29"/>
  <c r="I27" i="29"/>
  <c r="J27" i="29" s="1"/>
  <c r="F28" i="29"/>
  <c r="I28" i="29"/>
  <c r="J28" i="29" s="1"/>
  <c r="F29" i="29"/>
  <c r="I29" i="29"/>
  <c r="J29" i="29" s="1"/>
  <c r="F30" i="29"/>
  <c r="I30" i="29"/>
  <c r="J30" i="29" s="1"/>
  <c r="C31" i="29"/>
  <c r="D31" i="29"/>
  <c r="D37" i="30" s="1"/>
  <c r="E31" i="29"/>
  <c r="G31" i="29"/>
  <c r="H31" i="29"/>
  <c r="F32" i="29"/>
  <c r="I32" i="29"/>
  <c r="J32" i="29" s="1"/>
  <c r="F33" i="29"/>
  <c r="I33" i="29"/>
  <c r="J33" i="29" s="1"/>
  <c r="F34" i="29"/>
  <c r="I34" i="29"/>
  <c r="J34" i="29" s="1"/>
  <c r="F35" i="29"/>
  <c r="I35" i="29"/>
  <c r="F36" i="29"/>
  <c r="I36" i="29"/>
  <c r="J36" i="29" s="1"/>
  <c r="F37" i="29"/>
  <c r="I37" i="29"/>
  <c r="J37" i="29" s="1"/>
  <c r="F38" i="29"/>
  <c r="I38" i="29"/>
  <c r="J38" i="29" s="1"/>
  <c r="F39" i="29"/>
  <c r="I39" i="29"/>
  <c r="J39" i="29" s="1"/>
  <c r="F40" i="29"/>
  <c r="I40" i="29"/>
  <c r="J40" i="29" s="1"/>
  <c r="F41" i="29"/>
  <c r="I41" i="29"/>
  <c r="J41" i="29" s="1"/>
  <c r="F42" i="29"/>
  <c r="I42" i="29"/>
  <c r="F43" i="29"/>
  <c r="I43" i="29"/>
  <c r="J43" i="29" s="1"/>
  <c r="F44" i="29"/>
  <c r="I44" i="29"/>
  <c r="J44" i="29" s="1"/>
  <c r="F45" i="29"/>
  <c r="I45" i="29"/>
  <c r="J45" i="29" s="1"/>
  <c r="F46" i="29"/>
  <c r="I46" i="29"/>
  <c r="J46" i="29" s="1"/>
  <c r="F47" i="29"/>
  <c r="I47" i="29"/>
  <c r="J47" i="29" s="1"/>
  <c r="F48" i="29"/>
  <c r="I48" i="29"/>
  <c r="J48" i="29" s="1"/>
  <c r="F49" i="29"/>
  <c r="I49" i="29"/>
  <c r="F50" i="29"/>
  <c r="I50" i="29"/>
  <c r="J50" i="29" s="1"/>
  <c r="F51" i="29"/>
  <c r="I51" i="29"/>
  <c r="J51" i="29" s="1"/>
  <c r="F52" i="29"/>
  <c r="I52" i="29"/>
  <c r="J52" i="29" s="1"/>
  <c r="F53" i="29"/>
  <c r="I53" i="29"/>
  <c r="J53" i="29" s="1"/>
  <c r="F54" i="29"/>
  <c r="I54" i="29"/>
  <c r="J54" i="29" s="1"/>
  <c r="D26" i="30" l="1"/>
  <c r="D16" i="30"/>
  <c r="D27" i="30" s="1"/>
  <c r="J35" i="29"/>
  <c r="E5" i="29"/>
  <c r="D5" i="29"/>
  <c r="D4" i="29"/>
  <c r="J42" i="29"/>
  <c r="E6" i="29"/>
  <c r="F31" i="29"/>
  <c r="D6" i="29"/>
  <c r="J49" i="29"/>
  <c r="J31" i="29"/>
  <c r="E4" i="29"/>
  <c r="I31" i="29"/>
  <c r="E37" i="30" s="1"/>
  <c r="F37" i="30" s="1"/>
  <c r="F6" i="29" l="1"/>
  <c r="F6" i="27" s="1"/>
  <c r="G6" i="27" s="1"/>
  <c r="F5" i="29"/>
  <c r="F5" i="27" s="1"/>
  <c r="G5" i="27" s="1"/>
  <c r="F4" i="29"/>
  <c r="F4" i="27" s="1"/>
  <c r="G4" i="27" s="1"/>
  <c r="G42" i="30" l="1"/>
  <c r="E7" i="31" l="1"/>
  <c r="D22" i="27" l="1"/>
  <c r="E7" i="27"/>
  <c r="E8" i="27"/>
  <c r="E9" i="27"/>
  <c r="E10" i="27"/>
  <c r="E11" i="27"/>
  <c r="E12" i="27"/>
  <c r="E13" i="27"/>
  <c r="E14" i="27"/>
  <c r="E15" i="27"/>
  <c r="E16" i="27"/>
  <c r="E17" i="27"/>
  <c r="E18" i="27"/>
  <c r="E19" i="27"/>
  <c r="E20" i="27"/>
  <c r="E21" i="27"/>
  <c r="E22" i="27" l="1"/>
  <c r="I156" i="29" l="1"/>
  <c r="J156" i="29" s="1"/>
  <c r="I155" i="29"/>
  <c r="J155" i="29" s="1"/>
  <c r="I154" i="29"/>
  <c r="J154" i="29" s="1"/>
  <c r="I153" i="29"/>
  <c r="J153" i="29" s="1"/>
  <c r="I152" i="29"/>
  <c r="J152" i="29" s="1"/>
  <c r="I151" i="29"/>
  <c r="J151" i="29" s="1"/>
  <c r="I150" i="29"/>
  <c r="I149" i="29"/>
  <c r="J149" i="29" s="1"/>
  <c r="I148" i="29"/>
  <c r="J148" i="29" s="1"/>
  <c r="I147" i="29"/>
  <c r="J147" i="29" s="1"/>
  <c r="I146" i="29"/>
  <c r="J146" i="29" s="1"/>
  <c r="I145" i="29"/>
  <c r="J145" i="29" s="1"/>
  <c r="I144" i="29"/>
  <c r="J144" i="29" s="1"/>
  <c r="I143" i="29"/>
  <c r="I142" i="29"/>
  <c r="J142" i="29" s="1"/>
  <c r="I141" i="29"/>
  <c r="J141" i="29" s="1"/>
  <c r="I140" i="29"/>
  <c r="J140" i="29" s="1"/>
  <c r="I139" i="29"/>
  <c r="J139" i="29" s="1"/>
  <c r="I138" i="29"/>
  <c r="J138" i="29" s="1"/>
  <c r="I137" i="29"/>
  <c r="J137" i="29" s="1"/>
  <c r="I136" i="29"/>
  <c r="I135" i="29"/>
  <c r="J135" i="29" s="1"/>
  <c r="I134" i="29"/>
  <c r="J134" i="29" s="1"/>
  <c r="I133" i="29"/>
  <c r="J133" i="29" s="1"/>
  <c r="I132" i="29"/>
  <c r="J132" i="29" s="1"/>
  <c r="I131" i="29"/>
  <c r="J131" i="29" s="1"/>
  <c r="I130" i="29"/>
  <c r="J130" i="29" s="1"/>
  <c r="I129" i="29"/>
  <c r="I128" i="29"/>
  <c r="J128" i="29" s="1"/>
  <c r="I127" i="29"/>
  <c r="I125" i="29"/>
  <c r="J125" i="29" s="1"/>
  <c r="I124" i="29"/>
  <c r="J124" i="29" s="1"/>
  <c r="I123" i="29"/>
  <c r="J123" i="29" s="1"/>
  <c r="I122" i="29"/>
  <c r="J122" i="29" s="1"/>
  <c r="I121" i="29"/>
  <c r="I120" i="29"/>
  <c r="J120" i="29" s="1"/>
  <c r="I119" i="29"/>
  <c r="J119" i="29" s="1"/>
  <c r="I118" i="29"/>
  <c r="J118" i="29" s="1"/>
  <c r="I117" i="29"/>
  <c r="J117" i="29" s="1"/>
  <c r="I116" i="29"/>
  <c r="J116" i="29" s="1"/>
  <c r="I115" i="29"/>
  <c r="J115" i="29" s="1"/>
  <c r="I114" i="29"/>
  <c r="I113" i="29"/>
  <c r="J113" i="29" s="1"/>
  <c r="I112" i="29"/>
  <c r="J112" i="29" s="1"/>
  <c r="I111" i="29"/>
  <c r="J111" i="29" s="1"/>
  <c r="I110" i="29"/>
  <c r="J110" i="29" s="1"/>
  <c r="I109" i="29"/>
  <c r="J109" i="29" s="1"/>
  <c r="I108" i="29"/>
  <c r="J108" i="29" s="1"/>
  <c r="I107" i="29"/>
  <c r="I106" i="29"/>
  <c r="J106" i="29" s="1"/>
  <c r="I105" i="29"/>
  <c r="J105" i="29" s="1"/>
  <c r="I104" i="29"/>
  <c r="J104" i="29" s="1"/>
  <c r="I103" i="29"/>
  <c r="J103" i="29" s="1"/>
  <c r="I102" i="29"/>
  <c r="J102" i="29" s="1"/>
  <c r="I101" i="29"/>
  <c r="J101" i="29" s="1"/>
  <c r="I100" i="29"/>
  <c r="I99" i="29"/>
  <c r="J99" i="29" s="1"/>
  <c r="I98" i="29"/>
  <c r="J98" i="29" s="1"/>
  <c r="I97" i="29"/>
  <c r="J97" i="29" s="1"/>
  <c r="I96" i="29"/>
  <c r="I95" i="29"/>
  <c r="J95" i="29" s="1"/>
  <c r="I93" i="29"/>
  <c r="J93" i="29" s="1"/>
  <c r="I92" i="29"/>
  <c r="I91" i="29"/>
  <c r="J91" i="29" s="1"/>
  <c r="I90" i="29"/>
  <c r="J90" i="29" s="1"/>
  <c r="I89" i="29"/>
  <c r="J89" i="29" s="1"/>
  <c r="I88" i="29"/>
  <c r="J88" i="29" s="1"/>
  <c r="I87" i="29"/>
  <c r="J87" i="29" s="1"/>
  <c r="I86" i="29"/>
  <c r="J86" i="29" s="1"/>
  <c r="I85" i="29"/>
  <c r="I84" i="29"/>
  <c r="J84" i="29" s="1"/>
  <c r="I83" i="29"/>
  <c r="J83" i="29" s="1"/>
  <c r="I82" i="29"/>
  <c r="J82" i="29" s="1"/>
  <c r="I81" i="29"/>
  <c r="J81" i="29" s="1"/>
  <c r="I80" i="29"/>
  <c r="J80" i="29" s="1"/>
  <c r="I79" i="29"/>
  <c r="J79" i="29" s="1"/>
  <c r="I78" i="29"/>
  <c r="I77" i="29"/>
  <c r="J77" i="29" s="1"/>
  <c r="I76" i="29"/>
  <c r="J76" i="29" s="1"/>
  <c r="I75" i="29"/>
  <c r="J75" i="29" s="1"/>
  <c r="I74" i="29"/>
  <c r="J74" i="29" s="1"/>
  <c r="I73" i="29"/>
  <c r="J73" i="29" s="1"/>
  <c r="I72" i="29"/>
  <c r="J72" i="29" s="1"/>
  <c r="I71" i="29"/>
  <c r="I70" i="29"/>
  <c r="J70" i="29" s="1"/>
  <c r="I69" i="29"/>
  <c r="J69" i="29" s="1"/>
  <c r="I68" i="29"/>
  <c r="J68" i="29" s="1"/>
  <c r="I67" i="29"/>
  <c r="J67" i="29" s="1"/>
  <c r="I66" i="29"/>
  <c r="J66" i="29" s="1"/>
  <c r="I65" i="29"/>
  <c r="J65" i="29" s="1"/>
  <c r="I64" i="29"/>
  <c r="I62" i="29"/>
  <c r="J62" i="29" s="1"/>
  <c r="I61" i="29"/>
  <c r="J61" i="29" s="1"/>
  <c r="I60" i="29"/>
  <c r="J60" i="29" s="1"/>
  <c r="I59" i="29"/>
  <c r="J59" i="29" s="1"/>
  <c r="I58" i="29"/>
  <c r="J58" i="29" s="1"/>
  <c r="I57" i="29"/>
  <c r="J57" i="29" s="1"/>
  <c r="I56" i="29"/>
  <c r="I55" i="29"/>
  <c r="F156" i="29"/>
  <c r="F155" i="29"/>
  <c r="F154" i="29"/>
  <c r="F153" i="29"/>
  <c r="F152" i="29"/>
  <c r="F151" i="29"/>
  <c r="F150" i="29"/>
  <c r="F149" i="29"/>
  <c r="F148" i="29"/>
  <c r="F147" i="29"/>
  <c r="F146" i="29"/>
  <c r="F145" i="29"/>
  <c r="F144" i="29"/>
  <c r="F143" i="29"/>
  <c r="F142" i="29"/>
  <c r="F141" i="29"/>
  <c r="F140" i="29"/>
  <c r="F139" i="29"/>
  <c r="F138" i="29"/>
  <c r="F137" i="29"/>
  <c r="F136" i="29"/>
  <c r="F135" i="29"/>
  <c r="F134" i="29"/>
  <c r="F133" i="29"/>
  <c r="F132" i="29"/>
  <c r="F131" i="29"/>
  <c r="F130" i="29"/>
  <c r="F129" i="29"/>
  <c r="F128" i="29"/>
  <c r="F127" i="29"/>
  <c r="F125" i="29"/>
  <c r="F124" i="29"/>
  <c r="F123" i="29"/>
  <c r="F122" i="29"/>
  <c r="F121" i="29"/>
  <c r="F120" i="29"/>
  <c r="F119" i="29"/>
  <c r="F118" i="29"/>
  <c r="F117" i="29"/>
  <c r="F116" i="29"/>
  <c r="F115" i="29"/>
  <c r="F114" i="29"/>
  <c r="F113" i="29"/>
  <c r="F112" i="29"/>
  <c r="F111" i="29"/>
  <c r="F110" i="29"/>
  <c r="F109" i="29"/>
  <c r="F108" i="29"/>
  <c r="F107" i="29"/>
  <c r="F106" i="29"/>
  <c r="F105" i="29"/>
  <c r="F104" i="29"/>
  <c r="F103" i="29"/>
  <c r="F102" i="29"/>
  <c r="F101" i="29"/>
  <c r="F100" i="29"/>
  <c r="F99" i="29"/>
  <c r="F98" i="29"/>
  <c r="F97" i="29"/>
  <c r="F96" i="29"/>
  <c r="F95" i="29"/>
  <c r="F93" i="29"/>
  <c r="F92" i="29"/>
  <c r="F91" i="29"/>
  <c r="F90" i="29"/>
  <c r="F89" i="29"/>
  <c r="F88" i="29"/>
  <c r="F87" i="29"/>
  <c r="F86" i="29"/>
  <c r="F85" i="29"/>
  <c r="F84" i="29"/>
  <c r="F83" i="29"/>
  <c r="F82" i="29"/>
  <c r="F81" i="29"/>
  <c r="F80" i="29"/>
  <c r="F79" i="29"/>
  <c r="F78" i="29"/>
  <c r="F77" i="29"/>
  <c r="F76" i="29"/>
  <c r="F75" i="29"/>
  <c r="F74" i="29"/>
  <c r="F73" i="29"/>
  <c r="F72" i="29"/>
  <c r="F71" i="29"/>
  <c r="F70" i="29"/>
  <c r="F69" i="29"/>
  <c r="F68" i="29"/>
  <c r="F67" i="29"/>
  <c r="F66" i="29"/>
  <c r="F65" i="29"/>
  <c r="F64" i="29"/>
  <c r="F62" i="29"/>
  <c r="F61" i="29"/>
  <c r="F60" i="29"/>
  <c r="F59" i="29"/>
  <c r="F58" i="29"/>
  <c r="F57" i="29"/>
  <c r="F56" i="29"/>
  <c r="F55" i="29"/>
  <c r="D7" i="29" s="1"/>
  <c r="D157" i="29"/>
  <c r="E157" i="29"/>
  <c r="G157" i="29"/>
  <c r="H157" i="29"/>
  <c r="C157" i="29"/>
  <c r="D126" i="29"/>
  <c r="E126" i="29"/>
  <c r="G126" i="29"/>
  <c r="H126" i="29"/>
  <c r="C126" i="29"/>
  <c r="D94" i="29"/>
  <c r="E94" i="29"/>
  <c r="G94" i="29"/>
  <c r="H94" i="29"/>
  <c r="C94" i="29"/>
  <c r="D63" i="29"/>
  <c r="E63" i="29"/>
  <c r="G63" i="29"/>
  <c r="H63" i="29"/>
  <c r="C63" i="29"/>
  <c r="D10" i="29" l="1"/>
  <c r="D18" i="29"/>
  <c r="D17" i="29"/>
  <c r="D9" i="29"/>
  <c r="J85" i="29"/>
  <c r="E12" i="29"/>
  <c r="D8" i="29"/>
  <c r="D16" i="29"/>
  <c r="J78" i="29"/>
  <c r="E11" i="29"/>
  <c r="J136" i="29"/>
  <c r="E19" i="29"/>
  <c r="J143" i="29"/>
  <c r="E20" i="29"/>
  <c r="D15" i="29"/>
  <c r="J71" i="29"/>
  <c r="J94" i="29" s="1"/>
  <c r="E10" i="29"/>
  <c r="F10" i="29" s="1"/>
  <c r="F10" i="27" s="1"/>
  <c r="J129" i="29"/>
  <c r="E18" i="29"/>
  <c r="F18" i="29" s="1"/>
  <c r="F18" i="27" s="1"/>
  <c r="J55" i="29"/>
  <c r="E7" i="29"/>
  <c r="D13" i="29"/>
  <c r="D21" i="29"/>
  <c r="J56" i="29"/>
  <c r="E8" i="29"/>
  <c r="J114" i="29"/>
  <c r="E16" i="29"/>
  <c r="J64" i="29"/>
  <c r="E9" i="29"/>
  <c r="F9" i="29" s="1"/>
  <c r="F9" i="27" s="1"/>
  <c r="J121" i="29"/>
  <c r="E17" i="29"/>
  <c r="D12" i="29"/>
  <c r="D20" i="29"/>
  <c r="J107" i="29"/>
  <c r="E15" i="29"/>
  <c r="J92" i="29"/>
  <c r="E13" i="29"/>
  <c r="J150" i="29"/>
  <c r="E21" i="29"/>
  <c r="D14" i="29"/>
  <c r="D11" i="29"/>
  <c r="D19" i="29"/>
  <c r="J100" i="29"/>
  <c r="E14" i="29"/>
  <c r="I126" i="29"/>
  <c r="E40" i="30" s="1"/>
  <c r="I157" i="29"/>
  <c r="E41" i="30" s="1"/>
  <c r="F63" i="29"/>
  <c r="D38" i="30" s="1"/>
  <c r="F94" i="29"/>
  <c r="D39" i="30" s="1"/>
  <c r="F126" i="29"/>
  <c r="D40" i="30" s="1"/>
  <c r="J127" i="29"/>
  <c r="I94" i="29"/>
  <c r="E39" i="30" s="1"/>
  <c r="J96" i="29"/>
  <c r="I63" i="29"/>
  <c r="E38" i="30" s="1"/>
  <c r="F157" i="29"/>
  <c r="D41" i="30" s="1"/>
  <c r="F38" i="30" l="1"/>
  <c r="I38" i="30" s="1"/>
  <c r="F41" i="30"/>
  <c r="I41" i="30" s="1"/>
  <c r="D22" i="29"/>
  <c r="G18" i="27"/>
  <c r="F40" i="30"/>
  <c r="I40" i="30" s="1"/>
  <c r="F39" i="30"/>
  <c r="I39" i="30" s="1"/>
  <c r="F7" i="29"/>
  <c r="F7" i="27" s="1"/>
  <c r="G7" i="27" s="1"/>
  <c r="E22" i="29"/>
  <c r="G9" i="27"/>
  <c r="G10" i="27"/>
  <c r="F17" i="29"/>
  <c r="F17" i="27" s="1"/>
  <c r="G17" i="27" s="1"/>
  <c r="F160" i="29"/>
  <c r="F19" i="29"/>
  <c r="F19" i="27" s="1"/>
  <c r="G19" i="27" s="1"/>
  <c r="F16" i="29"/>
  <c r="F16" i="27" s="1"/>
  <c r="G16" i="27" s="1"/>
  <c r="F8" i="29"/>
  <c r="F8" i="27" s="1"/>
  <c r="G8" i="27" s="1"/>
  <c r="F13" i="29"/>
  <c r="F13" i="27" s="1"/>
  <c r="G13" i="27" s="1"/>
  <c r="F21" i="29"/>
  <c r="F21" i="27" s="1"/>
  <c r="G21" i="27" s="1"/>
  <c r="F15" i="29"/>
  <c r="F15" i="27" s="1"/>
  <c r="G15" i="27" s="1"/>
  <c r="J63" i="29"/>
  <c r="F11" i="29"/>
  <c r="F11" i="27" s="1"/>
  <c r="G11" i="27" s="1"/>
  <c r="F20" i="29"/>
  <c r="F20" i="27" s="1"/>
  <c r="G20" i="27" s="1"/>
  <c r="J157" i="29"/>
  <c r="F14" i="29"/>
  <c r="F14" i="27" s="1"/>
  <c r="G14" i="27" s="1"/>
  <c r="F12" i="29"/>
  <c r="F12" i="27" s="1"/>
  <c r="G12" i="27" s="1"/>
  <c r="J126" i="29"/>
  <c r="G22" i="27" l="1"/>
  <c r="I42" i="30"/>
  <c r="F42" i="30"/>
  <c r="J160" i="29"/>
  <c r="F22" i="29"/>
  <c r="D17" i="30" l="1"/>
  <c r="E27" i="30" s="1"/>
  <c r="C33" i="30" s="1"/>
  <c r="E42" i="30"/>
  <c r="D42" i="30"/>
  <c r="F22" i="27"/>
  <c r="D18" i="30" l="1"/>
  <c r="D21" i="30" s="1"/>
  <c r="E26" i="30" l="1"/>
  <c r="D33" i="30" s="1"/>
  <c r="D22" i="30"/>
</calcChain>
</file>

<file path=xl/sharedStrings.xml><?xml version="1.0" encoding="utf-8"?>
<sst xmlns="http://schemas.openxmlformats.org/spreadsheetml/2006/main" count="149" uniqueCount="108">
  <si>
    <t>From</t>
  </si>
  <si>
    <t>To</t>
  </si>
  <si>
    <t>Total</t>
  </si>
  <si>
    <t>Gross electricity generation by the project activity in year y, from plant logbook</t>
  </si>
  <si>
    <t xml:space="preserve">Auxiliary consumption by the project activity in year y, from Plant logbook
</t>
  </si>
  <si>
    <t>Start Date of Monitoring Period</t>
  </si>
  <si>
    <t>End Date of Monitoring Period</t>
  </si>
  <si>
    <t>Date</t>
  </si>
  <si>
    <t xml:space="preserve">Aux-1
</t>
  </si>
  <si>
    <t>Aux-2</t>
  </si>
  <si>
    <t>TG-1</t>
  </si>
  <si>
    <t>TG-2</t>
  </si>
  <si>
    <t>TG-3</t>
  </si>
  <si>
    <t>Total Auxiliary
(In MWh)</t>
  </si>
  <si>
    <t>MWh</t>
  </si>
  <si>
    <t>tCO2</t>
  </si>
  <si>
    <t>Joint Meter Reading</t>
  </si>
  <si>
    <t>Minimum of Plant Records and JMR (MRI) (in MWh)</t>
  </si>
  <si>
    <t>As per JMR - Meter Reading Instrument (MRI) owned by State Electricity Board
(in kWh)</t>
  </si>
  <si>
    <t>As per JMR - Meter Reading Instrument (MRI) owned by State Electricity Board
(in MWh)</t>
  </si>
  <si>
    <t>W</t>
  </si>
  <si>
    <t>Power Density (PD)</t>
  </si>
  <si>
    <t>PE</t>
  </si>
  <si>
    <r>
      <t>Since the PD value is greater than 10 W/ m</t>
    </r>
    <r>
      <rPr>
        <b/>
        <vertAlign val="superscript"/>
        <sz val="10"/>
        <color theme="1"/>
        <rFont val="Arial"/>
        <family val="2"/>
      </rPr>
      <t>2</t>
    </r>
    <r>
      <rPr>
        <b/>
        <sz val="10"/>
        <color theme="1"/>
        <rFont val="Arial"/>
        <family val="2"/>
      </rPr>
      <t xml:space="preserve"> the project emissions are zero.</t>
    </r>
  </si>
  <si>
    <r>
      <t>Cap</t>
    </r>
    <r>
      <rPr>
        <b/>
        <vertAlign val="subscript"/>
        <sz val="10"/>
        <color theme="1"/>
        <rFont val="Arial"/>
        <family val="2"/>
      </rPr>
      <t>PJ</t>
    </r>
  </si>
  <si>
    <r>
      <t>Cap</t>
    </r>
    <r>
      <rPr>
        <b/>
        <vertAlign val="subscript"/>
        <sz val="10"/>
        <color theme="1"/>
        <rFont val="Arial"/>
        <family val="2"/>
      </rPr>
      <t>BL</t>
    </r>
  </si>
  <si>
    <r>
      <t>A</t>
    </r>
    <r>
      <rPr>
        <b/>
        <vertAlign val="subscript"/>
        <sz val="10"/>
        <color theme="1"/>
        <rFont val="Arial"/>
        <family val="2"/>
      </rPr>
      <t>PJ</t>
    </r>
  </si>
  <si>
    <r>
      <t>A</t>
    </r>
    <r>
      <rPr>
        <b/>
        <vertAlign val="subscript"/>
        <sz val="10"/>
        <color theme="1"/>
        <rFont val="Arial"/>
        <family val="2"/>
      </rPr>
      <t>BL</t>
    </r>
  </si>
  <si>
    <r>
      <t>m</t>
    </r>
    <r>
      <rPr>
        <b/>
        <vertAlign val="superscript"/>
        <sz val="10"/>
        <color theme="1"/>
        <rFont val="Arial"/>
        <family val="2"/>
      </rPr>
      <t>2</t>
    </r>
  </si>
  <si>
    <r>
      <t>W/ m</t>
    </r>
    <r>
      <rPr>
        <b/>
        <vertAlign val="superscript"/>
        <sz val="10"/>
        <color theme="1"/>
        <rFont val="Arial"/>
        <family val="2"/>
      </rPr>
      <t>2</t>
    </r>
  </si>
  <si>
    <t>Month</t>
  </si>
  <si>
    <t>ERy</t>
  </si>
  <si>
    <t xml:space="preserve">Billing Cycle </t>
  </si>
  <si>
    <t>Total Auxiliary (In MWh)-after correction factor</t>
  </si>
  <si>
    <t>Reading As per Energy Meter at Plant Site owned by Client (in MWh)</t>
  </si>
  <si>
    <t>Total TG Generation (In MWh)</t>
  </si>
  <si>
    <t>Net</t>
  </si>
  <si>
    <t xml:space="preserve">From </t>
  </si>
  <si>
    <t>(EGaux)(MWh)</t>
  </si>
  <si>
    <t>Parameter</t>
  </si>
  <si>
    <t>Unit</t>
  </si>
  <si>
    <t>date</t>
  </si>
  <si>
    <t>Number of operational Days for Current Monitoring Period (days)</t>
  </si>
  <si>
    <t>Number</t>
  </si>
  <si>
    <t>Baseline Emission Factor</t>
  </si>
  <si>
    <t xml:space="preserve">Annual (365 Days) estimation as per Registered PDD </t>
  </si>
  <si>
    <t>Generation achieved in this monitoring period</t>
  </si>
  <si>
    <t xml:space="preserve">Baseline Emissions </t>
  </si>
  <si>
    <t xml:space="preserve">Project Emissions </t>
  </si>
  <si>
    <t>Leakage Emissions</t>
  </si>
  <si>
    <t xml:space="preserve">ER Estimation for Current Monitoring Period </t>
  </si>
  <si>
    <t>Variation in Actual Vs Estimated ER</t>
  </si>
  <si>
    <t>%</t>
  </si>
  <si>
    <t>GS Project activity reference:-</t>
  </si>
  <si>
    <t>GS Project activity Web link:-</t>
  </si>
  <si>
    <t>https://registry.goldstandard.org/projects/details/1425</t>
  </si>
  <si>
    <t xml:space="preserve">GS 7154 </t>
  </si>
  <si>
    <t>CHANJU I HYDRO ELECTRIC PROJECT</t>
  </si>
  <si>
    <t>Version:-</t>
  </si>
  <si>
    <t>Date:-</t>
  </si>
  <si>
    <t>During Monitoring Period</t>
  </si>
  <si>
    <t>Estimated</t>
  </si>
  <si>
    <t>Actual</t>
  </si>
  <si>
    <t>SDG 13</t>
  </si>
  <si>
    <t>SDG 08 (Employment)</t>
  </si>
  <si>
    <t xml:space="preserve">Number </t>
  </si>
  <si>
    <t>SDG 08 (training)</t>
  </si>
  <si>
    <t>Vintage Wise Data</t>
  </si>
  <si>
    <t>Year</t>
  </si>
  <si>
    <t>SDG 7 (MWh)</t>
  </si>
  <si>
    <t>SDG 8: Training record (Number)</t>
  </si>
  <si>
    <t>SDG 8 Employment generation (Number)</t>
  </si>
  <si>
    <t>Value</t>
  </si>
  <si>
    <r>
      <t>Project Name:-</t>
    </r>
    <r>
      <rPr>
        <sz val="11"/>
        <color indexed="8"/>
        <rFont val="Franklin Gothic Book"/>
        <family val="2"/>
      </rPr>
      <t xml:space="preserve">
</t>
    </r>
  </si>
  <si>
    <r>
      <t>tCO</t>
    </r>
    <r>
      <rPr>
        <vertAlign val="subscript"/>
        <sz val="11"/>
        <color theme="1"/>
        <rFont val="Franklin Gothic Book"/>
        <family val="2"/>
      </rPr>
      <t>2</t>
    </r>
    <r>
      <rPr>
        <sz val="11"/>
        <color theme="1"/>
        <rFont val="Franklin Gothic Book"/>
        <family val="2"/>
      </rPr>
      <t>e/MWh</t>
    </r>
  </si>
  <si>
    <r>
      <t>tCO</t>
    </r>
    <r>
      <rPr>
        <vertAlign val="subscript"/>
        <sz val="11"/>
        <color theme="1"/>
        <rFont val="Franklin Gothic Book"/>
        <family val="2"/>
      </rPr>
      <t>2</t>
    </r>
    <r>
      <rPr>
        <sz val="11"/>
        <color theme="1"/>
        <rFont val="Franklin Gothic Book"/>
        <family val="2"/>
      </rPr>
      <t>e</t>
    </r>
  </si>
  <si>
    <r>
      <t>tCO</t>
    </r>
    <r>
      <rPr>
        <sz val="11"/>
        <color theme="1"/>
        <rFont val="Franklin Gothic Book"/>
        <family val="2"/>
      </rPr>
      <t>2e</t>
    </r>
  </si>
  <si>
    <r>
      <t>SDG 13 (tCO</t>
    </r>
    <r>
      <rPr>
        <b/>
        <vertAlign val="subscript"/>
        <sz val="11"/>
        <color rgb="FF000000"/>
        <rFont val="Franklin Gothic Book"/>
        <family val="2"/>
      </rPr>
      <t>2</t>
    </r>
    <r>
      <rPr>
        <b/>
        <sz val="11"/>
        <color rgb="FF000000"/>
        <rFont val="Franklin Gothic Book"/>
        <family val="2"/>
      </rPr>
      <t>e)</t>
    </r>
  </si>
  <si>
    <r>
      <t>EG</t>
    </r>
    <r>
      <rPr>
        <b/>
        <vertAlign val="subscript"/>
        <sz val="11"/>
        <color theme="1"/>
        <rFont val="Franklin Gothic Book"/>
        <family val="2"/>
      </rPr>
      <t>gross</t>
    </r>
  </si>
  <si>
    <r>
      <t>EG</t>
    </r>
    <r>
      <rPr>
        <b/>
        <vertAlign val="subscript"/>
        <sz val="11"/>
        <color theme="1"/>
        <rFont val="Franklin Gothic Book"/>
        <family val="2"/>
      </rPr>
      <t>aux</t>
    </r>
  </si>
  <si>
    <r>
      <t>EG</t>
    </r>
    <r>
      <rPr>
        <b/>
        <vertAlign val="subscript"/>
        <sz val="11"/>
        <color theme="1"/>
        <rFont val="Franklin Gothic Book"/>
        <family val="2"/>
      </rPr>
      <t>facility,y</t>
    </r>
  </si>
  <si>
    <r>
      <t>PE</t>
    </r>
    <r>
      <rPr>
        <b/>
        <vertAlign val="subscript"/>
        <sz val="11"/>
        <color theme="1"/>
        <rFont val="Franklin Gothic Book"/>
        <family val="2"/>
      </rPr>
      <t>y</t>
    </r>
  </si>
  <si>
    <r>
      <t>LE</t>
    </r>
    <r>
      <rPr>
        <b/>
        <vertAlign val="subscript"/>
        <sz val="11"/>
        <color theme="1"/>
        <rFont val="Franklin Gothic Book"/>
        <family val="2"/>
      </rPr>
      <t>y</t>
    </r>
  </si>
  <si>
    <r>
      <t>tCO</t>
    </r>
    <r>
      <rPr>
        <b/>
        <vertAlign val="subscript"/>
        <sz val="11"/>
        <color theme="1"/>
        <rFont val="Franklin Gothic Book"/>
        <family val="2"/>
      </rPr>
      <t>2</t>
    </r>
  </si>
  <si>
    <t>JMRs from 11-02-2019 to 03-03-2019 are not signed. On 07-02-2019, Tower no. 49 on 132kV Kurthala Bathri Transmission Line had collapsed due to heavy snowfall resulting in unavailability of power evacuation route. The line was restored on 06-03-2019. So on consrvative side the values are taken as ZERO</t>
  </si>
  <si>
    <r>
      <t>(EG</t>
    </r>
    <r>
      <rPr>
        <b/>
        <vertAlign val="subscript"/>
        <sz val="10"/>
        <color theme="1"/>
        <rFont val="Franklin Gothic Book"/>
        <family val="2"/>
      </rPr>
      <t>gross</t>
    </r>
    <r>
      <rPr>
        <b/>
        <sz val="10"/>
        <color theme="1"/>
        <rFont val="Franklin Gothic Book"/>
        <family val="2"/>
      </rPr>
      <t>)(kWh)</t>
    </r>
  </si>
  <si>
    <r>
      <t>(EG</t>
    </r>
    <r>
      <rPr>
        <b/>
        <vertAlign val="subscript"/>
        <sz val="10"/>
        <color theme="1"/>
        <rFont val="Franklin Gothic Book"/>
        <family val="2"/>
      </rPr>
      <t>aux</t>
    </r>
    <r>
      <rPr>
        <b/>
        <sz val="10"/>
        <color theme="1"/>
        <rFont val="Franklin Gothic Book"/>
        <family val="2"/>
      </rPr>
      <t>)(kWh)</t>
    </r>
  </si>
  <si>
    <r>
      <t>(EG</t>
    </r>
    <r>
      <rPr>
        <vertAlign val="subscript"/>
        <sz val="10"/>
        <color theme="1"/>
        <rFont val="Franklin Gothic Book"/>
        <family val="2"/>
      </rPr>
      <t>gross</t>
    </r>
    <r>
      <rPr>
        <sz val="10"/>
        <color theme="1"/>
        <rFont val="Franklin Gothic Book"/>
        <family val="2"/>
      </rPr>
      <t>)(MWh)</t>
    </r>
  </si>
  <si>
    <t xml:space="preserve">Annual (365 Days) Estimated value of electricity generation as per PDD </t>
  </si>
  <si>
    <t xml:space="preserve">Estimated value of electricity generation for current monitoring period </t>
  </si>
  <si>
    <t>SDG 7</t>
  </si>
  <si>
    <t>JMRs from 11-02-2019 to 03-03-2019 are not signed. On 07-02-2019, Tower no. 49 on 132kV Kurthala Bathri Transmission Line had collapsed due to heavy snowfall resulting in unavailability of power evacuation route. The line was restored on 06-03-2019. So on consrvative side the values are taken as ZERO.</t>
  </si>
  <si>
    <r>
      <t>tCO</t>
    </r>
    <r>
      <rPr>
        <b/>
        <vertAlign val="subscript"/>
        <sz val="11"/>
        <color theme="1"/>
        <rFont val="Franklin Gothic Book"/>
        <family val="2"/>
      </rPr>
      <t>2</t>
    </r>
    <r>
      <rPr>
        <b/>
        <sz val="11"/>
        <color theme="1"/>
        <rFont val="Franklin Gothic Book"/>
        <family val="2"/>
      </rPr>
      <t>e</t>
    </r>
  </si>
  <si>
    <t xml:space="preserve">ER for Current Monitoring Period </t>
  </si>
  <si>
    <t>105 (Skilled: 74, Un-Skilled: 29, Semi-Skilled: 2)</t>
  </si>
  <si>
    <t xml:space="preserve">Start Date </t>
  </si>
  <si>
    <t xml:space="preserve">End Date </t>
  </si>
  <si>
    <t>PLF Variations</t>
  </si>
  <si>
    <t>Additionality breached due to increased PLF</t>
  </si>
  <si>
    <t xml:space="preserve">Observed PLF </t>
  </si>
  <si>
    <t xml:space="preserve">PLF justification </t>
  </si>
  <si>
    <t>Achieved Net Generation</t>
  </si>
  <si>
    <t xml:space="preserve">Total days in a vintage </t>
  </si>
  <si>
    <t>Vintage wise achieved net generation</t>
  </si>
  <si>
    <t>PLF Additionality Variation Breaching Values as per sensitivity analysis</t>
  </si>
  <si>
    <t>PLF consider at time of Validation</t>
  </si>
  <si>
    <t>Gross electricity generation by the project activity</t>
  </si>
  <si>
    <t>For the current monitoring period (25/02/2019 to 30/06/2019, i.e., 126 days), the actual emission reductions achieved were 65,759 tCO2e compared to the estimated 49,220 tCO2e, reflecting a temporary increase of 33.60%. This increase is attributable to favourable hydrological conditions during this short monitoring window and does not represent an overestimation of the project’s performance.
When viewed over a representative 365-day period (01/07/2018 to 30/06/2019), the actual gross generation was 164,621.73 MWh compared to the estimated 157,850 MWh. This corresponds to a deviation of only 4.29% in Plant Load Factor (PLF) — well within the permissible ±10% variation allowed under the applicable guidelines. The corresponding CERs also align with this deviation, confirming that emission reductions are not overestimated when considered over an annual period. Further, during project validation it was established that even with a 10% increase in PLF, the project IRR remains below the benchmark. The IRR only reaches the benchmark at a PLF increase of 23.47% (i.e., 61.8%). As the actual 365-day PLF is only 52.05%, the IRR remains unaffected and additionality is fully preserved.
Furthermore, verified CDM results (Weblink: https://cdm.unfccc.int/Projects/DB/TUEV-SUED1431953233.8/iProcess/Applus1564303354.24/view) for 26/07/2017 to 30/06/2019 also showed lower actual ERs (221,725 tCO₂e) compared to estimates (292,137 tCO₂e), confirming no systematic overestimation.
In summary, although the short 126-day monitoring period reflects a temporary increase in ERs, over an annual cycle the deviation remains limited to 4.29%, well within the permissible range, and has no impact on the financial additionality of the project. Thus, the ERs are not overestimated and the project IRR is unaffected.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</si>
</sst>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 #,##0.00_ ;_ * \-#,##0.00_ ;_ * &quot;-&quot;??_ ;_ @_ "/>
    <numFmt numFmtId="165" formatCode="[$-14009]dd/mm/yyyy;@"/>
    <numFmt numFmtId="166" formatCode="[$-409]d\-mmm\-yy;@"/>
    <numFmt numFmtId="167" formatCode="_(* #,##0_);_(* \(#,##0\);_(* &quot;-&quot;??_);_(@_)"/>
    <numFmt numFmtId="168" formatCode="0.0"/>
    <numFmt numFmtId="169" formatCode="0.0000"/>
    <numFmt numFmtId="170" formatCode="_(* #,##0.000_);_(* \(#,##0.000\);_(* &quot;-&quot;???_);_(@_)"/>
    <numFmt numFmtId="171" formatCode="dd\/mm\/yyyy"/>
    <numFmt numFmtId="173" formatCode="0.000%"/>
  </numFmts>
  <fonts count="40">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0"/>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11"/>
      <color theme="1"/>
      <name val="Calibri"/>
      <family val="2"/>
      <scheme val="minor"/>
    </font>
    <font>
      <sz val="10"/>
      <name val="Arial"/>
      <family val="2"/>
    </font>
    <font>
      <b/>
      <sz val="10"/>
      <color theme="1"/>
      <name val="Arial"/>
      <family val="2"/>
    </font>
    <font>
      <b/>
      <vertAlign val="subscript"/>
      <sz val="10"/>
      <color theme="1"/>
      <name val="Arial"/>
      <family val="2"/>
    </font>
    <font>
      <sz val="10"/>
      <color theme="1"/>
      <name val="Arial"/>
      <family val="2"/>
    </font>
    <font>
      <sz val="9"/>
      <name val="Calibri"/>
      <family val="3"/>
      <charset val="134"/>
      <scheme val="minor"/>
    </font>
    <font>
      <b/>
      <vertAlign val="superscript"/>
      <sz val="10"/>
      <color theme="1"/>
      <name val="Arial"/>
      <family val="2"/>
    </font>
    <font>
      <u/>
      <sz val="11"/>
      <color theme="10"/>
      <name val="Calibri"/>
      <family val="2"/>
      <scheme val="minor"/>
    </font>
    <font>
      <sz val="11"/>
      <color theme="1"/>
      <name val="Franklin Gothic Book"/>
      <family val="2"/>
    </font>
    <font>
      <b/>
      <sz val="11"/>
      <color theme="1"/>
      <name val="Franklin Gothic Book"/>
      <family val="2"/>
    </font>
    <font>
      <sz val="11"/>
      <color indexed="8"/>
      <name val="Franklin Gothic Book"/>
      <family val="2"/>
    </font>
    <font>
      <u/>
      <sz val="11"/>
      <color theme="10"/>
      <name val="Franklin Gothic Book"/>
      <family val="2"/>
    </font>
    <font>
      <sz val="11"/>
      <name val="Franklin Gothic Book"/>
      <family val="2"/>
    </font>
    <font>
      <vertAlign val="subscript"/>
      <sz val="11"/>
      <color theme="1"/>
      <name val="Franklin Gothic Book"/>
      <family val="2"/>
    </font>
    <font>
      <b/>
      <sz val="11"/>
      <name val="Franklin Gothic Book"/>
      <family val="2"/>
    </font>
    <font>
      <b/>
      <sz val="11"/>
      <color rgb="FF000000"/>
      <name val="Franklin Gothic Book"/>
      <family val="2"/>
    </font>
    <font>
      <sz val="11"/>
      <color rgb="FF000000"/>
      <name val="Franklin Gothic Book"/>
      <family val="2"/>
    </font>
    <font>
      <b/>
      <vertAlign val="subscript"/>
      <sz val="11"/>
      <color rgb="FF000000"/>
      <name val="Franklin Gothic Book"/>
      <family val="2"/>
    </font>
    <font>
      <b/>
      <vertAlign val="subscript"/>
      <sz val="11"/>
      <color theme="1"/>
      <name val="Franklin Gothic Book"/>
      <family val="2"/>
    </font>
    <font>
      <sz val="10"/>
      <color theme="1"/>
      <name val="Franklin Gothic Book"/>
      <family val="2"/>
    </font>
    <font>
      <b/>
      <sz val="10"/>
      <color theme="1"/>
      <name val="Franklin Gothic Book"/>
      <family val="2"/>
    </font>
    <font>
      <b/>
      <vertAlign val="subscript"/>
      <sz val="10"/>
      <color theme="1"/>
      <name val="Franklin Gothic Book"/>
      <family val="2"/>
    </font>
    <font>
      <vertAlign val="subscript"/>
      <sz val="10"/>
      <color theme="1"/>
      <name val="Franklin Gothic Book"/>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59999389629810485"/>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20" borderId="1" applyNumberFormat="0" applyAlignment="0" applyProtection="0"/>
    <xf numFmtId="0" fontId="5" fillId="0" borderId="2" applyNumberFormat="0" applyFill="0" applyAlignment="0" applyProtection="0"/>
    <xf numFmtId="0" fontId="6" fillId="21" borderId="3" applyNumberFormat="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7" fillId="22" borderId="0" applyNumberFormat="0" applyBorder="0" applyAlignment="0" applyProtection="0"/>
    <xf numFmtId="0" fontId="1" fillId="23" borderId="7" applyNumberFormat="0" applyFon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3" borderId="0" applyNumberFormat="0" applyBorder="0" applyAlignment="0" applyProtection="0"/>
    <xf numFmtId="0" fontId="16" fillId="4"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8" fillId="0" borderId="0"/>
    <xf numFmtId="0" fontId="17" fillId="0" borderId="0"/>
    <xf numFmtId="0" fontId="1" fillId="0" borderId="0"/>
    <xf numFmtId="43" fontId="17" fillId="0" borderId="0" applyFont="0" applyFill="0" applyBorder="0" applyAlignment="0" applyProtection="0"/>
    <xf numFmtId="9" fontId="17" fillId="0" borderId="0" applyFont="0" applyFill="0" applyBorder="0" applyAlignment="0" applyProtection="0"/>
    <xf numFmtId="0" fontId="24" fillId="0" borderId="0" applyNumberFormat="0" applyFill="0" applyBorder="0" applyAlignment="0" applyProtection="0"/>
    <xf numFmtId="0" fontId="1" fillId="0" borderId="0"/>
    <xf numFmtId="9" fontId="1" fillId="0" borderId="0" applyFont="0" applyFill="0" applyBorder="0" applyAlignment="0" applyProtection="0"/>
    <xf numFmtId="164" fontId="17" fillId="0" borderId="0" applyFont="0" applyFill="0" applyBorder="0" applyAlignment="0" applyProtection="0"/>
  </cellStyleXfs>
  <cellXfs count="250">
    <xf numFmtId="0" fontId="0" fillId="0" borderId="0" xfId="0"/>
    <xf numFmtId="0" fontId="21" fillId="0" borderId="0" xfId="0" applyFont="1"/>
    <xf numFmtId="0" fontId="19" fillId="0" borderId="13" xfId="0" applyFont="1" applyBorder="1"/>
    <xf numFmtId="0" fontId="19" fillId="0" borderId="14" xfId="0" applyFont="1" applyBorder="1"/>
    <xf numFmtId="0" fontId="19" fillId="0" borderId="0" xfId="0" applyFont="1" applyAlignment="1">
      <alignment horizontal="center" vertical="center"/>
    </xf>
    <xf numFmtId="0" fontId="19" fillId="0" borderId="16" xfId="0" applyFont="1" applyBorder="1"/>
    <xf numFmtId="0" fontId="19" fillId="0" borderId="13" xfId="0" applyFont="1" applyBorder="1" applyAlignment="1">
      <alignment horizontal="center" vertical="center"/>
    </xf>
    <xf numFmtId="0" fontId="19" fillId="0" borderId="16" xfId="0" applyFont="1" applyBorder="1" applyAlignment="1">
      <alignment horizontal="center" vertical="center"/>
    </xf>
    <xf numFmtId="0" fontId="19" fillId="0" borderId="14"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29" xfId="0" applyFont="1" applyBorder="1" applyAlignment="1">
      <alignment horizontal="center" vertical="center"/>
    </xf>
    <xf numFmtId="0" fontId="19" fillId="0" borderId="23" xfId="0" applyFont="1" applyBorder="1" applyAlignment="1">
      <alignment horizontal="center" vertical="center"/>
    </xf>
    <xf numFmtId="0" fontId="19" fillId="0" borderId="17" xfId="0" applyFont="1" applyBorder="1" applyAlignment="1">
      <alignment horizontal="center" vertical="center"/>
    </xf>
    <xf numFmtId="0" fontId="19" fillId="0" borderId="15"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168" fontId="19" fillId="0" borderId="14" xfId="0" applyNumberFormat="1" applyFont="1" applyBorder="1" applyAlignment="1">
      <alignment horizontal="center" vertical="center"/>
    </xf>
    <xf numFmtId="0" fontId="25" fillId="0" borderId="0" xfId="0" applyFont="1" applyAlignment="1">
      <alignment vertical="top"/>
    </xf>
    <xf numFmtId="0" fontId="25" fillId="0" borderId="0" xfId="0" applyFont="1" applyAlignment="1">
      <alignment horizontal="left" vertical="top"/>
    </xf>
    <xf numFmtId="0" fontId="28" fillId="0" borderId="0" xfId="48" applyFont="1" applyFill="1" applyBorder="1" applyAlignment="1">
      <alignment horizontal="left" vertical="top"/>
    </xf>
    <xf numFmtId="0" fontId="28" fillId="0" borderId="0" xfId="48" applyFont="1" applyFill="1" applyBorder="1" applyAlignment="1">
      <alignment vertical="top"/>
    </xf>
    <xf numFmtId="14" fontId="25" fillId="0" borderId="0" xfId="0" applyNumberFormat="1" applyFont="1" applyAlignment="1">
      <alignment vertical="top"/>
    </xf>
    <xf numFmtId="14" fontId="25" fillId="0" borderId="0" xfId="0" applyNumberFormat="1" applyFont="1" applyAlignment="1">
      <alignment horizontal="left" vertical="top"/>
    </xf>
    <xf numFmtId="0" fontId="25" fillId="0" borderId="0" xfId="0" applyFont="1" applyAlignment="1">
      <alignment horizontal="center" vertical="top"/>
    </xf>
    <xf numFmtId="43" fontId="33" fillId="0" borderId="19" xfId="0" applyNumberFormat="1" applyFont="1" applyBorder="1" applyAlignment="1">
      <alignment horizontal="center" vertical="top"/>
    </xf>
    <xf numFmtId="167" fontId="33" fillId="0" borderId="19" xfId="0" applyNumberFormat="1" applyFont="1" applyBorder="1" applyAlignment="1">
      <alignment horizontal="center" vertical="top"/>
    </xf>
    <xf numFmtId="170" fontId="25" fillId="0" borderId="0" xfId="0" applyNumberFormat="1" applyFont="1" applyAlignment="1">
      <alignment horizontal="center" vertical="top"/>
    </xf>
    <xf numFmtId="43" fontId="33" fillId="0" borderId="0" xfId="0" applyNumberFormat="1" applyFont="1" applyAlignment="1">
      <alignment horizontal="center" vertical="top"/>
    </xf>
    <xf numFmtId="43" fontId="32" fillId="0" borderId="19" xfId="0" applyNumberFormat="1" applyFont="1" applyBorder="1" applyAlignment="1">
      <alignment horizontal="center" vertical="top"/>
    </xf>
    <xf numFmtId="43" fontId="32" fillId="0" borderId="19" xfId="0" applyNumberFormat="1" applyFont="1" applyBorder="1" applyAlignment="1">
      <alignment horizontal="center" vertical="top" wrapText="1"/>
    </xf>
    <xf numFmtId="0" fontId="26" fillId="27" borderId="19" xfId="0" applyFont="1" applyFill="1" applyBorder="1" applyAlignment="1">
      <alignment vertical="top" wrapText="1"/>
    </xf>
    <xf numFmtId="0" fontId="32" fillId="27" borderId="19" xfId="0" applyFont="1" applyFill="1" applyBorder="1" applyAlignment="1">
      <alignment horizontal="center" vertical="top" wrapText="1"/>
    </xf>
    <xf numFmtId="0" fontId="32" fillId="27" borderId="19" xfId="0" applyFont="1" applyFill="1" applyBorder="1" applyAlignment="1">
      <alignment horizontal="center" vertical="top"/>
    </xf>
    <xf numFmtId="0" fontId="32" fillId="0" borderId="19" xfId="0" applyFont="1" applyBorder="1" applyAlignment="1">
      <alignment horizontal="center" vertical="top"/>
    </xf>
    <xf numFmtId="0" fontId="31" fillId="24" borderId="19" xfId="0" applyFont="1" applyFill="1" applyBorder="1" applyAlignment="1">
      <alignment horizontal="center" vertical="top" wrapText="1"/>
    </xf>
    <xf numFmtId="0" fontId="36" fillId="0" borderId="0" xfId="0" applyFont="1" applyAlignment="1">
      <alignment horizontal="center" vertical="center"/>
    </xf>
    <xf numFmtId="0" fontId="37" fillId="25" borderId="36" xfId="0" applyFont="1" applyFill="1" applyBorder="1" applyAlignment="1">
      <alignment vertical="center"/>
    </xf>
    <xf numFmtId="0" fontId="37" fillId="25" borderId="26" xfId="0" applyFont="1" applyFill="1" applyBorder="1" applyAlignment="1">
      <alignment vertical="center"/>
    </xf>
    <xf numFmtId="0" fontId="37" fillId="25" borderId="26" xfId="0" applyFont="1" applyFill="1" applyBorder="1" applyAlignment="1">
      <alignment vertical="center" wrapText="1"/>
    </xf>
    <xf numFmtId="0" fontId="37" fillId="25" borderId="10" xfId="0" applyFont="1" applyFill="1" applyBorder="1" applyAlignment="1">
      <alignment vertical="center"/>
    </xf>
    <xf numFmtId="165" fontId="36" fillId="26" borderId="36" xfId="0" applyNumberFormat="1" applyFont="1" applyFill="1" applyBorder="1" applyAlignment="1">
      <alignment horizontal="center" vertical="center"/>
    </xf>
    <xf numFmtId="165" fontId="36" fillId="26" borderId="26" xfId="0" applyNumberFormat="1" applyFont="1" applyFill="1" applyBorder="1" applyAlignment="1">
      <alignment horizontal="center" vertical="center"/>
    </xf>
    <xf numFmtId="165" fontId="36" fillId="0" borderId="34" xfId="0" applyNumberFormat="1" applyFont="1" applyBorder="1" applyAlignment="1">
      <alignment horizontal="center" vertical="center"/>
    </xf>
    <xf numFmtId="165" fontId="36" fillId="0" borderId="19" xfId="0" applyNumberFormat="1" applyFont="1" applyBorder="1" applyAlignment="1">
      <alignment horizontal="center" vertical="center"/>
    </xf>
    <xf numFmtId="0" fontId="37" fillId="0" borderId="0" xfId="0" applyFont="1" applyAlignment="1">
      <alignment horizontal="center" vertical="center" wrapText="1"/>
    </xf>
    <xf numFmtId="0" fontId="36" fillId="0" borderId="0" xfId="0" applyFont="1" applyAlignment="1">
      <alignment vertical="center" wrapText="1"/>
    </xf>
    <xf numFmtId="0" fontId="36" fillId="0" borderId="0" xfId="0" applyFont="1" applyAlignment="1">
      <alignment horizontal="center" vertical="center" wrapText="1"/>
    </xf>
    <xf numFmtId="0" fontId="37" fillId="25" borderId="13" xfId="0" applyFont="1" applyFill="1" applyBorder="1" applyAlignment="1">
      <alignment horizontal="center" vertical="center"/>
    </xf>
    <xf numFmtId="0" fontId="37" fillId="25" borderId="11" xfId="0" applyFont="1" applyFill="1" applyBorder="1" applyAlignment="1">
      <alignment horizontal="center" vertical="center"/>
    </xf>
    <xf numFmtId="0" fontId="37" fillId="25" borderId="16" xfId="0" applyFont="1" applyFill="1" applyBorder="1" applyAlignment="1">
      <alignment horizontal="center" vertical="center"/>
    </xf>
    <xf numFmtId="0" fontId="37" fillId="25" borderId="14" xfId="0" applyFont="1" applyFill="1" applyBorder="1" applyAlignment="1">
      <alignment horizontal="center" vertical="center"/>
    </xf>
    <xf numFmtId="14" fontId="36" fillId="26" borderId="23" xfId="0" applyNumberFormat="1" applyFont="1" applyFill="1" applyBorder="1" applyAlignment="1">
      <alignment horizontal="center" vertical="center"/>
    </xf>
    <xf numFmtId="2" fontId="36" fillId="26" borderId="0" xfId="0" applyNumberFormat="1" applyFont="1" applyFill="1" applyAlignment="1">
      <alignment horizontal="center" vertical="center"/>
    </xf>
    <xf numFmtId="2" fontId="36" fillId="26" borderId="17" xfId="0" applyNumberFormat="1" applyFont="1" applyFill="1" applyBorder="1" applyAlignment="1">
      <alignment horizontal="center" vertical="center"/>
    </xf>
    <xf numFmtId="2" fontId="36" fillId="0" borderId="0" xfId="0" applyNumberFormat="1" applyFont="1" applyAlignment="1">
      <alignment horizontal="center" vertical="center"/>
    </xf>
    <xf numFmtId="2" fontId="37" fillId="26" borderId="13" xfId="0" applyNumberFormat="1" applyFont="1" applyFill="1" applyBorder="1" applyAlignment="1">
      <alignment horizontal="center" vertical="center"/>
    </xf>
    <xf numFmtId="2" fontId="36" fillId="26" borderId="13" xfId="0" applyNumberFormat="1" applyFont="1" applyFill="1" applyBorder="1" applyAlignment="1">
      <alignment horizontal="center" vertical="center"/>
    </xf>
    <xf numFmtId="2" fontId="37" fillId="26" borderId="11" xfId="0" applyNumberFormat="1" applyFont="1" applyFill="1" applyBorder="1" applyAlignment="1">
      <alignment horizontal="center" vertical="center"/>
    </xf>
    <xf numFmtId="2" fontId="37" fillId="0" borderId="0" xfId="0" applyNumberFormat="1" applyFont="1" applyAlignment="1">
      <alignment horizontal="center" vertical="center"/>
    </xf>
    <xf numFmtId="14" fontId="36" fillId="0" borderId="23" xfId="0" applyNumberFormat="1" applyFont="1" applyBorder="1" applyAlignment="1">
      <alignment horizontal="center" vertical="center"/>
    </xf>
    <xf numFmtId="2" fontId="36" fillId="0" borderId="17" xfId="0" applyNumberFormat="1" applyFont="1" applyBorder="1" applyAlignment="1">
      <alignment horizontal="center" vertical="center"/>
    </xf>
    <xf numFmtId="2" fontId="37" fillId="0" borderId="13" xfId="0" applyNumberFormat="1" applyFont="1" applyBorder="1" applyAlignment="1">
      <alignment horizontal="center" vertical="center"/>
    </xf>
    <xf numFmtId="2" fontId="36" fillId="0" borderId="13" xfId="0" applyNumberFormat="1" applyFont="1" applyBorder="1" applyAlignment="1">
      <alignment horizontal="center" vertical="center"/>
    </xf>
    <xf numFmtId="2" fontId="37" fillId="0" borderId="11" xfId="0" applyNumberFormat="1" applyFont="1" applyBorder="1" applyAlignment="1">
      <alignment horizontal="center" vertical="center"/>
    </xf>
    <xf numFmtId="0" fontId="37" fillId="0" borderId="15" xfId="0" applyFont="1" applyBorder="1" applyAlignment="1">
      <alignment horizontal="center" vertical="center"/>
    </xf>
    <xf numFmtId="0" fontId="37" fillId="0" borderId="0" xfId="0" applyFont="1" applyAlignment="1">
      <alignment horizontal="center" vertical="center"/>
    </xf>
    <xf numFmtId="0" fontId="36" fillId="0" borderId="11" xfId="0" applyFont="1" applyBorder="1" applyAlignment="1">
      <alignment horizontal="center" vertical="center"/>
    </xf>
    <xf numFmtId="0" fontId="37" fillId="0" borderId="11" xfId="0" applyFont="1" applyBorder="1" applyAlignment="1">
      <alignment horizontal="center" vertical="center"/>
    </xf>
    <xf numFmtId="0" fontId="36" fillId="26" borderId="26" xfId="46" applyNumberFormat="1" applyFont="1" applyFill="1" applyBorder="1" applyAlignment="1">
      <alignment horizontal="right" vertical="center" wrapText="1"/>
    </xf>
    <xf numFmtId="0" fontId="36" fillId="26" borderId="10" xfId="46" applyNumberFormat="1" applyFont="1" applyFill="1" applyBorder="1" applyAlignment="1">
      <alignment horizontal="right" vertical="center" wrapText="1"/>
    </xf>
    <xf numFmtId="43" fontId="36" fillId="0" borderId="19" xfId="46" applyFont="1" applyBorder="1" applyAlignment="1">
      <alignment horizontal="right" vertical="center"/>
    </xf>
    <xf numFmtId="43" fontId="36" fillId="0" borderId="9" xfId="46" applyFont="1" applyBorder="1" applyAlignment="1">
      <alignment horizontal="right" vertical="center" wrapText="1"/>
    </xf>
    <xf numFmtId="43" fontId="37" fillId="0" borderId="35" xfId="46" applyFont="1" applyBorder="1" applyAlignment="1">
      <alignment horizontal="right" vertical="center"/>
    </xf>
    <xf numFmtId="43" fontId="37" fillId="0" borderId="21" xfId="46" applyFont="1" applyBorder="1" applyAlignment="1">
      <alignment horizontal="right" vertical="center" wrapText="1"/>
    </xf>
    <xf numFmtId="165" fontId="36" fillId="26" borderId="19" xfId="0" applyNumberFormat="1" applyFont="1" applyFill="1" applyBorder="1" applyAlignment="1">
      <alignment horizontal="center" vertical="center"/>
    </xf>
    <xf numFmtId="4" fontId="36" fillId="0" borderId="19" xfId="46" applyNumberFormat="1" applyFont="1" applyFill="1" applyBorder="1" applyAlignment="1">
      <alignment horizontal="center" vertical="center" wrapText="1"/>
    </xf>
    <xf numFmtId="2" fontId="36" fillId="0" borderId="19" xfId="0" applyNumberFormat="1" applyFont="1" applyBorder="1" applyAlignment="1">
      <alignment horizontal="center" vertical="center" wrapText="1"/>
    </xf>
    <xf numFmtId="4" fontId="36" fillId="0" borderId="19" xfId="0" applyNumberFormat="1" applyFont="1" applyBorder="1" applyAlignment="1">
      <alignment horizontal="center" vertical="center" wrapText="1"/>
    </xf>
    <xf numFmtId="2" fontId="36" fillId="0" borderId="0" xfId="0" applyNumberFormat="1" applyFont="1" applyAlignment="1">
      <alignment horizontal="center" vertical="center" wrapText="1"/>
    </xf>
    <xf numFmtId="165" fontId="36" fillId="0" borderId="20" xfId="0" applyNumberFormat="1" applyFont="1" applyBorder="1" applyAlignment="1">
      <alignment horizontal="center" vertical="center"/>
    </xf>
    <xf numFmtId="4" fontId="36" fillId="0" borderId="20" xfId="46" applyNumberFormat="1" applyFont="1" applyFill="1" applyBorder="1" applyAlignment="1">
      <alignment horizontal="center" vertical="center" wrapText="1"/>
    </xf>
    <xf numFmtId="4" fontId="36" fillId="0" borderId="20" xfId="0" applyNumberFormat="1" applyFont="1" applyBorder="1" applyAlignment="1">
      <alignment horizontal="center" vertical="center" wrapText="1"/>
    </xf>
    <xf numFmtId="4" fontId="36" fillId="0" borderId="27" xfId="46" applyNumberFormat="1" applyFont="1" applyFill="1" applyBorder="1" applyAlignment="1">
      <alignment horizontal="center" vertical="center" wrapText="1"/>
    </xf>
    <xf numFmtId="4" fontId="37" fillId="0" borderId="28" xfId="46" applyNumberFormat="1" applyFont="1" applyFill="1" applyBorder="1" applyAlignment="1">
      <alignment horizontal="center" vertical="center" wrapText="1"/>
    </xf>
    <xf numFmtId="0" fontId="36" fillId="0" borderId="0" xfId="0" applyFont="1" applyAlignment="1">
      <alignment horizontal="center"/>
    </xf>
    <xf numFmtId="14" fontId="36" fillId="0" borderId="0" xfId="0" applyNumberFormat="1" applyFont="1" applyAlignment="1">
      <alignment horizontal="center"/>
    </xf>
    <xf numFmtId="4" fontId="36" fillId="0" borderId="0" xfId="0" applyNumberFormat="1" applyFont="1" applyAlignment="1">
      <alignment horizontal="center" vertical="center" wrapText="1"/>
    </xf>
    <xf numFmtId="2" fontId="36" fillId="0" borderId="0" xfId="0" applyNumberFormat="1" applyFont="1" applyAlignment="1">
      <alignment vertical="top" wrapText="1"/>
    </xf>
    <xf numFmtId="0" fontId="37" fillId="27" borderId="19" xfId="0" applyFont="1" applyFill="1" applyBorder="1" applyAlignment="1">
      <alignment horizontal="center" vertical="center" wrapText="1"/>
    </xf>
    <xf numFmtId="169" fontId="25" fillId="0" borderId="0" xfId="0" applyNumberFormat="1" applyFont="1" applyAlignment="1">
      <alignment horizontal="right" vertical="top"/>
    </xf>
    <xf numFmtId="0" fontId="25" fillId="0" borderId="19" xfId="0" applyFont="1" applyBorder="1" applyAlignment="1">
      <alignment horizontal="left" vertical="top"/>
    </xf>
    <xf numFmtId="0" fontId="26" fillId="0" borderId="0" xfId="0" applyFont="1" applyAlignment="1">
      <alignment vertical="top"/>
    </xf>
    <xf numFmtId="0" fontId="26" fillId="0" borderId="0" xfId="0" applyFont="1" applyAlignment="1">
      <alignment horizontal="center" vertical="top"/>
    </xf>
    <xf numFmtId="14" fontId="25" fillId="0" borderId="0" xfId="0" applyNumberFormat="1" applyFont="1" applyAlignment="1">
      <alignment horizontal="right" vertical="top"/>
    </xf>
    <xf numFmtId="1" fontId="25" fillId="0" borderId="0" xfId="0" applyNumberFormat="1" applyFont="1" applyAlignment="1">
      <alignment vertical="top"/>
    </xf>
    <xf numFmtId="43" fontId="25" fillId="0" borderId="0" xfId="46" applyFont="1" applyFill="1" applyBorder="1" applyAlignment="1">
      <alignment vertical="top"/>
    </xf>
    <xf numFmtId="43" fontId="31" fillId="0" borderId="0" xfId="46" applyFont="1" applyFill="1" applyBorder="1" applyAlignment="1">
      <alignment vertical="top"/>
    </xf>
    <xf numFmtId="167" fontId="25" fillId="0" borderId="0" xfId="46" applyNumberFormat="1" applyFont="1" applyFill="1" applyBorder="1" applyAlignment="1">
      <alignment vertical="top"/>
    </xf>
    <xf numFmtId="0" fontId="29" fillId="0" borderId="0" xfId="41" applyFont="1" applyAlignment="1">
      <alignment horizontal="left" vertical="top" wrapText="1"/>
    </xf>
    <xf numFmtId="167" fontId="26" fillId="0" borderId="0" xfId="46" applyNumberFormat="1" applyFont="1" applyFill="1" applyBorder="1" applyAlignment="1">
      <alignment vertical="top"/>
    </xf>
    <xf numFmtId="10" fontId="25" fillId="0" borderId="0" xfId="47" applyNumberFormat="1" applyFont="1" applyFill="1" applyBorder="1" applyAlignment="1">
      <alignment vertical="top"/>
    </xf>
    <xf numFmtId="0" fontId="32" fillId="0" borderId="0" xfId="0" applyFont="1" applyAlignment="1">
      <alignment vertical="top" wrapText="1"/>
    </xf>
    <xf numFmtId="0" fontId="26" fillId="24" borderId="0" xfId="0" applyFont="1" applyFill="1" applyAlignment="1">
      <alignment horizontal="left" vertical="top"/>
    </xf>
    <xf numFmtId="0" fontId="28" fillId="24" borderId="0" xfId="48" applyFont="1" applyFill="1" applyBorder="1" applyAlignment="1">
      <alignment horizontal="left" vertical="top"/>
    </xf>
    <xf numFmtId="0" fontId="25" fillId="24" borderId="0" xfId="0" applyFont="1" applyFill="1" applyAlignment="1">
      <alignment horizontal="left" vertical="top"/>
    </xf>
    <xf numFmtId="2" fontId="26" fillId="27" borderId="19" xfId="0" applyNumberFormat="1" applyFont="1" applyFill="1" applyBorder="1" applyAlignment="1">
      <alignment horizontal="right" vertical="top"/>
    </xf>
    <xf numFmtId="0" fontId="26" fillId="27" borderId="19" xfId="0" applyFont="1" applyFill="1" applyBorder="1" applyAlignment="1">
      <alignment horizontal="left" vertical="top"/>
    </xf>
    <xf numFmtId="15" fontId="25" fillId="0" borderId="19" xfId="0" applyNumberFormat="1" applyFont="1" applyBorder="1" applyAlignment="1">
      <alignment horizontal="right" vertical="top"/>
    </xf>
    <xf numFmtId="0" fontId="25" fillId="0" borderId="19" xfId="0" applyFont="1" applyBorder="1" applyAlignment="1">
      <alignment horizontal="right" vertical="top"/>
    </xf>
    <xf numFmtId="169" fontId="25" fillId="0" borderId="19" xfId="0" applyNumberFormat="1" applyFont="1" applyBorder="1" applyAlignment="1">
      <alignment horizontal="right" vertical="top"/>
    </xf>
    <xf numFmtId="167" fontId="25" fillId="0" borderId="19" xfId="46" applyNumberFormat="1" applyFont="1" applyBorder="1" applyAlignment="1">
      <alignment horizontal="right" vertical="top"/>
    </xf>
    <xf numFmtId="167" fontId="25" fillId="0" borderId="0" xfId="46" applyNumberFormat="1" applyFont="1" applyFill="1" applyBorder="1" applyAlignment="1">
      <alignment horizontal="right" vertical="top"/>
    </xf>
    <xf numFmtId="43" fontId="25" fillId="0" borderId="19" xfId="46" applyFont="1" applyBorder="1" applyAlignment="1">
      <alignment horizontal="right" vertical="top"/>
    </xf>
    <xf numFmtId="0" fontId="29" fillId="0" borderId="19" xfId="41" applyFont="1" applyBorder="1" applyAlignment="1">
      <alignment horizontal="left" vertical="top"/>
    </xf>
    <xf numFmtId="1" fontId="25" fillId="0" borderId="19" xfId="46" applyNumberFormat="1" applyFont="1" applyFill="1" applyBorder="1" applyAlignment="1">
      <alignment horizontal="right" vertical="top"/>
    </xf>
    <xf numFmtId="167" fontId="26" fillId="0" borderId="19" xfId="46" applyNumberFormat="1" applyFont="1" applyBorder="1" applyAlignment="1">
      <alignment horizontal="right" vertical="top"/>
    </xf>
    <xf numFmtId="10" fontId="25" fillId="0" borderId="19" xfId="47" applyNumberFormat="1" applyFont="1" applyBorder="1" applyAlignment="1">
      <alignment horizontal="right" vertical="top"/>
    </xf>
    <xf numFmtId="0" fontId="29" fillId="0" borderId="0" xfId="41" applyFont="1" applyAlignment="1">
      <alignment horizontal="left" vertical="top"/>
    </xf>
    <xf numFmtId="10" fontId="25" fillId="0" borderId="0" xfId="47" applyNumberFormat="1" applyFont="1" applyBorder="1" applyAlignment="1">
      <alignment horizontal="right" vertical="top"/>
    </xf>
    <xf numFmtId="10" fontId="25" fillId="0" borderId="0" xfId="47" applyNumberFormat="1" applyFont="1" applyAlignment="1">
      <alignment vertical="top"/>
    </xf>
    <xf numFmtId="0" fontId="32" fillId="0" borderId="0" xfId="0" applyFont="1" applyAlignment="1">
      <alignment horizontal="center" vertical="top" wrapText="1"/>
    </xf>
    <xf numFmtId="0" fontId="32" fillId="0" borderId="0" xfId="0" applyFont="1" applyAlignment="1">
      <alignment horizontal="right" vertical="top"/>
    </xf>
    <xf numFmtId="0" fontId="32" fillId="0" borderId="0" xfId="0" applyFont="1" applyAlignment="1">
      <alignment vertical="top"/>
    </xf>
    <xf numFmtId="43" fontId="33" fillId="0" borderId="0" xfId="0" applyNumberFormat="1" applyFont="1" applyAlignment="1">
      <alignment horizontal="right" vertical="top"/>
    </xf>
    <xf numFmtId="167" fontId="33" fillId="0" borderId="0" xfId="0" applyNumberFormat="1" applyFont="1" applyAlignment="1">
      <alignment horizontal="right" vertical="top"/>
    </xf>
    <xf numFmtId="0" fontId="26" fillId="27" borderId="19" xfId="0" applyFont="1" applyFill="1" applyBorder="1" applyAlignment="1">
      <alignment horizontal="center" vertical="top"/>
    </xf>
    <xf numFmtId="0" fontId="26" fillId="27" borderId="19" xfId="0" applyFont="1" applyFill="1" applyBorder="1" applyAlignment="1">
      <alignment horizontal="right" vertical="top" wrapText="1"/>
    </xf>
    <xf numFmtId="14" fontId="25" fillId="0" borderId="19" xfId="44" applyNumberFormat="1" applyFont="1" applyBorder="1" applyAlignment="1">
      <alignment horizontal="center" vertical="top" wrapText="1"/>
    </xf>
    <xf numFmtId="0" fontId="25" fillId="0" borderId="19" xfId="46" applyNumberFormat="1" applyFont="1" applyBorder="1" applyAlignment="1">
      <alignment horizontal="right" vertical="top"/>
    </xf>
    <xf numFmtId="43" fontId="26" fillId="0" borderId="19" xfId="46" applyFont="1" applyBorder="1" applyAlignment="1">
      <alignment horizontal="right" vertical="top"/>
    </xf>
    <xf numFmtId="0" fontId="26" fillId="0" borderId="19" xfId="0" applyFont="1" applyBorder="1" applyAlignment="1">
      <alignment horizontal="right" vertical="top"/>
    </xf>
    <xf numFmtId="43" fontId="29" fillId="0" borderId="19" xfId="46" applyFont="1" applyBorder="1" applyAlignment="1">
      <alignment horizontal="right" vertical="top"/>
    </xf>
    <xf numFmtId="0" fontId="26" fillId="0" borderId="19" xfId="0" applyFont="1" applyBorder="1" applyAlignment="1">
      <alignment horizontal="left" vertical="top"/>
    </xf>
    <xf numFmtId="167" fontId="33" fillId="0" borderId="19" xfId="0" applyNumberFormat="1" applyFont="1" applyBorder="1" applyAlignment="1">
      <alignment horizontal="right" vertical="top" wrapText="1"/>
    </xf>
    <xf numFmtId="167" fontId="33" fillId="0" borderId="19" xfId="0" applyNumberFormat="1" applyFont="1" applyBorder="1" applyAlignment="1">
      <alignment horizontal="center" vertical="top" wrapText="1"/>
    </xf>
    <xf numFmtId="0" fontId="25" fillId="0" borderId="19" xfId="0" applyFont="1" applyBorder="1" applyAlignment="1">
      <alignment horizontal="center" vertical="top" wrapText="1"/>
    </xf>
    <xf numFmtId="0" fontId="36" fillId="0" borderId="0" xfId="0" applyFont="1"/>
    <xf numFmtId="0" fontId="37" fillId="0" borderId="0" xfId="0" applyFont="1"/>
    <xf numFmtId="43" fontId="36" fillId="0" borderId="19" xfId="46" applyFont="1" applyBorder="1" applyAlignment="1">
      <alignment horizontal="left" vertical="top"/>
    </xf>
    <xf numFmtId="10" fontId="36" fillId="24" borderId="19" xfId="47" applyNumberFormat="1" applyFont="1" applyFill="1" applyBorder="1" applyAlignment="1">
      <alignment horizontal="left" vertical="top"/>
    </xf>
    <xf numFmtId="10" fontId="36" fillId="24" borderId="19" xfId="0" applyNumberFormat="1" applyFont="1" applyFill="1" applyBorder="1" applyAlignment="1">
      <alignment horizontal="left" vertical="top"/>
    </xf>
    <xf numFmtId="10" fontId="36" fillId="0" borderId="19" xfId="0" applyNumberFormat="1" applyFont="1" applyBorder="1" applyAlignment="1">
      <alignment horizontal="left" vertical="top"/>
    </xf>
    <xf numFmtId="0" fontId="36" fillId="0" borderId="19" xfId="0" applyFont="1" applyBorder="1" applyAlignment="1">
      <alignment horizontal="left" vertical="top"/>
    </xf>
    <xf numFmtId="0" fontId="37" fillId="0" borderId="0" xfId="0" applyFont="1" applyAlignment="1">
      <alignment horizontal="center"/>
    </xf>
    <xf numFmtId="43" fontId="36" fillId="0" borderId="0" xfId="0" applyNumberFormat="1" applyFont="1"/>
    <xf numFmtId="0" fontId="36" fillId="27" borderId="19" xfId="0" applyFont="1" applyFill="1" applyBorder="1" applyAlignment="1">
      <alignment horizontal="center" vertical="top"/>
    </xf>
    <xf numFmtId="0" fontId="36" fillId="27" borderId="19" xfId="0" applyFont="1" applyFill="1" applyBorder="1" applyAlignment="1">
      <alignment horizontal="left" vertical="top" wrapText="1"/>
    </xf>
    <xf numFmtId="0" fontId="36" fillId="27" borderId="19" xfId="0" applyFont="1" applyFill="1" applyBorder="1" applyAlignment="1">
      <alignment horizontal="left" vertical="top"/>
    </xf>
    <xf numFmtId="0" fontId="37" fillId="0" borderId="32" xfId="0" applyFont="1" applyBorder="1" applyAlignment="1">
      <alignment horizontal="center" vertical="top"/>
    </xf>
    <xf numFmtId="0" fontId="36" fillId="27" borderId="19" xfId="0" applyFont="1" applyFill="1" applyBorder="1" applyAlignment="1">
      <alignment horizontal="center" vertical="top" wrapText="1"/>
    </xf>
    <xf numFmtId="43" fontId="36" fillId="0" borderId="26" xfId="46" applyFont="1" applyBorder="1" applyAlignment="1">
      <alignment vertical="top"/>
    </xf>
    <xf numFmtId="0" fontId="36" fillId="0" borderId="0" xfId="0" applyFont="1" applyAlignment="1">
      <alignment horizontal="left" vertical="center"/>
    </xf>
    <xf numFmtId="171" fontId="36" fillId="0" borderId="19" xfId="0" applyNumberFormat="1" applyFont="1" applyBorder="1" applyAlignment="1">
      <alignment horizontal="left" vertical="center"/>
    </xf>
    <xf numFmtId="43" fontId="36" fillId="0" borderId="19" xfId="46" applyFont="1" applyBorder="1" applyAlignment="1">
      <alignment horizontal="left" vertical="center"/>
    </xf>
    <xf numFmtId="9" fontId="36" fillId="0" borderId="0" xfId="47" applyFont="1"/>
    <xf numFmtId="10" fontId="36" fillId="0" borderId="0" xfId="0" applyNumberFormat="1" applyFont="1"/>
    <xf numFmtId="0" fontId="36" fillId="0" borderId="0" xfId="0" applyFont="1" applyAlignment="1">
      <alignment wrapText="1"/>
    </xf>
    <xf numFmtId="166" fontId="26" fillId="0" borderId="19" xfId="44" applyNumberFormat="1" applyFont="1" applyBorder="1" applyAlignment="1">
      <alignment horizontal="center" vertical="top" wrapText="1"/>
    </xf>
    <xf numFmtId="0" fontId="26" fillId="27" borderId="19" xfId="0" applyFont="1" applyFill="1" applyBorder="1" applyAlignment="1">
      <alignment horizontal="center" vertical="top"/>
    </xf>
    <xf numFmtId="0" fontId="29" fillId="0" borderId="37" xfId="41" applyFont="1" applyBorder="1" applyAlignment="1">
      <alignment horizontal="left" vertical="top"/>
    </xf>
    <xf numFmtId="0" fontId="29" fillId="0" borderId="32" xfId="41" applyFont="1" applyBorder="1" applyAlignment="1">
      <alignment horizontal="left" vertical="top"/>
    </xf>
    <xf numFmtId="0" fontId="31" fillId="0" borderId="37" xfId="41" applyFont="1" applyBorder="1" applyAlignment="1">
      <alignment horizontal="left" vertical="top"/>
    </xf>
    <xf numFmtId="0" fontId="31" fillId="0" borderId="32" xfId="41" applyFont="1" applyBorder="1" applyAlignment="1">
      <alignment horizontal="left" vertical="top"/>
    </xf>
    <xf numFmtId="0" fontId="31" fillId="27" borderId="19" xfId="49" applyFont="1" applyFill="1" applyBorder="1" applyAlignment="1" applyProtection="1">
      <alignment horizontal="center" vertical="top"/>
      <protection locked="0"/>
    </xf>
    <xf numFmtId="0" fontId="26" fillId="27" borderId="37" xfId="0" applyFont="1" applyFill="1" applyBorder="1" applyAlignment="1">
      <alignment horizontal="left" vertical="top"/>
    </xf>
    <xf numFmtId="0" fontId="26" fillId="27" borderId="32" xfId="0" applyFont="1" applyFill="1" applyBorder="1" applyAlignment="1">
      <alignment horizontal="left" vertical="top"/>
    </xf>
    <xf numFmtId="0" fontId="25" fillId="0" borderId="37" xfId="0" applyFont="1" applyBorder="1" applyAlignment="1">
      <alignment horizontal="left" vertical="top"/>
    </xf>
    <xf numFmtId="0" fontId="25" fillId="0" borderId="46" xfId="0" applyFont="1" applyBorder="1" applyAlignment="1">
      <alignment horizontal="left" vertical="top"/>
    </xf>
    <xf numFmtId="0" fontId="25" fillId="0" borderId="32" xfId="0" applyFont="1" applyBorder="1" applyAlignment="1">
      <alignment horizontal="left" vertical="top"/>
    </xf>
    <xf numFmtId="0" fontId="28" fillId="0" borderId="37" xfId="48" applyFont="1" applyFill="1" applyBorder="1" applyAlignment="1">
      <alignment horizontal="left" vertical="top"/>
    </xf>
    <xf numFmtId="0" fontId="28" fillId="0" borderId="46" xfId="48" applyFont="1" applyFill="1" applyBorder="1" applyAlignment="1">
      <alignment horizontal="left" vertical="top"/>
    </xf>
    <xf numFmtId="0" fontId="28" fillId="0" borderId="32" xfId="48" applyFont="1" applyFill="1" applyBorder="1" applyAlignment="1">
      <alignment horizontal="left" vertical="top"/>
    </xf>
    <xf numFmtId="14" fontId="25" fillId="0" borderId="37" xfId="0" applyNumberFormat="1" applyFont="1" applyBorder="1" applyAlignment="1">
      <alignment horizontal="left" vertical="top"/>
    </xf>
    <xf numFmtId="14" fontId="25" fillId="0" borderId="46" xfId="0" applyNumberFormat="1" applyFont="1" applyBorder="1" applyAlignment="1">
      <alignment horizontal="left" vertical="top"/>
    </xf>
    <xf numFmtId="14" fontId="25" fillId="0" borderId="32" xfId="0" applyNumberFormat="1" applyFont="1" applyBorder="1" applyAlignment="1">
      <alignment horizontal="left" vertical="top"/>
    </xf>
    <xf numFmtId="0" fontId="25" fillId="0" borderId="19" xfId="0" applyFont="1" applyBorder="1" applyAlignment="1">
      <alignment horizontal="left" vertical="top"/>
    </xf>
    <xf numFmtId="0" fontId="29" fillId="0" borderId="0" xfId="41" applyFont="1" applyAlignment="1">
      <alignment horizontal="left" vertical="top" wrapText="1"/>
    </xf>
    <xf numFmtId="2" fontId="36" fillId="0" borderId="41" xfId="0" applyNumberFormat="1" applyFont="1" applyBorder="1" applyAlignment="1">
      <alignment horizontal="left" vertical="top" wrapText="1"/>
    </xf>
    <xf numFmtId="2" fontId="36" fillId="0" borderId="25" xfId="0" applyNumberFormat="1" applyFont="1" applyBorder="1" applyAlignment="1">
      <alignment horizontal="left" vertical="top" wrapText="1"/>
    </xf>
    <xf numFmtId="2" fontId="36" fillId="0" borderId="29" xfId="0" applyNumberFormat="1" applyFont="1" applyBorder="1" applyAlignment="1">
      <alignment horizontal="left" vertical="top" wrapText="1"/>
    </xf>
    <xf numFmtId="2" fontId="36" fillId="0" borderId="38" xfId="0" applyNumberFormat="1" applyFont="1" applyBorder="1" applyAlignment="1">
      <alignment horizontal="left" vertical="top" wrapText="1"/>
    </xf>
    <xf numFmtId="2" fontId="36" fillId="0" borderId="0" xfId="0" applyNumberFormat="1" applyFont="1" applyAlignment="1">
      <alignment horizontal="left" vertical="top" wrapText="1"/>
    </xf>
    <xf numFmtId="2" fontId="36" fillId="0" borderId="17" xfId="0" applyNumberFormat="1" applyFont="1" applyBorder="1" applyAlignment="1">
      <alignment horizontal="left" vertical="top" wrapText="1"/>
    </xf>
    <xf numFmtId="2" fontId="36" fillId="0" borderId="42" xfId="0" applyNumberFormat="1" applyFont="1" applyBorder="1" applyAlignment="1">
      <alignment horizontal="left" vertical="top" wrapText="1"/>
    </xf>
    <xf numFmtId="2" fontId="36" fillId="0" borderId="30" xfId="0" applyNumberFormat="1" applyFont="1" applyBorder="1" applyAlignment="1">
      <alignment horizontal="left" vertical="top" wrapText="1"/>
    </xf>
    <xf numFmtId="2" fontId="36" fillId="0" borderId="31" xfId="0" applyNumberFormat="1" applyFont="1" applyBorder="1" applyAlignment="1">
      <alignment horizontal="left" vertical="top" wrapText="1"/>
    </xf>
    <xf numFmtId="0" fontId="36" fillId="26" borderId="24" xfId="0" applyFont="1" applyFill="1" applyBorder="1" applyAlignment="1">
      <alignment horizontal="left" vertical="center"/>
    </xf>
    <xf numFmtId="0" fontId="36" fillId="26" borderId="25" xfId="0" applyFont="1" applyFill="1" applyBorder="1" applyAlignment="1">
      <alignment horizontal="left" vertical="center"/>
    </xf>
    <xf numFmtId="0" fontId="36" fillId="26" borderId="23" xfId="0" applyFont="1" applyFill="1" applyBorder="1" applyAlignment="1">
      <alignment horizontal="left" vertical="center"/>
    </xf>
    <xf numFmtId="0" fontId="36" fillId="26" borderId="0" xfId="0" applyFont="1" applyFill="1" applyAlignment="1">
      <alignment horizontal="left" vertical="center"/>
    </xf>
    <xf numFmtId="0" fontId="36" fillId="26" borderId="15" xfId="0" applyFont="1" applyFill="1" applyBorder="1" applyAlignment="1">
      <alignment horizontal="left" vertical="center"/>
    </xf>
    <xf numFmtId="0" fontId="36" fillId="26" borderId="30" xfId="0" applyFont="1" applyFill="1" applyBorder="1" applyAlignment="1">
      <alignment horizontal="left" vertical="center"/>
    </xf>
    <xf numFmtId="0" fontId="37" fillId="25" borderId="18" xfId="0" applyFont="1" applyFill="1" applyBorder="1" applyAlignment="1">
      <alignment horizontal="center" vertical="center"/>
    </xf>
    <xf numFmtId="0" fontId="37" fillId="25" borderId="22" xfId="0" applyFont="1" applyFill="1" applyBorder="1" applyAlignment="1">
      <alignment horizontal="center" vertical="center"/>
    </xf>
    <xf numFmtId="0" fontId="37" fillId="25" borderId="12" xfId="0" applyFont="1" applyFill="1" applyBorder="1" applyAlignment="1">
      <alignment horizontal="center" vertical="center"/>
    </xf>
    <xf numFmtId="0" fontId="37" fillId="25" borderId="18" xfId="0" applyFont="1" applyFill="1" applyBorder="1" applyAlignment="1">
      <alignment horizontal="center" vertical="center" wrapText="1"/>
    </xf>
    <xf numFmtId="0" fontId="37" fillId="25" borderId="22" xfId="0" applyFont="1" applyFill="1" applyBorder="1" applyAlignment="1">
      <alignment horizontal="center" vertical="center" wrapText="1"/>
    </xf>
    <xf numFmtId="0" fontId="37" fillId="25" borderId="12" xfId="0" applyFont="1" applyFill="1" applyBorder="1" applyAlignment="1">
      <alignment horizontal="center" vertical="center" wrapText="1"/>
    </xf>
    <xf numFmtId="0" fontId="37" fillId="25" borderId="25" xfId="0" applyFont="1" applyFill="1" applyBorder="1" applyAlignment="1">
      <alignment horizontal="center" vertical="center" wrapText="1"/>
    </xf>
    <xf numFmtId="0" fontId="37" fillId="25" borderId="0" xfId="0" applyFont="1" applyFill="1" applyAlignment="1">
      <alignment horizontal="center" vertical="center" wrapText="1"/>
    </xf>
    <xf numFmtId="0" fontId="37" fillId="25" borderId="24" xfId="0" applyFont="1" applyFill="1" applyBorder="1" applyAlignment="1">
      <alignment horizontal="center" vertical="center" wrapText="1"/>
    </xf>
    <xf numFmtId="0" fontId="37" fillId="25" borderId="43" xfId="0" applyFont="1" applyFill="1" applyBorder="1" applyAlignment="1">
      <alignment horizontal="center" vertical="center" wrapText="1"/>
    </xf>
    <xf numFmtId="0" fontId="37" fillId="25" borderId="44" xfId="0" applyFont="1" applyFill="1" applyBorder="1" applyAlignment="1">
      <alignment horizontal="center" vertical="center" wrapText="1"/>
    </xf>
    <xf numFmtId="0" fontId="37" fillId="25" borderId="45" xfId="0" applyFont="1" applyFill="1" applyBorder="1" applyAlignment="1">
      <alignment horizontal="center" vertical="center" wrapText="1"/>
    </xf>
    <xf numFmtId="0" fontId="37" fillId="25" borderId="17" xfId="0" applyFont="1" applyFill="1" applyBorder="1" applyAlignment="1">
      <alignment horizontal="center" vertical="center" wrapText="1"/>
    </xf>
    <xf numFmtId="0" fontId="37" fillId="0" borderId="40" xfId="0" applyFont="1" applyBorder="1" applyAlignment="1">
      <alignment horizontal="center" vertical="center"/>
    </xf>
    <xf numFmtId="0" fontId="37" fillId="0" borderId="33" xfId="0" applyFont="1" applyBorder="1" applyAlignment="1">
      <alignment horizontal="center" vertical="center"/>
    </xf>
    <xf numFmtId="0" fontId="36" fillId="0" borderId="0" xfId="0" applyFont="1" applyAlignment="1">
      <alignment horizontal="center" vertical="center" wrapText="1"/>
    </xf>
    <xf numFmtId="0" fontId="19" fillId="0" borderId="13" xfId="0" applyFont="1" applyBorder="1" applyAlignment="1">
      <alignment horizontal="center" vertical="center"/>
    </xf>
    <xf numFmtId="0" fontId="19" fillId="0" borderId="16" xfId="0" applyFont="1" applyBorder="1" applyAlignment="1">
      <alignment horizontal="center" vertical="center"/>
    </xf>
    <xf numFmtId="2" fontId="36" fillId="0" borderId="19" xfId="0" applyNumberFormat="1" applyFont="1" applyBorder="1" applyAlignment="1">
      <alignment horizontal="left" vertical="top" wrapText="1"/>
    </xf>
    <xf numFmtId="0" fontId="36" fillId="26" borderId="47" xfId="0" applyFont="1" applyFill="1" applyBorder="1" applyAlignment="1">
      <alignment horizontal="center" vertical="center"/>
    </xf>
    <xf numFmtId="0" fontId="36" fillId="26" borderId="48" xfId="0" applyFont="1" applyFill="1" applyBorder="1" applyAlignment="1">
      <alignment horizontal="center" vertical="center"/>
    </xf>
    <xf numFmtId="0" fontId="36" fillId="26" borderId="38" xfId="0" applyFont="1" applyFill="1" applyBorder="1" applyAlignment="1">
      <alignment horizontal="center" vertical="center"/>
    </xf>
    <xf numFmtId="0" fontId="36" fillId="26" borderId="49" xfId="0" applyFont="1" applyFill="1" applyBorder="1" applyAlignment="1">
      <alignment horizontal="center" vertical="center"/>
    </xf>
    <xf numFmtId="0" fontId="36" fillId="26" borderId="50" xfId="0" applyFont="1" applyFill="1" applyBorder="1" applyAlignment="1">
      <alignment horizontal="center" vertical="center"/>
    </xf>
    <xf numFmtId="0" fontId="36" fillId="26" borderId="51" xfId="0" applyFont="1" applyFill="1" applyBorder="1" applyAlignment="1">
      <alignment horizontal="center" vertical="center"/>
    </xf>
    <xf numFmtId="0" fontId="37" fillId="27" borderId="20" xfId="0" applyFont="1" applyFill="1" applyBorder="1" applyAlignment="1">
      <alignment horizontal="center" vertical="center" wrapText="1"/>
    </xf>
    <xf numFmtId="0" fontId="37" fillId="27" borderId="26" xfId="0" applyFont="1" applyFill="1" applyBorder="1" applyAlignment="1">
      <alignment horizontal="center" vertical="center" wrapText="1"/>
    </xf>
    <xf numFmtId="0" fontId="37" fillId="27" borderId="37" xfId="0" applyFont="1" applyFill="1" applyBorder="1" applyAlignment="1">
      <alignment horizontal="center" vertical="center" wrapText="1"/>
    </xf>
    <xf numFmtId="0" fontId="37" fillId="27" borderId="32" xfId="0" applyFont="1" applyFill="1" applyBorder="1" applyAlignment="1">
      <alignment horizontal="center" vertical="center" wrapText="1"/>
    </xf>
    <xf numFmtId="0" fontId="37" fillId="0" borderId="13" xfId="0" applyFont="1" applyBorder="1" applyAlignment="1">
      <alignment horizontal="center" vertical="center"/>
    </xf>
    <xf numFmtId="0" fontId="37" fillId="0" borderId="39" xfId="0" applyFont="1" applyBorder="1" applyAlignment="1">
      <alignment horizontal="center" vertical="center"/>
    </xf>
    <xf numFmtId="0" fontId="36" fillId="27" borderId="19" xfId="0" applyFont="1" applyFill="1" applyBorder="1" applyAlignment="1">
      <alignment horizontal="center" vertical="top"/>
    </xf>
    <xf numFmtId="10" fontId="36" fillId="24" borderId="20" xfId="47" applyNumberFormat="1" applyFont="1" applyFill="1" applyBorder="1" applyAlignment="1">
      <alignment horizontal="left" vertical="center"/>
    </xf>
    <xf numFmtId="10" fontId="36" fillId="24" borderId="52" xfId="47" applyNumberFormat="1" applyFont="1" applyFill="1" applyBorder="1" applyAlignment="1">
      <alignment horizontal="left" vertical="center"/>
    </xf>
    <xf numFmtId="10" fontId="36" fillId="24" borderId="26" xfId="47" applyNumberFormat="1" applyFont="1" applyFill="1" applyBorder="1" applyAlignment="1">
      <alignment horizontal="left" vertical="center"/>
    </xf>
    <xf numFmtId="10" fontId="36" fillId="24" borderId="20" xfId="0" applyNumberFormat="1" applyFont="1" applyFill="1" applyBorder="1" applyAlignment="1">
      <alignment horizontal="left" vertical="center"/>
    </xf>
    <xf numFmtId="10" fontId="36" fillId="24" borderId="52" xfId="0" applyNumberFormat="1" applyFont="1" applyFill="1" applyBorder="1" applyAlignment="1">
      <alignment horizontal="left" vertical="center"/>
    </xf>
    <xf numFmtId="10" fontId="36" fillId="24" borderId="26" xfId="0" applyNumberFormat="1" applyFont="1" applyFill="1" applyBorder="1" applyAlignment="1">
      <alignment horizontal="left" vertical="center"/>
    </xf>
    <xf numFmtId="0" fontId="36" fillId="28" borderId="37" xfId="0" applyFont="1" applyFill="1" applyBorder="1" applyAlignment="1">
      <alignment horizontal="left" vertical="top" wrapText="1"/>
    </xf>
    <xf numFmtId="0" fontId="36" fillId="28" borderId="46" xfId="0" applyFont="1" applyFill="1" applyBorder="1" applyAlignment="1">
      <alignment horizontal="left" vertical="top" wrapText="1"/>
    </xf>
    <xf numFmtId="0" fontId="36" fillId="28" borderId="32" xfId="0" applyFont="1" applyFill="1" applyBorder="1" applyAlignment="1">
      <alignment horizontal="left" vertical="top" wrapText="1"/>
    </xf>
    <xf numFmtId="0" fontId="37" fillId="0" borderId="37" xfId="0" applyFont="1" applyBorder="1" applyAlignment="1">
      <alignment horizontal="center" vertical="top"/>
    </xf>
    <xf numFmtId="0" fontId="37" fillId="0" borderId="32" xfId="0" applyFont="1" applyBorder="1" applyAlignment="1">
      <alignment horizontal="center" vertical="top"/>
    </xf>
    <xf numFmtId="0" fontId="36" fillId="0" borderId="19" xfId="0" applyFont="1" applyBorder="1" applyAlignment="1">
      <alignment horizontal="left" vertical="center"/>
    </xf>
    <xf numFmtId="43" fontId="36" fillId="0" borderId="19" xfId="46" applyFont="1" applyBorder="1" applyAlignment="1">
      <alignment horizontal="center" vertical="center"/>
    </xf>
    <xf numFmtId="43" fontId="36" fillId="0" borderId="19" xfId="46" applyFont="1" applyBorder="1" applyAlignment="1">
      <alignment horizontal="left" vertical="center"/>
    </xf>
    <xf numFmtId="0" fontId="36" fillId="0" borderId="20" xfId="0" applyFont="1" applyBorder="1" applyAlignment="1">
      <alignment horizontal="left" vertical="center"/>
    </xf>
    <xf numFmtId="0" fontId="36" fillId="0" borderId="52" xfId="0" applyFont="1" applyBorder="1" applyAlignment="1">
      <alignment horizontal="left" vertical="center"/>
    </xf>
    <xf numFmtId="0" fontId="36" fillId="0" borderId="26" xfId="0" applyFont="1" applyBorder="1" applyAlignment="1">
      <alignment horizontal="left" vertical="center"/>
    </xf>
    <xf numFmtId="10" fontId="36" fillId="0" borderId="20" xfId="0" applyNumberFormat="1" applyFont="1" applyBorder="1" applyAlignment="1">
      <alignment horizontal="left" vertical="center"/>
    </xf>
    <xf numFmtId="10" fontId="36" fillId="0" borderId="52" xfId="0" applyNumberFormat="1" applyFont="1" applyBorder="1" applyAlignment="1">
      <alignment horizontal="left" vertical="center"/>
    </xf>
    <xf numFmtId="10" fontId="36" fillId="0" borderId="26" xfId="0" applyNumberFormat="1" applyFont="1" applyBorder="1" applyAlignment="1">
      <alignment horizontal="left" vertical="center"/>
    </xf>
    <xf numFmtId="43" fontId="37" fillId="0" borderId="19" xfId="46" applyFont="1" applyBorder="1" applyAlignment="1">
      <alignment horizontal="left" vertical="top"/>
    </xf>
    <xf numFmtId="173" fontId="36" fillId="24" borderId="20" xfId="0" applyNumberFormat="1" applyFont="1" applyFill="1" applyBorder="1" applyAlignment="1">
      <alignment horizontal="left" vertical="center"/>
    </xf>
    <xf numFmtId="173" fontId="36" fillId="24" borderId="52" xfId="0" applyNumberFormat="1" applyFont="1" applyFill="1" applyBorder="1" applyAlignment="1">
      <alignment horizontal="left" vertical="center"/>
    </xf>
    <xf numFmtId="173" fontId="36" fillId="24" borderId="26" xfId="0" applyNumberFormat="1" applyFont="1" applyFill="1" applyBorder="1" applyAlignment="1">
      <alignment horizontal="left" vertical="center"/>
    </xf>
    <xf numFmtId="0" fontId="31" fillId="0" borderId="19" xfId="41" applyFont="1" applyBorder="1" applyAlignment="1">
      <alignment horizontal="center" vertical="top"/>
    </xf>
  </cellXfs>
  <cellStyles count="52">
    <cellStyle name="20% - Colore 1" xfId="1" xr:uid="{00000000-0005-0000-0000-000000000000}"/>
    <cellStyle name="20% - Colore 2" xfId="2" xr:uid="{00000000-0005-0000-0000-000001000000}"/>
    <cellStyle name="20% - Colore 3" xfId="3" xr:uid="{00000000-0005-0000-0000-000002000000}"/>
    <cellStyle name="20% - Colore 4" xfId="4" xr:uid="{00000000-0005-0000-0000-000003000000}"/>
    <cellStyle name="20% - Colore 5" xfId="5" xr:uid="{00000000-0005-0000-0000-000004000000}"/>
    <cellStyle name="20% - Colore 6" xfId="6" xr:uid="{00000000-0005-0000-0000-000005000000}"/>
    <cellStyle name="40% - Colore 1" xfId="7" xr:uid="{00000000-0005-0000-0000-000006000000}"/>
    <cellStyle name="40% - Colore 2" xfId="8" xr:uid="{00000000-0005-0000-0000-000007000000}"/>
    <cellStyle name="40% - Colore 3" xfId="9" xr:uid="{00000000-0005-0000-0000-000008000000}"/>
    <cellStyle name="40% - Colore 4" xfId="10" xr:uid="{00000000-0005-0000-0000-000009000000}"/>
    <cellStyle name="40% - Colore 5" xfId="11" xr:uid="{00000000-0005-0000-0000-00000A000000}"/>
    <cellStyle name="40% - Colore 6" xfId="12" xr:uid="{00000000-0005-0000-0000-00000B000000}"/>
    <cellStyle name="60% - Colore 1" xfId="13" xr:uid="{00000000-0005-0000-0000-00000C000000}"/>
    <cellStyle name="60% - Colore 2" xfId="14" xr:uid="{00000000-0005-0000-0000-00000D000000}"/>
    <cellStyle name="60% - Colore 3" xfId="15" xr:uid="{00000000-0005-0000-0000-00000E000000}"/>
    <cellStyle name="60% - Colore 4" xfId="16" xr:uid="{00000000-0005-0000-0000-00000F000000}"/>
    <cellStyle name="60% - Colore 5" xfId="17" xr:uid="{00000000-0005-0000-0000-000010000000}"/>
    <cellStyle name="60% - Colore 6" xfId="18" xr:uid="{00000000-0005-0000-0000-000011000000}"/>
    <cellStyle name="Calcolo" xfId="19" xr:uid="{00000000-0005-0000-0000-000012000000}"/>
    <cellStyle name="Cella collegata" xfId="20" xr:uid="{00000000-0005-0000-0000-000013000000}"/>
    <cellStyle name="Cella da controllare" xfId="21" xr:uid="{00000000-0005-0000-0000-000014000000}"/>
    <cellStyle name="Colore 1" xfId="22" xr:uid="{00000000-0005-0000-0000-000015000000}"/>
    <cellStyle name="Colore 2" xfId="23" xr:uid="{00000000-0005-0000-0000-000016000000}"/>
    <cellStyle name="Colore 3" xfId="24" xr:uid="{00000000-0005-0000-0000-000017000000}"/>
    <cellStyle name="Colore 4" xfId="25" xr:uid="{00000000-0005-0000-0000-000018000000}"/>
    <cellStyle name="Colore 5" xfId="26" xr:uid="{00000000-0005-0000-0000-000019000000}"/>
    <cellStyle name="Colore 6" xfId="27" xr:uid="{00000000-0005-0000-0000-00001A000000}"/>
    <cellStyle name="Comma" xfId="46" builtinId="3"/>
    <cellStyle name="Comma 3" xfId="51" xr:uid="{DBD5974C-DD2B-4E1F-97CA-747B1FC344C1}"/>
    <cellStyle name="Hyperlink" xfId="48" builtinId="8"/>
    <cellStyle name="Neutrale" xfId="28" xr:uid="{00000000-0005-0000-0000-00001C000000}"/>
    <cellStyle name="Normal" xfId="0" builtinId="0"/>
    <cellStyle name="Normal 17" xfId="44" xr:uid="{00000000-0005-0000-0000-00001E000000}"/>
    <cellStyle name="Normal 2" xfId="43" xr:uid="{00000000-0005-0000-0000-00001F000000}"/>
    <cellStyle name="Normal 2 2" xfId="45" xr:uid="{00000000-0005-0000-0000-000020000000}"/>
    <cellStyle name="Normal 3 2" xfId="41" xr:uid="{00000000-0005-0000-0000-000021000000}"/>
    <cellStyle name="Normal 7" xfId="40" xr:uid="{00000000-0005-0000-0000-000022000000}"/>
    <cellStyle name="Normal_Hindustan Platinum_Worksheet_30.10.08" xfId="49" xr:uid="{CDC27FEC-41ED-47EE-9747-CE3DFF98474C}"/>
    <cellStyle name="Nota" xfId="29" xr:uid="{00000000-0005-0000-0000-000023000000}"/>
    <cellStyle name="Percent" xfId="47" builtinId="5"/>
    <cellStyle name="Percent 2" xfId="42" xr:uid="{00000000-0005-0000-0000-000025000000}"/>
    <cellStyle name="Percent 2 2" xfId="50" xr:uid="{7ABE3C1C-DEC7-4021-A5B7-EF4F4206575D}"/>
    <cellStyle name="Testo avviso" xfId="30" xr:uid="{00000000-0005-0000-0000-000026000000}"/>
    <cellStyle name="Testo descrittivo" xfId="31" xr:uid="{00000000-0005-0000-0000-000027000000}"/>
    <cellStyle name="Titolo" xfId="32" xr:uid="{00000000-0005-0000-0000-000028000000}"/>
    <cellStyle name="Titolo 1" xfId="33" xr:uid="{00000000-0005-0000-0000-000029000000}"/>
    <cellStyle name="Titolo 2" xfId="34" xr:uid="{00000000-0005-0000-0000-00002A000000}"/>
    <cellStyle name="Titolo 3" xfId="35" xr:uid="{00000000-0005-0000-0000-00002B000000}"/>
    <cellStyle name="Titolo 4" xfId="36" xr:uid="{00000000-0005-0000-0000-00002C000000}"/>
    <cellStyle name="Totale" xfId="37" xr:uid="{00000000-0005-0000-0000-00002D000000}"/>
    <cellStyle name="Valore non valido" xfId="38" xr:uid="{00000000-0005-0000-0000-00002E000000}"/>
    <cellStyle name="Valore valido" xfId="39"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ki-diskstation\home\home\DOCUME~1\SAUMIT~1\LOCALS~1\Temp\Temporary%20Directory%201%20for%20database_publishing_ver3.zip\Database_2006-07_0712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sheetName val="Log"/>
      <sheetName val="Results"/>
      <sheetName val="Data"/>
      <sheetName val="Units + Abbrev"/>
      <sheetName val="Assumptions"/>
      <sheetName val="Plausibility"/>
      <sheetName val="Transfers"/>
      <sheetName val="BM 0405"/>
      <sheetName val="BM 0506"/>
      <sheetName val="BM 0607"/>
      <sheetName val="Margins 0405"/>
      <sheetName val="Margins 0506"/>
      <sheetName val="Margins 0607"/>
      <sheetName val="Stat 0405"/>
      <sheetName val="Stat 0506"/>
      <sheetName val="Stat 0607"/>
      <sheetName val="Compare"/>
      <sheetName val="Unit_Gen 0405"/>
      <sheetName val="Unit_Gen 0506"/>
      <sheetName val="Unit_Gen 0607"/>
      <sheetName val="CDM"/>
    </sheetNames>
    <sheetDataSet>
      <sheetData sheetId="0"/>
      <sheetData sheetId="1"/>
      <sheetData sheetId="2"/>
      <sheetData sheetId="3"/>
      <sheetData sheetId="4"/>
      <sheetData sheetId="5">
        <row r="17">
          <cell r="D17">
            <v>8</v>
          </cell>
          <cell r="E17">
            <v>10</v>
          </cell>
          <cell r="F17">
            <v>3</v>
          </cell>
          <cell r="G17">
            <v>1</v>
          </cell>
          <cell r="H17">
            <v>3.5</v>
          </cell>
          <cell r="I17">
            <v>3.5</v>
          </cell>
          <cell r="K17">
            <v>3.5</v>
          </cell>
          <cell r="L17">
            <v>0.5</v>
          </cell>
          <cell r="M17">
            <v>10.5</v>
          </cell>
        </row>
        <row r="20">
          <cell r="D20">
            <v>2</v>
          </cell>
        </row>
        <row r="21">
          <cell r="D21">
            <v>3755</v>
          </cell>
          <cell r="F21">
            <v>8800</v>
          </cell>
          <cell r="H21">
            <v>10100</v>
          </cell>
          <cell r="I21">
            <v>10500</v>
          </cell>
          <cell r="K21">
            <v>11300</v>
          </cell>
        </row>
        <row r="22">
          <cell r="H22">
            <v>0.95</v>
          </cell>
          <cell r="I22">
            <v>0.83</v>
          </cell>
          <cell r="K22">
            <v>0.7</v>
          </cell>
        </row>
        <row r="23">
          <cell r="D23">
            <v>1.04</v>
          </cell>
          <cell r="E23">
            <v>1.28</v>
          </cell>
          <cell r="F23">
            <v>0.44</v>
          </cell>
          <cell r="G23">
            <v>0.68</v>
          </cell>
          <cell r="H23">
            <v>0.68</v>
          </cell>
          <cell r="I23">
            <v>0.6</v>
          </cell>
          <cell r="J23">
            <v>0.98</v>
          </cell>
        </row>
        <row r="30">
          <cell r="E30">
            <v>9</v>
          </cell>
          <cell r="F30">
            <v>9</v>
          </cell>
          <cell r="G30">
            <v>7.5</v>
          </cell>
        </row>
        <row r="34">
          <cell r="E34">
            <v>1.05</v>
          </cell>
          <cell r="F34">
            <v>1.05</v>
          </cell>
          <cell r="G34">
            <v>1</v>
          </cell>
        </row>
        <row r="47">
          <cell r="D47">
            <v>0.43</v>
          </cell>
          <cell r="E47">
            <v>0.42</v>
          </cell>
          <cell r="F47">
            <v>0.43</v>
          </cell>
        </row>
        <row r="52">
          <cell r="F52">
            <v>0.64</v>
          </cell>
          <cell r="G52">
            <v>0.6</v>
          </cell>
        </row>
        <row r="58">
          <cell r="D58">
            <v>0.64</v>
          </cell>
        </row>
        <row r="62">
          <cell r="D62">
            <v>0.5</v>
          </cell>
        </row>
        <row r="63">
          <cell r="D63">
            <v>0.5</v>
          </cell>
        </row>
        <row r="66">
          <cell r="D66">
            <v>4.1867999999999999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2636012-D337-4E29-80B7-35CFFB700187}">
  <we:reference id="wa103982219" version="1.1.0.0" store="en-US" storeType="OMEX"/>
  <we:alternateReferences>
    <we:reference id="wa103982219" version="1.1.0.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egistry.goldstandard.org/projects/details/14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59"/>
  <sheetViews>
    <sheetView showGridLines="0" topLeftCell="B9" zoomScale="70" zoomScaleNormal="70" workbookViewId="0">
      <selection activeCell="D14" sqref="D14"/>
    </sheetView>
  </sheetViews>
  <sheetFormatPr defaultColWidth="8.88671875" defaultRowHeight="15"/>
  <cols>
    <col min="1" max="1" width="8.88671875" style="18"/>
    <col min="2" max="2" width="30.6640625" style="18" customWidth="1"/>
    <col min="3" max="3" width="40.5546875" style="18" customWidth="1"/>
    <col min="4" max="4" width="26.109375" style="18" customWidth="1"/>
    <col min="5" max="5" width="20.5546875" style="18" customWidth="1"/>
    <col min="6" max="6" width="17" style="18" customWidth="1"/>
    <col min="7" max="7" width="12.5546875" style="18" bestFit="1" customWidth="1"/>
    <col min="8" max="8" width="12.44140625" style="18" customWidth="1"/>
    <col min="9" max="9" width="16.6640625" style="18" customWidth="1"/>
    <col min="10" max="10" width="22" style="18" customWidth="1"/>
    <col min="11" max="11" width="13.88671875" style="18" customWidth="1"/>
    <col min="12" max="12" width="14.88671875" style="18" customWidth="1"/>
    <col min="13" max="14" width="8.88671875" style="18"/>
    <col min="15" max="15" width="10.44140625" style="18" bestFit="1" customWidth="1"/>
    <col min="16" max="16" width="12.44140625" style="18" bestFit="1" customWidth="1"/>
    <col min="17" max="16384" width="8.88671875" style="18"/>
  </cols>
  <sheetData>
    <row r="2" spans="2:8" ht="15.6" customHeight="1">
      <c r="B2" s="31" t="s">
        <v>73</v>
      </c>
      <c r="C2" s="167" t="s">
        <v>57</v>
      </c>
      <c r="D2" s="168"/>
      <c r="E2" s="169"/>
      <c r="H2" s="19"/>
    </row>
    <row r="3" spans="2:8">
      <c r="B3" s="31" t="s">
        <v>53</v>
      </c>
      <c r="C3" s="167" t="s">
        <v>56</v>
      </c>
      <c r="D3" s="168"/>
      <c r="E3" s="169"/>
      <c r="H3" s="19"/>
    </row>
    <row r="4" spans="2:8">
      <c r="B4" s="31" t="s">
        <v>54</v>
      </c>
      <c r="C4" s="170" t="s">
        <v>55</v>
      </c>
      <c r="D4" s="171"/>
      <c r="E4" s="172"/>
      <c r="G4" s="21"/>
      <c r="H4" s="20"/>
    </row>
    <row r="5" spans="2:8">
      <c r="B5" s="31" t="s">
        <v>59</v>
      </c>
      <c r="C5" s="173">
        <v>45908</v>
      </c>
      <c r="D5" s="174"/>
      <c r="E5" s="175"/>
      <c r="G5" s="22"/>
      <c r="H5" s="23"/>
    </row>
    <row r="6" spans="2:8">
      <c r="B6" s="31" t="s">
        <v>58</v>
      </c>
      <c r="C6" s="176">
        <v>5</v>
      </c>
      <c r="D6" s="176"/>
      <c r="E6" s="176"/>
      <c r="H6" s="19"/>
    </row>
    <row r="7" spans="2:8">
      <c r="B7" s="103"/>
      <c r="C7" s="104"/>
      <c r="D7" s="105"/>
      <c r="E7" s="105"/>
      <c r="F7" s="19"/>
    </row>
    <row r="8" spans="2:8" ht="14.4" customHeight="1">
      <c r="B8" s="165" t="s">
        <v>39</v>
      </c>
      <c r="C8" s="166"/>
      <c r="D8" s="106" t="s">
        <v>72</v>
      </c>
      <c r="E8" s="107" t="s">
        <v>40</v>
      </c>
      <c r="G8" s="92"/>
      <c r="H8" s="93"/>
    </row>
    <row r="9" spans="2:8" ht="14.4" customHeight="1">
      <c r="B9" s="160" t="s">
        <v>5</v>
      </c>
      <c r="C9" s="161"/>
      <c r="D9" s="108">
        <f>B37</f>
        <v>43521</v>
      </c>
      <c r="E9" s="91" t="s">
        <v>41</v>
      </c>
      <c r="G9" s="94"/>
      <c r="H9" s="24"/>
    </row>
    <row r="10" spans="2:8" ht="14.4" customHeight="1">
      <c r="B10" s="160" t="s">
        <v>6</v>
      </c>
      <c r="C10" s="161"/>
      <c r="D10" s="108">
        <f>C41</f>
        <v>43646</v>
      </c>
      <c r="E10" s="91" t="s">
        <v>41</v>
      </c>
      <c r="G10" s="94"/>
      <c r="H10" s="24"/>
    </row>
    <row r="11" spans="2:8" ht="14.4" customHeight="1">
      <c r="B11" s="160" t="s">
        <v>42</v>
      </c>
      <c r="C11" s="161"/>
      <c r="D11" s="109">
        <f>D10-D9+1</f>
        <v>126</v>
      </c>
      <c r="E11" s="91" t="s">
        <v>43</v>
      </c>
      <c r="G11" s="95"/>
      <c r="H11" s="24"/>
    </row>
    <row r="12" spans="2:8" ht="14.4" customHeight="1">
      <c r="B12" s="160" t="s">
        <v>44</v>
      </c>
      <c r="C12" s="161"/>
      <c r="D12" s="110">
        <v>0.91239999999999999</v>
      </c>
      <c r="E12" s="91" t="s">
        <v>74</v>
      </c>
      <c r="G12" s="90"/>
      <c r="H12" s="24"/>
    </row>
    <row r="13" spans="2:8" ht="14.4" customHeight="1">
      <c r="B13" s="160" t="s">
        <v>45</v>
      </c>
      <c r="C13" s="161"/>
      <c r="D13" s="111">
        <v>142582</v>
      </c>
      <c r="E13" s="91" t="s">
        <v>75</v>
      </c>
      <c r="G13" s="112"/>
      <c r="H13" s="24"/>
    </row>
    <row r="14" spans="2:8" ht="14.4" customHeight="1">
      <c r="B14" s="160" t="s">
        <v>88</v>
      </c>
      <c r="C14" s="161"/>
      <c r="D14" s="111">
        <v>156272</v>
      </c>
      <c r="E14" s="91" t="s">
        <v>14</v>
      </c>
      <c r="G14" s="112"/>
      <c r="H14" s="24"/>
    </row>
    <row r="15" spans="2:8" ht="14.4" customHeight="1">
      <c r="B15" s="160" t="s">
        <v>50</v>
      </c>
      <c r="C15" s="161"/>
      <c r="D15" s="111">
        <f>ROUNDDOWN(D13/365*D11,0)</f>
        <v>49220</v>
      </c>
      <c r="E15" s="91" t="s">
        <v>75</v>
      </c>
      <c r="G15" s="112"/>
      <c r="H15" s="24"/>
    </row>
    <row r="16" spans="2:8" ht="14.4" customHeight="1">
      <c r="B16" s="160" t="s">
        <v>89</v>
      </c>
      <c r="C16" s="161"/>
      <c r="D16" s="113">
        <f>D15/D12</f>
        <v>53945.637878123627</v>
      </c>
      <c r="E16" s="91" t="s">
        <v>14</v>
      </c>
      <c r="G16" s="112"/>
      <c r="H16" s="24"/>
    </row>
    <row r="17" spans="2:12" ht="14.4" customHeight="1">
      <c r="B17" s="114" t="s">
        <v>46</v>
      </c>
      <c r="C17" s="114"/>
      <c r="D17" s="132">
        <f>F42</f>
        <v>72072.757520000014</v>
      </c>
      <c r="E17" s="91" t="s">
        <v>14</v>
      </c>
      <c r="G17" s="96"/>
      <c r="H17" s="24"/>
    </row>
    <row r="18" spans="2:12" ht="14.4" customHeight="1">
      <c r="B18" s="160" t="s">
        <v>47</v>
      </c>
      <c r="C18" s="161"/>
      <c r="D18" s="111">
        <f>ROUNDDOWN(D17*D12,0)</f>
        <v>65759</v>
      </c>
      <c r="E18" s="91" t="s">
        <v>75</v>
      </c>
      <c r="G18" s="97"/>
      <c r="H18" s="24"/>
    </row>
    <row r="19" spans="2:12" ht="14.4" customHeight="1">
      <c r="B19" s="160" t="s">
        <v>48</v>
      </c>
      <c r="C19" s="161"/>
      <c r="D19" s="115">
        <v>0</v>
      </c>
      <c r="E19" s="91" t="s">
        <v>75</v>
      </c>
      <c r="G19" s="98"/>
      <c r="H19" s="24"/>
    </row>
    <row r="20" spans="2:12" ht="14.4" customHeight="1">
      <c r="B20" s="160" t="s">
        <v>49</v>
      </c>
      <c r="C20" s="161"/>
      <c r="D20" s="115">
        <v>0</v>
      </c>
      <c r="E20" s="91" t="s">
        <v>75</v>
      </c>
      <c r="G20" s="95"/>
      <c r="H20" s="24"/>
    </row>
    <row r="21" spans="2:12" ht="15" customHeight="1">
      <c r="B21" s="162" t="s">
        <v>93</v>
      </c>
      <c r="C21" s="163"/>
      <c r="D21" s="116">
        <f>ROUNDDOWN(D18-D19-D20,0)</f>
        <v>65759</v>
      </c>
      <c r="E21" s="133" t="s">
        <v>92</v>
      </c>
      <c r="G21" s="98"/>
      <c r="H21" s="24"/>
    </row>
    <row r="22" spans="2:12">
      <c r="B22" s="160" t="s">
        <v>51</v>
      </c>
      <c r="C22" s="161"/>
      <c r="D22" s="117">
        <f>(D21-D15)/D15</f>
        <v>0.33602194229987808</v>
      </c>
      <c r="E22" s="91" t="s">
        <v>52</v>
      </c>
      <c r="H22" s="19"/>
      <c r="I22" s="177"/>
      <c r="J22" s="177"/>
      <c r="K22" s="100"/>
      <c r="L22" s="24"/>
    </row>
    <row r="23" spans="2:12">
      <c r="B23" s="118"/>
      <c r="C23" s="118"/>
      <c r="D23" s="119"/>
      <c r="E23" s="19"/>
      <c r="H23" s="19"/>
      <c r="I23" s="99"/>
      <c r="J23" s="99"/>
      <c r="K23" s="100"/>
      <c r="L23" s="24"/>
    </row>
    <row r="24" spans="2:12">
      <c r="B24" s="24"/>
      <c r="C24" s="24"/>
      <c r="D24" s="24"/>
      <c r="E24" s="24"/>
      <c r="F24" s="24"/>
      <c r="I24" s="177"/>
      <c r="J24" s="177"/>
      <c r="K24" s="101"/>
      <c r="L24" s="24"/>
    </row>
    <row r="25" spans="2:12">
      <c r="B25" s="32" t="s">
        <v>60</v>
      </c>
      <c r="C25" s="32" t="s">
        <v>40</v>
      </c>
      <c r="D25" s="33" t="s">
        <v>61</v>
      </c>
      <c r="E25" s="33" t="s">
        <v>62</v>
      </c>
      <c r="F25" s="24"/>
      <c r="H25" s="120"/>
      <c r="I25" s="118"/>
      <c r="K25" s="101"/>
      <c r="L25" s="24"/>
    </row>
    <row r="26" spans="2:12">
      <c r="B26" s="34" t="s">
        <v>63</v>
      </c>
      <c r="C26" s="25" t="s">
        <v>14</v>
      </c>
      <c r="D26" s="26">
        <f>D15</f>
        <v>49220</v>
      </c>
      <c r="E26" s="26">
        <f>D21</f>
        <v>65759</v>
      </c>
      <c r="F26" s="24"/>
      <c r="I26" s="102"/>
      <c r="J26" s="121"/>
      <c r="K26" s="122"/>
      <c r="L26" s="122"/>
    </row>
    <row r="27" spans="2:12">
      <c r="B27" s="34" t="s">
        <v>90</v>
      </c>
      <c r="C27" s="25" t="s">
        <v>76</v>
      </c>
      <c r="D27" s="25">
        <f>D16</f>
        <v>53945.637878123627</v>
      </c>
      <c r="E27" s="25">
        <f>D17</f>
        <v>72072.757520000014</v>
      </c>
      <c r="F27" s="27"/>
      <c r="I27" s="123"/>
      <c r="J27" s="28"/>
      <c r="K27" s="124"/>
      <c r="L27" s="124"/>
    </row>
    <row r="28" spans="2:12" ht="45">
      <c r="B28" s="34" t="s">
        <v>64</v>
      </c>
      <c r="C28" s="25" t="s">
        <v>65</v>
      </c>
      <c r="D28" s="26">
        <v>5</v>
      </c>
      <c r="E28" s="134" t="s">
        <v>94</v>
      </c>
      <c r="F28" s="27"/>
      <c r="I28" s="123"/>
      <c r="J28" s="28"/>
      <c r="K28" s="125"/>
      <c r="L28" s="125"/>
    </row>
    <row r="29" spans="2:12">
      <c r="B29" s="34" t="s">
        <v>66</v>
      </c>
      <c r="C29" s="25" t="s">
        <v>65</v>
      </c>
      <c r="D29" s="26">
        <v>1</v>
      </c>
      <c r="E29" s="26">
        <v>1</v>
      </c>
      <c r="F29" s="24"/>
      <c r="I29" s="123"/>
      <c r="J29" s="28"/>
      <c r="K29" s="125"/>
      <c r="L29" s="125"/>
    </row>
    <row r="30" spans="2:12">
      <c r="B30" s="24"/>
      <c r="C30" s="28"/>
      <c r="D30" s="28"/>
      <c r="E30" s="28"/>
      <c r="F30" s="24"/>
      <c r="I30" s="123"/>
      <c r="J30" s="28"/>
      <c r="K30" s="125"/>
      <c r="L30" s="125"/>
    </row>
    <row r="31" spans="2:12">
      <c r="B31" s="164" t="s">
        <v>67</v>
      </c>
      <c r="C31" s="164"/>
      <c r="D31" s="164"/>
      <c r="E31" s="164"/>
      <c r="F31" s="164"/>
      <c r="G31" s="24"/>
      <c r="H31" s="24"/>
      <c r="I31" s="24"/>
    </row>
    <row r="32" spans="2:12" ht="60">
      <c r="B32" s="35" t="s">
        <v>68</v>
      </c>
      <c r="C32" s="29" t="s">
        <v>69</v>
      </c>
      <c r="D32" s="29" t="s">
        <v>77</v>
      </c>
      <c r="E32" s="30" t="s">
        <v>70</v>
      </c>
      <c r="F32" s="30" t="s">
        <v>71</v>
      </c>
      <c r="G32" s="24"/>
      <c r="H32" s="24"/>
      <c r="I32" s="24"/>
    </row>
    <row r="33" spans="2:9" ht="31.8" customHeight="1">
      <c r="B33" s="136">
        <v>2019</v>
      </c>
      <c r="C33" s="25">
        <f>E27</f>
        <v>72072.757520000014</v>
      </c>
      <c r="D33" s="26">
        <f>E26</f>
        <v>65759</v>
      </c>
      <c r="E33" s="26">
        <f>E29</f>
        <v>1</v>
      </c>
      <c r="F33" s="135" t="str">
        <f>E28</f>
        <v>105 (Skilled: 74, Un-Skilled: 29, Semi-Skilled: 2)</v>
      </c>
      <c r="G33" s="24"/>
      <c r="H33" s="24"/>
      <c r="I33" s="24"/>
    </row>
    <row r="34" spans="2:9">
      <c r="B34" s="24"/>
      <c r="C34" s="24"/>
      <c r="D34" s="24"/>
      <c r="E34" s="24"/>
      <c r="F34" s="24"/>
      <c r="G34" s="24"/>
      <c r="H34" s="24"/>
      <c r="I34" s="24"/>
    </row>
    <row r="35" spans="2:9" ht="16.2">
      <c r="B35" s="159" t="s">
        <v>30</v>
      </c>
      <c r="C35" s="159"/>
      <c r="D35" s="127" t="s">
        <v>78</v>
      </c>
      <c r="E35" s="127" t="s">
        <v>79</v>
      </c>
      <c r="F35" s="127" t="s">
        <v>80</v>
      </c>
      <c r="G35" s="127" t="s">
        <v>81</v>
      </c>
      <c r="H35" s="127" t="s">
        <v>82</v>
      </c>
      <c r="I35" s="127" t="s">
        <v>31</v>
      </c>
    </row>
    <row r="36" spans="2:9" ht="16.2">
      <c r="B36" s="126" t="s">
        <v>37</v>
      </c>
      <c r="C36" s="126" t="s">
        <v>1</v>
      </c>
      <c r="D36" s="127" t="s">
        <v>14</v>
      </c>
      <c r="E36" s="127" t="s">
        <v>14</v>
      </c>
      <c r="F36" s="127" t="s">
        <v>14</v>
      </c>
      <c r="G36" s="127" t="s">
        <v>83</v>
      </c>
      <c r="H36" s="127" t="s">
        <v>83</v>
      </c>
      <c r="I36" s="127" t="s">
        <v>15</v>
      </c>
    </row>
    <row r="37" spans="2:9">
      <c r="B37" s="128">
        <f>'Daily data'!B4</f>
        <v>43521</v>
      </c>
      <c r="C37" s="128">
        <v>43524</v>
      </c>
      <c r="D37" s="129">
        <f>'Daily data'!D31</f>
        <v>0</v>
      </c>
      <c r="E37" s="129">
        <f>'Daily data'!I31</f>
        <v>0</v>
      </c>
      <c r="F37" s="129">
        <f>D37-E37</f>
        <v>0</v>
      </c>
      <c r="G37" s="129">
        <v>0</v>
      </c>
      <c r="H37" s="129">
        <v>0</v>
      </c>
      <c r="I37" s="129">
        <f>G37*D12</f>
        <v>0</v>
      </c>
    </row>
    <row r="38" spans="2:9">
      <c r="B38" s="128">
        <v>43525</v>
      </c>
      <c r="C38" s="128">
        <v>43555</v>
      </c>
      <c r="D38" s="113">
        <f>'Daily data'!F63</f>
        <v>9151.15</v>
      </c>
      <c r="E38" s="113">
        <f>'Daily data'!I63</f>
        <v>38.030999999999999</v>
      </c>
      <c r="F38" s="113">
        <f>D38-E38</f>
        <v>9113.1189999999988</v>
      </c>
      <c r="G38" s="109">
        <v>0</v>
      </c>
      <c r="H38" s="109">
        <v>0</v>
      </c>
      <c r="I38" s="111">
        <f>F38*D12</f>
        <v>8314.8097755999988</v>
      </c>
    </row>
    <row r="39" spans="2:9">
      <c r="B39" s="128">
        <v>43556</v>
      </c>
      <c r="C39" s="128">
        <v>43585</v>
      </c>
      <c r="D39" s="113">
        <f>'Daily data'!F94</f>
        <v>22957.43</v>
      </c>
      <c r="E39" s="113">
        <f>'Daily data'!I94</f>
        <v>41.504999999999995</v>
      </c>
      <c r="F39" s="113">
        <f t="shared" ref="F39:F41" si="0">D39-E39</f>
        <v>22915.924999999999</v>
      </c>
      <c r="G39" s="109">
        <v>0</v>
      </c>
      <c r="H39" s="109">
        <v>0</v>
      </c>
      <c r="I39" s="111">
        <f>F39*D12</f>
        <v>20908.489969999999</v>
      </c>
    </row>
    <row r="40" spans="2:9">
      <c r="B40" s="128">
        <v>43586</v>
      </c>
      <c r="C40" s="128">
        <v>43616</v>
      </c>
      <c r="D40" s="113">
        <f>'Daily data'!F126</f>
        <v>20194.880000000005</v>
      </c>
      <c r="E40" s="113">
        <f>'Daily data'!I126</f>
        <v>43.216059999999985</v>
      </c>
      <c r="F40" s="113">
        <f t="shared" si="0"/>
        <v>20151.663940000006</v>
      </c>
      <c r="G40" s="109">
        <v>0</v>
      </c>
      <c r="H40" s="109">
        <v>0</v>
      </c>
      <c r="I40" s="111">
        <f>F40*D12</f>
        <v>18386.378178856005</v>
      </c>
    </row>
    <row r="41" spans="2:9">
      <c r="B41" s="128">
        <v>43617</v>
      </c>
      <c r="C41" s="128">
        <v>43646</v>
      </c>
      <c r="D41" s="113">
        <f>'Daily data'!F157</f>
        <v>19933.100000000006</v>
      </c>
      <c r="E41" s="113">
        <f>'Daily data'!I157</f>
        <v>41.050420000000003</v>
      </c>
      <c r="F41" s="113">
        <f t="shared" si="0"/>
        <v>19892.049580000006</v>
      </c>
      <c r="G41" s="109">
        <v>0</v>
      </c>
      <c r="H41" s="109">
        <v>0</v>
      </c>
      <c r="I41" s="111">
        <f>F41*D12</f>
        <v>18149.506036792005</v>
      </c>
    </row>
    <row r="42" spans="2:9">
      <c r="B42" s="158" t="s">
        <v>2</v>
      </c>
      <c r="C42" s="158"/>
      <c r="D42" s="130">
        <f t="shared" ref="D42:G42" si="1">SUM(D37:D41)</f>
        <v>72236.560000000012</v>
      </c>
      <c r="E42" s="130">
        <f t="shared" si="1"/>
        <v>163.80248</v>
      </c>
      <c r="F42" s="130">
        <f>SUM(F37:F41)</f>
        <v>72072.757520000014</v>
      </c>
      <c r="G42" s="131">
        <f t="shared" si="1"/>
        <v>0</v>
      </c>
      <c r="H42" s="131">
        <v>0</v>
      </c>
      <c r="I42" s="116">
        <f>ROUNDDOWN(SUM(I37:I41),0)</f>
        <v>65759</v>
      </c>
    </row>
    <row r="45" spans="2:9" ht="15" customHeight="1">
      <c r="B45" s="92"/>
      <c r="C45" s="92"/>
      <c r="D45" s="92"/>
    </row>
    <row r="57" ht="15" customHeight="1"/>
    <row r="58" ht="15" customHeight="1"/>
    <row r="59" ht="27.6" customHeight="1"/>
  </sheetData>
  <mergeCells count="24">
    <mergeCell ref="I22:J22"/>
    <mergeCell ref="I24:J24"/>
    <mergeCell ref="B14:C14"/>
    <mergeCell ref="B16:C16"/>
    <mergeCell ref="B9:C9"/>
    <mergeCell ref="B10:C10"/>
    <mergeCell ref="B11:C11"/>
    <mergeCell ref="B12:C12"/>
    <mergeCell ref="B13:C13"/>
    <mergeCell ref="B15:C15"/>
    <mergeCell ref="B8:C8"/>
    <mergeCell ref="C2:E2"/>
    <mergeCell ref="C3:E3"/>
    <mergeCell ref="C4:E4"/>
    <mergeCell ref="C5:E5"/>
    <mergeCell ref="C6:E6"/>
    <mergeCell ref="B42:C42"/>
    <mergeCell ref="B35:C35"/>
    <mergeCell ref="B22:C22"/>
    <mergeCell ref="B18:C18"/>
    <mergeCell ref="B19:C19"/>
    <mergeCell ref="B20:C20"/>
    <mergeCell ref="B21:C21"/>
    <mergeCell ref="B31:F31"/>
  </mergeCells>
  <phoneticPr fontId="22" type="noConversion"/>
  <hyperlinks>
    <hyperlink ref="C4" r:id="rId1" xr:uid="{6FA54409-23BC-48CF-9B68-4EF77E9897A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64"/>
  <sheetViews>
    <sheetView showGridLines="0" zoomScale="85" zoomScaleNormal="85" workbookViewId="0">
      <selection activeCell="M30" sqref="M30"/>
    </sheetView>
  </sheetViews>
  <sheetFormatPr defaultColWidth="8.88671875" defaultRowHeight="13.8"/>
  <cols>
    <col min="1" max="1" width="8.88671875" style="36"/>
    <col min="2" max="2" width="11.33203125" style="36" bestFit="1" customWidth="1"/>
    <col min="3" max="3" width="15" style="36" customWidth="1"/>
    <col min="4" max="4" width="16" style="36" customWidth="1"/>
    <col min="5" max="5" width="16.21875" style="36" customWidth="1"/>
    <col min="6" max="6" width="14" style="36" customWidth="1"/>
    <col min="7" max="7" width="13" style="36" customWidth="1"/>
    <col min="8" max="8" width="14.33203125" style="36" customWidth="1"/>
    <col min="9" max="9" width="13.33203125" style="36" customWidth="1"/>
    <col min="10" max="10" width="16.5546875" style="36" customWidth="1"/>
    <col min="11" max="11" width="15.33203125" style="36" customWidth="1"/>
    <col min="12" max="12" width="9.21875" style="36" bestFit="1" customWidth="1"/>
    <col min="13" max="14" width="10.33203125" style="36" bestFit="1" customWidth="1"/>
    <col min="15" max="15" width="21.88671875" style="36" customWidth="1"/>
    <col min="16" max="16" width="15.21875" style="36" customWidth="1"/>
    <col min="17" max="17" width="13.109375" style="36" customWidth="1"/>
    <col min="18" max="16384" width="8.88671875" style="36"/>
  </cols>
  <sheetData>
    <row r="1" spans="2:6" ht="14.4" thickBot="1"/>
    <row r="2" spans="2:6" ht="13.2" customHeight="1">
      <c r="B2" s="202" t="s">
        <v>34</v>
      </c>
      <c r="C2" s="203"/>
      <c r="D2" s="203"/>
      <c r="E2" s="203"/>
      <c r="F2" s="204"/>
    </row>
    <row r="3" spans="2:6" ht="41.4">
      <c r="B3" s="37" t="s">
        <v>37</v>
      </c>
      <c r="C3" s="38" t="s">
        <v>1</v>
      </c>
      <c r="D3" s="39" t="str">
        <f>F24</f>
        <v>Total TG Generation (In MWh)</v>
      </c>
      <c r="E3" s="39" t="str">
        <f>I24</f>
        <v>Total Auxiliary
(In MWh)</v>
      </c>
      <c r="F3" s="40" t="s">
        <v>36</v>
      </c>
    </row>
    <row r="4" spans="2:6">
      <c r="B4" s="41">
        <f>B27</f>
        <v>43521</v>
      </c>
      <c r="C4" s="42">
        <v>43527</v>
      </c>
      <c r="D4" s="69">
        <f>SUM(F27:F30)+SUM(F32:F34)</f>
        <v>0</v>
      </c>
      <c r="E4" s="69">
        <f>SUM(I27:I30)+SUM(I32:I34)</f>
        <v>0</v>
      </c>
      <c r="F4" s="70">
        <f>D4-E4</f>
        <v>0</v>
      </c>
    </row>
    <row r="5" spans="2:6">
      <c r="B5" s="43">
        <v>43528</v>
      </c>
      <c r="C5" s="44">
        <v>43534</v>
      </c>
      <c r="D5" s="71">
        <f>SUM(F35:F41)</f>
        <v>1429.8799999999999</v>
      </c>
      <c r="E5" s="71">
        <f>SUM(I35:I41)</f>
        <v>7.621999999999999</v>
      </c>
      <c r="F5" s="72">
        <f t="shared" ref="F5:F21" si="0">D5-E5</f>
        <v>1422.2579999999998</v>
      </c>
    </row>
    <row r="6" spans="2:6">
      <c r="B6" s="43">
        <v>43535</v>
      </c>
      <c r="C6" s="44">
        <v>43541</v>
      </c>
      <c r="D6" s="71">
        <f>SUM(F42:F48)</f>
        <v>2272.9700000000003</v>
      </c>
      <c r="E6" s="71">
        <f>SUM(I42:I48)</f>
        <v>12.846</v>
      </c>
      <c r="F6" s="72">
        <f t="shared" si="0"/>
        <v>2260.1240000000003</v>
      </c>
    </row>
    <row r="7" spans="2:6">
      <c r="B7" s="43">
        <v>43542</v>
      </c>
      <c r="C7" s="44">
        <v>43548</v>
      </c>
      <c r="D7" s="71">
        <f>SUM(F49:F55)</f>
        <v>2391</v>
      </c>
      <c r="E7" s="71">
        <f>SUM(I49:I55)</f>
        <v>9.4600000000000009</v>
      </c>
      <c r="F7" s="72">
        <f t="shared" si="0"/>
        <v>2381.54</v>
      </c>
    </row>
    <row r="8" spans="2:6">
      <c r="B8" s="43">
        <v>43549</v>
      </c>
      <c r="C8" s="44">
        <v>43555</v>
      </c>
      <c r="D8" s="71">
        <f>SUM(F56:F62)</f>
        <v>3057.3</v>
      </c>
      <c r="E8" s="71">
        <f>SUM(I56:I62)</f>
        <v>8.1029999999999998</v>
      </c>
      <c r="F8" s="72">
        <f t="shared" si="0"/>
        <v>3049.1970000000001</v>
      </c>
    </row>
    <row r="9" spans="2:6">
      <c r="B9" s="43">
        <v>43556</v>
      </c>
      <c r="C9" s="44">
        <v>43562</v>
      </c>
      <c r="D9" s="71">
        <f>SUM(F64:F70)</f>
        <v>5687.8200000000006</v>
      </c>
      <c r="E9" s="71">
        <f>SUM(I64:I70)</f>
        <v>10.447000000000001</v>
      </c>
      <c r="F9" s="72">
        <f t="shared" si="0"/>
        <v>5677.3730000000005</v>
      </c>
    </row>
    <row r="10" spans="2:6">
      <c r="B10" s="43">
        <v>43563</v>
      </c>
      <c r="C10" s="44">
        <v>43569</v>
      </c>
      <c r="D10" s="71">
        <f>SUM(F71:F77)</f>
        <v>5960.96</v>
      </c>
      <c r="E10" s="71">
        <f>SUM(I71:I77)</f>
        <v>10.548</v>
      </c>
      <c r="F10" s="72">
        <f t="shared" si="0"/>
        <v>5950.4120000000003</v>
      </c>
    </row>
    <row r="11" spans="2:6">
      <c r="B11" s="43">
        <v>43570</v>
      </c>
      <c r="C11" s="44">
        <v>43576</v>
      </c>
      <c r="D11" s="71">
        <f>SUM(F78:F84)</f>
        <v>5088.74</v>
      </c>
      <c r="E11" s="71">
        <f>SUM(I78:I84)</f>
        <v>10.311</v>
      </c>
      <c r="F11" s="72">
        <f t="shared" si="0"/>
        <v>5078.4290000000001</v>
      </c>
    </row>
    <row r="12" spans="2:6">
      <c r="B12" s="43">
        <v>43577</v>
      </c>
      <c r="C12" s="44">
        <v>43583</v>
      </c>
      <c r="D12" s="71">
        <f>SUM(F85:F91)</f>
        <v>6105.26</v>
      </c>
      <c r="E12" s="71">
        <f>SUM(I85:I91)</f>
        <v>9.9400000000000013</v>
      </c>
      <c r="F12" s="72">
        <f t="shared" si="0"/>
        <v>6095.3200000000006</v>
      </c>
    </row>
    <row r="13" spans="2:6">
      <c r="B13" s="43">
        <v>43584</v>
      </c>
      <c r="C13" s="44">
        <v>43590</v>
      </c>
      <c r="D13" s="71">
        <f>SUM(F92:F93)+SUM(F95:F99)</f>
        <v>3288.4900000000002</v>
      </c>
      <c r="E13" s="71">
        <f>SUM(I92:I93)+SUM(I95:I99)</f>
        <v>7.3140000000000009</v>
      </c>
      <c r="F13" s="72">
        <f t="shared" si="0"/>
        <v>3281.1760000000004</v>
      </c>
    </row>
    <row r="14" spans="2:6">
      <c r="B14" s="43">
        <v>43591</v>
      </c>
      <c r="C14" s="44">
        <v>43597</v>
      </c>
      <c r="D14" s="71">
        <f>SUM(F100:F106)</f>
        <v>4598.7299999999996</v>
      </c>
      <c r="E14" s="71">
        <f>SUM(I100:I106)</f>
        <v>9.3010000000000002</v>
      </c>
      <c r="F14" s="72">
        <f t="shared" si="0"/>
        <v>4589.4289999999992</v>
      </c>
    </row>
    <row r="15" spans="2:6">
      <c r="B15" s="43">
        <v>43598</v>
      </c>
      <c r="C15" s="44">
        <v>43604</v>
      </c>
      <c r="D15" s="71">
        <f>SUM(F107:F113)</f>
        <v>4486.16</v>
      </c>
      <c r="E15" s="71">
        <f>SUM(I107:I113)</f>
        <v>9.7870000000000008</v>
      </c>
      <c r="F15" s="72">
        <f t="shared" si="0"/>
        <v>4476.3729999999996</v>
      </c>
    </row>
    <row r="16" spans="2:6">
      <c r="B16" s="43">
        <v>43605</v>
      </c>
      <c r="C16" s="44">
        <v>43611</v>
      </c>
      <c r="D16" s="71">
        <f>SUM(F114:F120)</f>
        <v>4561.6499999999996</v>
      </c>
      <c r="E16" s="71">
        <f>SUM(I114:I120)</f>
        <v>9.9120000000000008</v>
      </c>
      <c r="F16" s="72">
        <f t="shared" si="0"/>
        <v>4551.7379999999994</v>
      </c>
    </row>
    <row r="17" spans="2:20">
      <c r="B17" s="43">
        <v>43612</v>
      </c>
      <c r="C17" s="44">
        <v>43618</v>
      </c>
      <c r="D17" s="71">
        <f>SUM(F121:F125)+SUM(F127:F128)</f>
        <v>4808.8800000000028</v>
      </c>
      <c r="E17" s="71">
        <f>SUM(I121:I125)+SUM(I127:I128)</f>
        <v>10.067299999999999</v>
      </c>
      <c r="F17" s="72">
        <f t="shared" si="0"/>
        <v>4798.8127000000031</v>
      </c>
    </row>
    <row r="18" spans="2:20">
      <c r="B18" s="43">
        <v>43619</v>
      </c>
      <c r="C18" s="44">
        <v>43625</v>
      </c>
      <c r="D18" s="71">
        <f>SUM(F129:F135)</f>
        <v>4825.46</v>
      </c>
      <c r="E18" s="71">
        <f>SUM(I129:I135)</f>
        <v>9.7265899999999998</v>
      </c>
      <c r="F18" s="72">
        <f t="shared" si="0"/>
        <v>4815.7334099999998</v>
      </c>
    </row>
    <row r="19" spans="2:20">
      <c r="B19" s="43">
        <v>43626</v>
      </c>
      <c r="C19" s="44">
        <v>43632</v>
      </c>
      <c r="D19" s="71">
        <f>SUM(F136:F142)</f>
        <v>4762.13</v>
      </c>
      <c r="E19" s="71">
        <f>SUM(I136:I142)</f>
        <v>9.3836100000000009</v>
      </c>
      <c r="F19" s="72">
        <f t="shared" si="0"/>
        <v>4752.7463900000002</v>
      </c>
    </row>
    <row r="20" spans="2:20">
      <c r="B20" s="43">
        <v>43633</v>
      </c>
      <c r="C20" s="44">
        <v>43639</v>
      </c>
      <c r="D20" s="71">
        <f>SUM(F143:F149)</f>
        <v>4203.8999999999996</v>
      </c>
      <c r="E20" s="71">
        <f>SUM(I143:I149)</f>
        <v>8.8961800000000029</v>
      </c>
      <c r="F20" s="72">
        <f t="shared" si="0"/>
        <v>4195.0038199999999</v>
      </c>
    </row>
    <row r="21" spans="2:20">
      <c r="B21" s="43">
        <v>43640</v>
      </c>
      <c r="C21" s="44">
        <v>43646</v>
      </c>
      <c r="D21" s="71">
        <f>SUM(F150:F156)</f>
        <v>4707.2300000000005</v>
      </c>
      <c r="E21" s="71">
        <f>SUM(I150:I156)</f>
        <v>10.1378</v>
      </c>
      <c r="F21" s="72">
        <f t="shared" si="0"/>
        <v>4697.0922</v>
      </c>
    </row>
    <row r="22" spans="2:20" ht="14.4" thickBot="1">
      <c r="B22" s="206" t="s">
        <v>2</v>
      </c>
      <c r="C22" s="207"/>
      <c r="D22" s="73">
        <f>SUM(D4:D21)</f>
        <v>72236.56</v>
      </c>
      <c r="E22" s="73">
        <f>SUM(E4:E21)</f>
        <v>163.80248000000003</v>
      </c>
      <c r="F22" s="74">
        <f>SUM(F4:F21)</f>
        <v>72072.757519999999</v>
      </c>
    </row>
    <row r="23" spans="2:20" ht="13.8" customHeight="1" thickBot="1"/>
    <row r="24" spans="2:20">
      <c r="B24" s="193" t="s">
        <v>7</v>
      </c>
      <c r="C24" s="199" t="s">
        <v>85</v>
      </c>
      <c r="D24" s="199"/>
      <c r="E24" s="199"/>
      <c r="F24" s="196" t="s">
        <v>35</v>
      </c>
      <c r="G24" s="201" t="s">
        <v>86</v>
      </c>
      <c r="H24" s="199"/>
      <c r="I24" s="196" t="s">
        <v>13</v>
      </c>
      <c r="J24" s="196" t="s">
        <v>33</v>
      </c>
      <c r="K24" s="45"/>
    </row>
    <row r="25" spans="2:20" ht="54.6" customHeight="1" thickBot="1">
      <c r="B25" s="194"/>
      <c r="C25" s="200" t="s">
        <v>3</v>
      </c>
      <c r="D25" s="200"/>
      <c r="E25" s="200"/>
      <c r="F25" s="197"/>
      <c r="G25" s="205" t="s">
        <v>4</v>
      </c>
      <c r="H25" s="200"/>
      <c r="I25" s="197"/>
      <c r="J25" s="197"/>
      <c r="K25" s="45"/>
      <c r="L25" s="46"/>
      <c r="R25" s="46"/>
      <c r="S25" s="208"/>
      <c r="T25" s="46"/>
    </row>
    <row r="26" spans="2:20" ht="14.4" thickBot="1">
      <c r="B26" s="195"/>
      <c r="C26" s="48" t="s">
        <v>10</v>
      </c>
      <c r="D26" s="49" t="s">
        <v>11</v>
      </c>
      <c r="E26" s="50" t="s">
        <v>12</v>
      </c>
      <c r="F26" s="198"/>
      <c r="G26" s="49" t="s">
        <v>8</v>
      </c>
      <c r="H26" s="51" t="s">
        <v>9</v>
      </c>
      <c r="I26" s="198"/>
      <c r="J26" s="198"/>
      <c r="K26" s="45"/>
      <c r="S26" s="208"/>
    </row>
    <row r="27" spans="2:20">
      <c r="B27" s="52">
        <v>43521</v>
      </c>
      <c r="C27" s="53">
        <v>0</v>
      </c>
      <c r="D27" s="53">
        <v>0</v>
      </c>
      <c r="E27" s="53">
        <v>0</v>
      </c>
      <c r="F27" s="53">
        <f t="shared" ref="F27:F66" si="1">SUM(C27:E27)/1000</f>
        <v>0</v>
      </c>
      <c r="G27" s="53">
        <v>0</v>
      </c>
      <c r="H27" s="53">
        <v>0</v>
      </c>
      <c r="I27" s="53">
        <f t="shared" ref="I27:I69" si="2">(G27+H27)/1000</f>
        <v>0</v>
      </c>
      <c r="J27" s="54">
        <f t="shared" ref="J27:J69" si="3">I27</f>
        <v>0</v>
      </c>
      <c r="K27" s="55"/>
      <c r="S27" s="55"/>
    </row>
    <row r="28" spans="2:20">
      <c r="B28" s="52">
        <v>43522</v>
      </c>
      <c r="C28" s="53">
        <v>0</v>
      </c>
      <c r="D28" s="53">
        <v>0</v>
      </c>
      <c r="E28" s="53">
        <v>0</v>
      </c>
      <c r="F28" s="53">
        <f t="shared" si="1"/>
        <v>0</v>
      </c>
      <c r="G28" s="53">
        <v>0</v>
      </c>
      <c r="H28" s="53">
        <v>0</v>
      </c>
      <c r="I28" s="53">
        <f t="shared" si="2"/>
        <v>0</v>
      </c>
      <c r="J28" s="54">
        <f t="shared" si="3"/>
        <v>0</v>
      </c>
      <c r="K28" s="55"/>
      <c r="S28" s="55"/>
    </row>
    <row r="29" spans="2:20">
      <c r="B29" s="52">
        <v>43523</v>
      </c>
      <c r="C29" s="53">
        <v>0</v>
      </c>
      <c r="D29" s="53">
        <v>0</v>
      </c>
      <c r="E29" s="53">
        <v>0</v>
      </c>
      <c r="F29" s="53">
        <f t="shared" si="1"/>
        <v>0</v>
      </c>
      <c r="G29" s="53">
        <v>0</v>
      </c>
      <c r="H29" s="53">
        <v>0</v>
      </c>
      <c r="I29" s="53">
        <f t="shared" si="2"/>
        <v>0</v>
      </c>
      <c r="J29" s="54">
        <f t="shared" si="3"/>
        <v>0</v>
      </c>
      <c r="K29" s="55"/>
      <c r="S29" s="55"/>
    </row>
    <row r="30" spans="2:20" ht="14.4" thickBot="1">
      <c r="B30" s="52">
        <v>43524</v>
      </c>
      <c r="C30" s="53">
        <v>0</v>
      </c>
      <c r="D30" s="53">
        <v>0</v>
      </c>
      <c r="E30" s="53">
        <v>0</v>
      </c>
      <c r="F30" s="53">
        <f t="shared" si="1"/>
        <v>0</v>
      </c>
      <c r="G30" s="53">
        <v>0</v>
      </c>
      <c r="H30" s="53">
        <v>0</v>
      </c>
      <c r="I30" s="53">
        <f t="shared" si="2"/>
        <v>0</v>
      </c>
      <c r="J30" s="54">
        <f t="shared" si="3"/>
        <v>0</v>
      </c>
      <c r="K30" s="55"/>
      <c r="S30" s="55"/>
    </row>
    <row r="31" spans="2:20" ht="14.4" thickBot="1">
      <c r="B31" s="52"/>
      <c r="C31" s="56">
        <f t="shared" ref="C31:J31" si="4">SUM(C27:C30)</f>
        <v>0</v>
      </c>
      <c r="D31" s="56">
        <f t="shared" si="4"/>
        <v>0</v>
      </c>
      <c r="E31" s="56">
        <f t="shared" si="4"/>
        <v>0</v>
      </c>
      <c r="F31" s="57">
        <f t="shared" si="4"/>
        <v>0</v>
      </c>
      <c r="G31" s="56">
        <f t="shared" si="4"/>
        <v>0</v>
      </c>
      <c r="H31" s="56">
        <f t="shared" si="4"/>
        <v>0</v>
      </c>
      <c r="I31" s="58">
        <f t="shared" si="4"/>
        <v>0</v>
      </c>
      <c r="J31" s="58">
        <f t="shared" si="4"/>
        <v>0</v>
      </c>
      <c r="K31" s="59"/>
      <c r="S31" s="55"/>
    </row>
    <row r="32" spans="2:20">
      <c r="B32" s="52">
        <v>43525</v>
      </c>
      <c r="C32" s="53">
        <v>0</v>
      </c>
      <c r="D32" s="53">
        <v>0</v>
      </c>
      <c r="E32" s="53">
        <v>0</v>
      </c>
      <c r="F32" s="53">
        <f t="shared" si="1"/>
        <v>0</v>
      </c>
      <c r="G32" s="53">
        <v>0</v>
      </c>
      <c r="H32" s="53">
        <v>0</v>
      </c>
      <c r="I32" s="53">
        <f t="shared" si="2"/>
        <v>0</v>
      </c>
      <c r="J32" s="54">
        <f t="shared" si="3"/>
        <v>0</v>
      </c>
      <c r="K32" s="55"/>
      <c r="S32" s="55"/>
    </row>
    <row r="33" spans="2:19">
      <c r="B33" s="52">
        <v>43526</v>
      </c>
      <c r="C33" s="53">
        <v>0</v>
      </c>
      <c r="D33" s="53">
        <v>0</v>
      </c>
      <c r="E33" s="53">
        <v>0</v>
      </c>
      <c r="F33" s="53">
        <f t="shared" si="1"/>
        <v>0</v>
      </c>
      <c r="G33" s="53">
        <v>0</v>
      </c>
      <c r="H33" s="53">
        <v>0</v>
      </c>
      <c r="I33" s="53">
        <f t="shared" si="2"/>
        <v>0</v>
      </c>
      <c r="J33" s="54">
        <f t="shared" si="3"/>
        <v>0</v>
      </c>
      <c r="K33" s="55"/>
      <c r="R33" s="55"/>
      <c r="S33" s="55"/>
    </row>
    <row r="34" spans="2:19">
      <c r="B34" s="52">
        <v>43527</v>
      </c>
      <c r="C34" s="53">
        <v>0</v>
      </c>
      <c r="D34" s="53">
        <v>0</v>
      </c>
      <c r="E34" s="53">
        <v>0</v>
      </c>
      <c r="F34" s="53">
        <f t="shared" si="1"/>
        <v>0</v>
      </c>
      <c r="G34" s="53">
        <v>0</v>
      </c>
      <c r="H34" s="53">
        <v>0</v>
      </c>
      <c r="I34" s="53">
        <f t="shared" si="2"/>
        <v>0</v>
      </c>
      <c r="J34" s="54">
        <f t="shared" si="3"/>
        <v>0</v>
      </c>
      <c r="K34" s="55"/>
      <c r="S34" s="55"/>
    </row>
    <row r="35" spans="2:19">
      <c r="B35" s="52">
        <v>43528</v>
      </c>
      <c r="C35" s="53">
        <v>0</v>
      </c>
      <c r="D35" s="53">
        <v>0</v>
      </c>
      <c r="E35" s="53">
        <v>0</v>
      </c>
      <c r="F35" s="53">
        <f t="shared" si="1"/>
        <v>0</v>
      </c>
      <c r="G35" s="53">
        <v>0</v>
      </c>
      <c r="H35" s="53">
        <v>0</v>
      </c>
      <c r="I35" s="53">
        <f t="shared" si="2"/>
        <v>0</v>
      </c>
      <c r="J35" s="54">
        <f t="shared" si="3"/>
        <v>0</v>
      </c>
      <c r="K35" s="55"/>
      <c r="S35" s="55"/>
    </row>
    <row r="36" spans="2:19">
      <c r="B36" s="52">
        <v>43529</v>
      </c>
      <c r="C36" s="53">
        <v>0</v>
      </c>
      <c r="D36" s="53">
        <v>0</v>
      </c>
      <c r="E36" s="53">
        <v>0</v>
      </c>
      <c r="F36" s="53">
        <f t="shared" si="1"/>
        <v>0</v>
      </c>
      <c r="G36" s="53">
        <v>0</v>
      </c>
      <c r="H36" s="53">
        <v>0</v>
      </c>
      <c r="I36" s="53">
        <f t="shared" si="2"/>
        <v>0</v>
      </c>
      <c r="J36" s="54">
        <f t="shared" si="3"/>
        <v>0</v>
      </c>
      <c r="K36" s="55"/>
      <c r="S36" s="55"/>
    </row>
    <row r="37" spans="2:19">
      <c r="B37" s="60">
        <v>43530</v>
      </c>
      <c r="C37" s="55">
        <v>240290</v>
      </c>
      <c r="D37" s="55">
        <v>0</v>
      </c>
      <c r="E37" s="55">
        <v>0</v>
      </c>
      <c r="F37" s="55">
        <f t="shared" si="1"/>
        <v>240.29</v>
      </c>
      <c r="G37" s="55">
        <v>551</v>
      </c>
      <c r="H37" s="55">
        <v>667</v>
      </c>
      <c r="I37" s="55">
        <f t="shared" si="2"/>
        <v>1.218</v>
      </c>
      <c r="J37" s="61">
        <f t="shared" si="3"/>
        <v>1.218</v>
      </c>
      <c r="K37" s="55"/>
      <c r="S37" s="55"/>
    </row>
    <row r="38" spans="2:19">
      <c r="B38" s="60">
        <v>43531</v>
      </c>
      <c r="C38" s="55">
        <v>322640</v>
      </c>
      <c r="D38" s="55">
        <v>0</v>
      </c>
      <c r="E38" s="55">
        <v>0</v>
      </c>
      <c r="F38" s="55">
        <f t="shared" si="1"/>
        <v>322.64</v>
      </c>
      <c r="G38" s="55">
        <v>632</v>
      </c>
      <c r="H38" s="55">
        <v>766</v>
      </c>
      <c r="I38" s="55">
        <f t="shared" si="2"/>
        <v>1.3979999999999999</v>
      </c>
      <c r="J38" s="61">
        <f t="shared" si="3"/>
        <v>1.3979999999999999</v>
      </c>
      <c r="K38" s="55"/>
      <c r="S38" s="55"/>
    </row>
    <row r="39" spans="2:19">
      <c r="B39" s="60">
        <v>43532</v>
      </c>
      <c r="C39" s="55">
        <v>308370</v>
      </c>
      <c r="D39" s="55">
        <v>0</v>
      </c>
      <c r="E39" s="55">
        <v>0</v>
      </c>
      <c r="F39" s="55">
        <f t="shared" si="1"/>
        <v>308.37</v>
      </c>
      <c r="G39" s="55">
        <v>646</v>
      </c>
      <c r="H39" s="55">
        <v>765</v>
      </c>
      <c r="I39" s="55">
        <f t="shared" si="2"/>
        <v>1.411</v>
      </c>
      <c r="J39" s="61">
        <f t="shared" si="3"/>
        <v>1.411</v>
      </c>
      <c r="K39" s="55"/>
      <c r="S39" s="55"/>
    </row>
    <row r="40" spans="2:19">
      <c r="B40" s="60">
        <v>43533</v>
      </c>
      <c r="C40" s="55">
        <v>290000</v>
      </c>
      <c r="D40" s="55">
        <v>0</v>
      </c>
      <c r="E40" s="55">
        <v>0</v>
      </c>
      <c r="F40" s="55">
        <f t="shared" si="1"/>
        <v>290</v>
      </c>
      <c r="G40" s="55">
        <v>754</v>
      </c>
      <c r="H40" s="55">
        <v>902</v>
      </c>
      <c r="I40" s="55">
        <f t="shared" si="2"/>
        <v>1.6559999999999999</v>
      </c>
      <c r="J40" s="61">
        <f t="shared" si="3"/>
        <v>1.6559999999999999</v>
      </c>
      <c r="K40" s="55"/>
      <c r="S40" s="55"/>
    </row>
    <row r="41" spans="2:19">
      <c r="B41" s="60">
        <v>43534</v>
      </c>
      <c r="C41" s="55">
        <v>268580</v>
      </c>
      <c r="D41" s="55">
        <v>0</v>
      </c>
      <c r="E41" s="55">
        <v>0</v>
      </c>
      <c r="F41" s="55">
        <f t="shared" si="1"/>
        <v>268.58</v>
      </c>
      <c r="G41" s="55">
        <v>881</v>
      </c>
      <c r="H41" s="55">
        <v>1058</v>
      </c>
      <c r="I41" s="55">
        <f t="shared" si="2"/>
        <v>1.9390000000000001</v>
      </c>
      <c r="J41" s="61">
        <f t="shared" si="3"/>
        <v>1.9390000000000001</v>
      </c>
      <c r="K41" s="55"/>
      <c r="S41" s="55"/>
    </row>
    <row r="42" spans="2:19">
      <c r="B42" s="60">
        <v>43535</v>
      </c>
      <c r="C42" s="55">
        <v>319820</v>
      </c>
      <c r="D42" s="55">
        <v>0</v>
      </c>
      <c r="E42" s="55">
        <v>0</v>
      </c>
      <c r="F42" s="55">
        <f t="shared" si="1"/>
        <v>319.82</v>
      </c>
      <c r="G42" s="55">
        <v>854</v>
      </c>
      <c r="H42" s="55">
        <v>1026</v>
      </c>
      <c r="I42" s="55">
        <f t="shared" si="2"/>
        <v>1.88</v>
      </c>
      <c r="J42" s="61">
        <f t="shared" si="3"/>
        <v>1.88</v>
      </c>
      <c r="K42" s="55"/>
      <c r="S42" s="55"/>
    </row>
    <row r="43" spans="2:19">
      <c r="B43" s="60">
        <v>43536</v>
      </c>
      <c r="C43" s="55">
        <v>326620</v>
      </c>
      <c r="D43" s="55">
        <v>0</v>
      </c>
      <c r="E43" s="55">
        <v>0</v>
      </c>
      <c r="F43" s="55">
        <f t="shared" si="1"/>
        <v>326.62</v>
      </c>
      <c r="G43" s="55">
        <v>723</v>
      </c>
      <c r="H43" s="55">
        <v>873</v>
      </c>
      <c r="I43" s="55">
        <f t="shared" si="2"/>
        <v>1.5960000000000001</v>
      </c>
      <c r="J43" s="61">
        <f t="shared" si="3"/>
        <v>1.5960000000000001</v>
      </c>
      <c r="K43" s="55"/>
      <c r="S43" s="55"/>
    </row>
    <row r="44" spans="2:19" ht="15" customHeight="1">
      <c r="B44" s="60">
        <v>43537</v>
      </c>
      <c r="C44" s="55">
        <v>323870</v>
      </c>
      <c r="D44" s="55">
        <v>0</v>
      </c>
      <c r="E44" s="55">
        <v>0</v>
      </c>
      <c r="F44" s="55">
        <f t="shared" si="1"/>
        <v>323.87</v>
      </c>
      <c r="G44" s="55">
        <v>821</v>
      </c>
      <c r="H44" s="55">
        <v>983</v>
      </c>
      <c r="I44" s="55">
        <f t="shared" si="2"/>
        <v>1.804</v>
      </c>
      <c r="J44" s="61">
        <f t="shared" si="3"/>
        <v>1.804</v>
      </c>
      <c r="K44" s="55"/>
    </row>
    <row r="45" spans="2:19">
      <c r="B45" s="60">
        <v>43538</v>
      </c>
      <c r="C45" s="55">
        <v>323850</v>
      </c>
      <c r="D45" s="55">
        <v>0</v>
      </c>
      <c r="E45" s="55">
        <v>0</v>
      </c>
      <c r="F45" s="55">
        <f t="shared" si="1"/>
        <v>323.85000000000002</v>
      </c>
      <c r="G45" s="55">
        <v>945</v>
      </c>
      <c r="H45" s="55">
        <v>1125</v>
      </c>
      <c r="I45" s="55">
        <f t="shared" si="2"/>
        <v>2.0699999999999998</v>
      </c>
      <c r="J45" s="61">
        <f t="shared" si="3"/>
        <v>2.0699999999999998</v>
      </c>
      <c r="K45" s="55"/>
      <c r="N45" s="55"/>
    </row>
    <row r="46" spans="2:19">
      <c r="B46" s="60">
        <v>43539</v>
      </c>
      <c r="C46" s="55">
        <v>331690</v>
      </c>
      <c r="D46" s="55">
        <v>0</v>
      </c>
      <c r="E46" s="55">
        <v>0</v>
      </c>
      <c r="F46" s="55">
        <f t="shared" si="1"/>
        <v>331.69</v>
      </c>
      <c r="G46" s="55">
        <v>909</v>
      </c>
      <c r="H46" s="55">
        <v>1084</v>
      </c>
      <c r="I46" s="55">
        <f t="shared" si="2"/>
        <v>1.9930000000000001</v>
      </c>
      <c r="J46" s="61">
        <f t="shared" si="3"/>
        <v>1.9930000000000001</v>
      </c>
      <c r="K46" s="55"/>
      <c r="N46" s="55"/>
    </row>
    <row r="47" spans="2:19">
      <c r="B47" s="60">
        <v>43540</v>
      </c>
      <c r="C47" s="55">
        <v>319780</v>
      </c>
      <c r="D47" s="55">
        <v>0</v>
      </c>
      <c r="E47" s="55">
        <v>0</v>
      </c>
      <c r="F47" s="55">
        <f t="shared" si="1"/>
        <v>319.77999999999997</v>
      </c>
      <c r="G47" s="55">
        <v>884</v>
      </c>
      <c r="H47" s="55">
        <v>1058</v>
      </c>
      <c r="I47" s="55">
        <f t="shared" si="2"/>
        <v>1.9419999999999999</v>
      </c>
      <c r="J47" s="61">
        <f t="shared" si="3"/>
        <v>1.9419999999999999</v>
      </c>
      <c r="K47" s="55"/>
      <c r="N47" s="55"/>
    </row>
    <row r="48" spans="2:19">
      <c r="B48" s="60">
        <v>43541</v>
      </c>
      <c r="C48" s="55">
        <v>327340</v>
      </c>
      <c r="D48" s="55">
        <v>0</v>
      </c>
      <c r="E48" s="55">
        <v>0</v>
      </c>
      <c r="F48" s="55">
        <f t="shared" si="1"/>
        <v>327.33999999999997</v>
      </c>
      <c r="G48" s="55">
        <v>709</v>
      </c>
      <c r="H48" s="55">
        <v>852</v>
      </c>
      <c r="I48" s="55">
        <f t="shared" si="2"/>
        <v>1.5609999999999999</v>
      </c>
      <c r="J48" s="61">
        <f t="shared" si="3"/>
        <v>1.5609999999999999</v>
      </c>
      <c r="K48" s="55"/>
      <c r="N48" s="55"/>
    </row>
    <row r="49" spans="2:14">
      <c r="B49" s="60">
        <v>43542</v>
      </c>
      <c r="C49" s="55">
        <v>334490</v>
      </c>
      <c r="D49" s="55">
        <v>0</v>
      </c>
      <c r="E49" s="55">
        <v>0</v>
      </c>
      <c r="F49" s="55">
        <f t="shared" si="1"/>
        <v>334.49</v>
      </c>
      <c r="G49" s="55">
        <v>567</v>
      </c>
      <c r="H49" s="55">
        <v>684</v>
      </c>
      <c r="I49" s="55">
        <f t="shared" si="2"/>
        <v>1.2509999999999999</v>
      </c>
      <c r="J49" s="61">
        <f t="shared" si="3"/>
        <v>1.2509999999999999</v>
      </c>
      <c r="K49" s="55"/>
      <c r="N49" s="55"/>
    </row>
    <row r="50" spans="2:14">
      <c r="B50" s="60">
        <v>43543</v>
      </c>
      <c r="C50" s="55">
        <v>233700</v>
      </c>
      <c r="D50" s="55">
        <v>0</v>
      </c>
      <c r="E50" s="55">
        <v>58580</v>
      </c>
      <c r="F50" s="55">
        <f t="shared" si="1"/>
        <v>292.27999999999997</v>
      </c>
      <c r="G50" s="55">
        <v>558</v>
      </c>
      <c r="H50" s="55">
        <v>678</v>
      </c>
      <c r="I50" s="55">
        <f t="shared" si="2"/>
        <v>1.236</v>
      </c>
      <c r="J50" s="61">
        <f t="shared" si="3"/>
        <v>1.236</v>
      </c>
      <c r="K50" s="55"/>
      <c r="N50" s="55"/>
    </row>
    <row r="51" spans="2:14">
      <c r="B51" s="60">
        <v>43544</v>
      </c>
      <c r="C51" s="55">
        <v>259920</v>
      </c>
      <c r="D51" s="55">
        <v>0</v>
      </c>
      <c r="E51" s="55">
        <v>110880</v>
      </c>
      <c r="F51" s="55">
        <f t="shared" si="1"/>
        <v>370.8</v>
      </c>
      <c r="G51" s="55">
        <v>656</v>
      </c>
      <c r="H51" s="55">
        <v>788</v>
      </c>
      <c r="I51" s="55">
        <f t="shared" si="2"/>
        <v>1.444</v>
      </c>
      <c r="J51" s="61">
        <f t="shared" si="3"/>
        <v>1.444</v>
      </c>
      <c r="K51" s="55"/>
      <c r="N51" s="55"/>
    </row>
    <row r="52" spans="2:14">
      <c r="B52" s="60">
        <v>43545</v>
      </c>
      <c r="C52" s="55">
        <v>248620</v>
      </c>
      <c r="D52" s="55">
        <v>0</v>
      </c>
      <c r="E52" s="55">
        <v>88180</v>
      </c>
      <c r="F52" s="55">
        <f t="shared" si="1"/>
        <v>336.8</v>
      </c>
      <c r="G52" s="55">
        <v>619</v>
      </c>
      <c r="H52" s="55">
        <v>728</v>
      </c>
      <c r="I52" s="55">
        <f t="shared" si="2"/>
        <v>1.347</v>
      </c>
      <c r="J52" s="61">
        <f t="shared" si="3"/>
        <v>1.347</v>
      </c>
      <c r="K52" s="55"/>
      <c r="N52" s="55"/>
    </row>
    <row r="53" spans="2:14">
      <c r="B53" s="60">
        <v>43546</v>
      </c>
      <c r="C53" s="55">
        <v>235950</v>
      </c>
      <c r="D53" s="55">
        <v>0</v>
      </c>
      <c r="E53" s="55">
        <v>108360</v>
      </c>
      <c r="F53" s="55">
        <f t="shared" si="1"/>
        <v>344.31</v>
      </c>
      <c r="G53" s="55">
        <v>632</v>
      </c>
      <c r="H53" s="55">
        <v>781</v>
      </c>
      <c r="I53" s="55">
        <f t="shared" si="2"/>
        <v>1.413</v>
      </c>
      <c r="J53" s="61">
        <f t="shared" si="3"/>
        <v>1.413</v>
      </c>
      <c r="K53" s="55"/>
      <c r="N53" s="55"/>
    </row>
    <row r="54" spans="2:14">
      <c r="B54" s="60">
        <v>43547</v>
      </c>
      <c r="C54" s="55">
        <v>297460</v>
      </c>
      <c r="D54" s="55">
        <v>0</v>
      </c>
      <c r="E54" s="55">
        <v>66950</v>
      </c>
      <c r="F54" s="55">
        <f t="shared" si="1"/>
        <v>364.41</v>
      </c>
      <c r="G54" s="55">
        <v>631</v>
      </c>
      <c r="H54" s="55">
        <v>751</v>
      </c>
      <c r="I54" s="55">
        <f t="shared" si="2"/>
        <v>1.3819999999999999</v>
      </c>
      <c r="J54" s="61">
        <f t="shared" si="3"/>
        <v>1.3819999999999999</v>
      </c>
      <c r="K54" s="55"/>
      <c r="N54" s="55"/>
    </row>
    <row r="55" spans="2:14">
      <c r="B55" s="60">
        <v>43548</v>
      </c>
      <c r="C55" s="55">
        <v>282310</v>
      </c>
      <c r="D55" s="55">
        <v>0</v>
      </c>
      <c r="E55" s="55">
        <v>65600</v>
      </c>
      <c r="F55" s="55">
        <f t="shared" si="1"/>
        <v>347.91</v>
      </c>
      <c r="G55" s="55">
        <v>637</v>
      </c>
      <c r="H55" s="55">
        <v>750</v>
      </c>
      <c r="I55" s="55">
        <f t="shared" si="2"/>
        <v>1.387</v>
      </c>
      <c r="J55" s="61">
        <f t="shared" si="3"/>
        <v>1.387</v>
      </c>
      <c r="K55" s="55"/>
      <c r="N55" s="55"/>
    </row>
    <row r="56" spans="2:14">
      <c r="B56" s="60">
        <v>43549</v>
      </c>
      <c r="C56" s="55">
        <v>297440</v>
      </c>
      <c r="D56" s="55">
        <v>0</v>
      </c>
      <c r="E56" s="55">
        <v>63250</v>
      </c>
      <c r="F56" s="55">
        <f t="shared" si="1"/>
        <v>360.69</v>
      </c>
      <c r="G56" s="55">
        <v>646</v>
      </c>
      <c r="H56" s="55">
        <v>760</v>
      </c>
      <c r="I56" s="55">
        <f t="shared" si="2"/>
        <v>1.4059999999999999</v>
      </c>
      <c r="J56" s="61">
        <f t="shared" si="3"/>
        <v>1.4059999999999999</v>
      </c>
      <c r="K56" s="55"/>
      <c r="N56" s="55"/>
    </row>
    <row r="57" spans="2:14">
      <c r="B57" s="60">
        <v>43550</v>
      </c>
      <c r="C57" s="55">
        <v>300650</v>
      </c>
      <c r="D57" s="55">
        <v>0</v>
      </c>
      <c r="E57" s="55">
        <v>70260</v>
      </c>
      <c r="F57" s="55">
        <f t="shared" si="1"/>
        <v>370.91</v>
      </c>
      <c r="G57" s="55">
        <v>609</v>
      </c>
      <c r="H57" s="55">
        <v>718</v>
      </c>
      <c r="I57" s="55">
        <f t="shared" si="2"/>
        <v>1.327</v>
      </c>
      <c r="J57" s="61">
        <f t="shared" si="3"/>
        <v>1.327</v>
      </c>
      <c r="K57" s="55"/>
      <c r="N57" s="55"/>
    </row>
    <row r="58" spans="2:14">
      <c r="B58" s="60">
        <v>43551</v>
      </c>
      <c r="C58" s="55">
        <v>16840</v>
      </c>
      <c r="D58" s="55">
        <v>0</v>
      </c>
      <c r="E58" s="55">
        <v>12860</v>
      </c>
      <c r="F58" s="55">
        <f t="shared" si="1"/>
        <v>29.7</v>
      </c>
      <c r="G58" s="55">
        <v>62</v>
      </c>
      <c r="H58" s="55">
        <v>76</v>
      </c>
      <c r="I58" s="55">
        <f t="shared" si="2"/>
        <v>0.13800000000000001</v>
      </c>
      <c r="J58" s="61">
        <f t="shared" si="3"/>
        <v>0.13800000000000001</v>
      </c>
      <c r="K58" s="55"/>
      <c r="N58" s="55"/>
    </row>
    <row r="59" spans="2:14">
      <c r="B59" s="60">
        <v>43552</v>
      </c>
      <c r="C59" s="55">
        <v>216130</v>
      </c>
      <c r="D59" s="55">
        <v>0</v>
      </c>
      <c r="E59" s="55">
        <v>169930</v>
      </c>
      <c r="F59" s="55">
        <f t="shared" si="1"/>
        <v>386.06</v>
      </c>
      <c r="G59" s="55">
        <v>447</v>
      </c>
      <c r="H59" s="55">
        <v>517</v>
      </c>
      <c r="I59" s="55">
        <f t="shared" si="2"/>
        <v>0.96399999999999997</v>
      </c>
      <c r="J59" s="61">
        <f t="shared" si="3"/>
        <v>0.96399999999999997</v>
      </c>
      <c r="K59" s="55"/>
      <c r="N59" s="55"/>
    </row>
    <row r="60" spans="2:14">
      <c r="B60" s="60">
        <v>43553</v>
      </c>
      <c r="C60" s="55">
        <v>335320</v>
      </c>
      <c r="D60" s="55">
        <v>0</v>
      </c>
      <c r="E60" s="55">
        <v>314750</v>
      </c>
      <c r="F60" s="55">
        <f t="shared" si="1"/>
        <v>650.07000000000005</v>
      </c>
      <c r="G60" s="55">
        <v>666</v>
      </c>
      <c r="H60" s="55">
        <v>772</v>
      </c>
      <c r="I60" s="55">
        <f t="shared" si="2"/>
        <v>1.4379999999999999</v>
      </c>
      <c r="J60" s="61">
        <f t="shared" si="3"/>
        <v>1.4379999999999999</v>
      </c>
      <c r="K60" s="55"/>
      <c r="N60" s="55"/>
    </row>
    <row r="61" spans="2:14">
      <c r="B61" s="60">
        <v>43554</v>
      </c>
      <c r="C61" s="55">
        <v>308680</v>
      </c>
      <c r="D61" s="55">
        <v>0</v>
      </c>
      <c r="E61" s="55">
        <v>294100</v>
      </c>
      <c r="F61" s="55">
        <f t="shared" si="1"/>
        <v>602.78</v>
      </c>
      <c r="G61" s="55">
        <v>628</v>
      </c>
      <c r="H61" s="55">
        <v>723</v>
      </c>
      <c r="I61" s="55">
        <f t="shared" si="2"/>
        <v>1.351</v>
      </c>
      <c r="J61" s="61">
        <f t="shared" si="3"/>
        <v>1.351</v>
      </c>
      <c r="K61" s="55"/>
      <c r="N61" s="55"/>
    </row>
    <row r="62" spans="2:14" ht="14.4" thickBot="1">
      <c r="B62" s="60">
        <v>43555</v>
      </c>
      <c r="C62" s="55">
        <v>335190</v>
      </c>
      <c r="D62" s="55">
        <v>0</v>
      </c>
      <c r="E62" s="55">
        <v>321900</v>
      </c>
      <c r="F62" s="55">
        <f t="shared" si="1"/>
        <v>657.09</v>
      </c>
      <c r="G62" s="55">
        <v>684</v>
      </c>
      <c r="H62" s="55">
        <v>795</v>
      </c>
      <c r="I62" s="55">
        <f t="shared" si="2"/>
        <v>1.4790000000000001</v>
      </c>
      <c r="J62" s="61">
        <f t="shared" si="3"/>
        <v>1.4790000000000001</v>
      </c>
      <c r="K62" s="55"/>
      <c r="N62" s="55"/>
    </row>
    <row r="63" spans="2:14" ht="14.4" thickBot="1">
      <c r="B63" s="60"/>
      <c r="C63" s="62">
        <f t="shared" ref="C63:J63" si="5">SUM(C32:C62)</f>
        <v>7405550</v>
      </c>
      <c r="D63" s="62">
        <f t="shared" si="5"/>
        <v>0</v>
      </c>
      <c r="E63" s="62">
        <f t="shared" si="5"/>
        <v>1745600</v>
      </c>
      <c r="F63" s="63">
        <f t="shared" si="5"/>
        <v>9151.15</v>
      </c>
      <c r="G63" s="62">
        <f t="shared" si="5"/>
        <v>17351</v>
      </c>
      <c r="H63" s="62">
        <f t="shared" si="5"/>
        <v>20680</v>
      </c>
      <c r="I63" s="64">
        <f t="shared" si="5"/>
        <v>38.030999999999999</v>
      </c>
      <c r="J63" s="64">
        <f t="shared" si="5"/>
        <v>38.030999999999999</v>
      </c>
      <c r="K63" s="59"/>
      <c r="N63" s="55"/>
    </row>
    <row r="64" spans="2:14">
      <c r="B64" s="60">
        <v>43556</v>
      </c>
      <c r="C64" s="55">
        <v>335410</v>
      </c>
      <c r="D64" s="55">
        <v>0</v>
      </c>
      <c r="E64" s="55">
        <v>322000</v>
      </c>
      <c r="F64" s="55">
        <f t="shared" si="1"/>
        <v>657.41</v>
      </c>
      <c r="G64" s="55">
        <v>690</v>
      </c>
      <c r="H64" s="55">
        <v>814</v>
      </c>
      <c r="I64" s="55">
        <f t="shared" si="2"/>
        <v>1.504</v>
      </c>
      <c r="J64" s="61">
        <f t="shared" si="3"/>
        <v>1.504</v>
      </c>
      <c r="K64" s="55"/>
      <c r="N64" s="55"/>
    </row>
    <row r="65" spans="2:18">
      <c r="B65" s="60">
        <v>43557</v>
      </c>
      <c r="C65" s="55">
        <v>335620</v>
      </c>
      <c r="D65" s="55">
        <v>0</v>
      </c>
      <c r="E65" s="55">
        <v>321660</v>
      </c>
      <c r="F65" s="55">
        <f t="shared" si="1"/>
        <v>657.28</v>
      </c>
      <c r="G65" s="55">
        <v>679</v>
      </c>
      <c r="H65" s="55">
        <v>803</v>
      </c>
      <c r="I65" s="55">
        <f t="shared" si="2"/>
        <v>1.482</v>
      </c>
      <c r="J65" s="61">
        <f t="shared" si="3"/>
        <v>1.482</v>
      </c>
      <c r="K65" s="55"/>
      <c r="N65" s="55"/>
      <c r="O65" s="55"/>
      <c r="P65" s="55"/>
      <c r="Q65" s="55"/>
      <c r="R65" s="55"/>
    </row>
    <row r="66" spans="2:18">
      <c r="B66" s="60">
        <v>43558</v>
      </c>
      <c r="C66" s="55">
        <v>332980</v>
      </c>
      <c r="D66" s="55">
        <v>95770</v>
      </c>
      <c r="E66" s="55">
        <v>319860</v>
      </c>
      <c r="F66" s="55">
        <f t="shared" si="1"/>
        <v>748.61</v>
      </c>
      <c r="G66" s="55">
        <v>687</v>
      </c>
      <c r="H66" s="55">
        <v>818</v>
      </c>
      <c r="I66" s="55">
        <f t="shared" si="2"/>
        <v>1.5049999999999999</v>
      </c>
      <c r="J66" s="61">
        <f t="shared" si="3"/>
        <v>1.5049999999999999</v>
      </c>
      <c r="K66" s="55"/>
      <c r="N66" s="55"/>
    </row>
    <row r="67" spans="2:18">
      <c r="B67" s="60">
        <v>43559</v>
      </c>
      <c r="C67" s="55">
        <v>312490</v>
      </c>
      <c r="D67" s="55">
        <v>293870</v>
      </c>
      <c r="E67" s="55">
        <v>284060</v>
      </c>
      <c r="F67" s="55">
        <f t="shared" ref="F67:F93" si="6">SUM(C67:E67)/1000</f>
        <v>890.42</v>
      </c>
      <c r="G67" s="55">
        <v>690</v>
      </c>
      <c r="H67" s="55">
        <v>800</v>
      </c>
      <c r="I67" s="55">
        <f t="shared" si="2"/>
        <v>1.49</v>
      </c>
      <c r="J67" s="61">
        <f t="shared" si="3"/>
        <v>1.49</v>
      </c>
      <c r="K67" s="55"/>
      <c r="N67" s="55"/>
    </row>
    <row r="68" spans="2:18">
      <c r="B68" s="60">
        <v>43560</v>
      </c>
      <c r="C68" s="55">
        <v>323230</v>
      </c>
      <c r="D68" s="55">
        <v>309430</v>
      </c>
      <c r="E68" s="55">
        <v>306380</v>
      </c>
      <c r="F68" s="55">
        <f t="shared" si="6"/>
        <v>939.04</v>
      </c>
      <c r="G68" s="55">
        <v>689</v>
      </c>
      <c r="H68" s="55">
        <v>817</v>
      </c>
      <c r="I68" s="55">
        <f t="shared" si="2"/>
        <v>1.506</v>
      </c>
      <c r="J68" s="61">
        <f t="shared" si="3"/>
        <v>1.506</v>
      </c>
      <c r="K68" s="55"/>
      <c r="N68" s="55"/>
    </row>
    <row r="69" spans="2:18">
      <c r="B69" s="60">
        <v>43561</v>
      </c>
      <c r="C69" s="55">
        <v>313270</v>
      </c>
      <c r="D69" s="55">
        <v>294980</v>
      </c>
      <c r="E69" s="55">
        <v>279020</v>
      </c>
      <c r="F69" s="55">
        <f t="shared" si="6"/>
        <v>887.27</v>
      </c>
      <c r="G69" s="55">
        <v>678</v>
      </c>
      <c r="H69" s="55">
        <v>802</v>
      </c>
      <c r="I69" s="55">
        <f t="shared" si="2"/>
        <v>1.48</v>
      </c>
      <c r="J69" s="61">
        <f t="shared" si="3"/>
        <v>1.48</v>
      </c>
      <c r="K69" s="55"/>
      <c r="N69" s="55"/>
    </row>
    <row r="70" spans="2:18">
      <c r="B70" s="60">
        <v>43562</v>
      </c>
      <c r="C70" s="55">
        <v>320030</v>
      </c>
      <c r="D70" s="55">
        <v>305130</v>
      </c>
      <c r="E70" s="55">
        <v>282630</v>
      </c>
      <c r="F70" s="55">
        <f t="shared" si="6"/>
        <v>907.79</v>
      </c>
      <c r="G70" s="55">
        <v>667</v>
      </c>
      <c r="H70" s="55">
        <v>813</v>
      </c>
      <c r="I70" s="55">
        <f t="shared" ref="I70:I133" si="7">(G70+H70)/1000</f>
        <v>1.48</v>
      </c>
      <c r="J70" s="61">
        <f t="shared" ref="J70:J133" si="8">I70</f>
        <v>1.48</v>
      </c>
      <c r="K70" s="55"/>
      <c r="N70" s="55"/>
    </row>
    <row r="71" spans="2:18">
      <c r="B71" s="60">
        <v>43563</v>
      </c>
      <c r="C71" s="55">
        <v>305400</v>
      </c>
      <c r="D71" s="55">
        <v>299050</v>
      </c>
      <c r="E71" s="55">
        <v>288420</v>
      </c>
      <c r="F71" s="55">
        <f t="shared" si="6"/>
        <v>892.87</v>
      </c>
      <c r="G71" s="55">
        <v>708</v>
      </c>
      <c r="H71" s="55">
        <v>815</v>
      </c>
      <c r="I71" s="55">
        <f t="shared" si="7"/>
        <v>1.5229999999999999</v>
      </c>
      <c r="J71" s="61">
        <f t="shared" si="8"/>
        <v>1.5229999999999999</v>
      </c>
      <c r="K71" s="55"/>
      <c r="N71" s="55"/>
    </row>
    <row r="72" spans="2:18">
      <c r="B72" s="60">
        <v>43564</v>
      </c>
      <c r="C72" s="55">
        <v>308910</v>
      </c>
      <c r="D72" s="55">
        <v>296340</v>
      </c>
      <c r="E72" s="55">
        <v>265330</v>
      </c>
      <c r="F72" s="55">
        <f t="shared" si="6"/>
        <v>870.58</v>
      </c>
      <c r="G72" s="55">
        <v>690</v>
      </c>
      <c r="H72" s="55">
        <v>817</v>
      </c>
      <c r="I72" s="55">
        <f t="shared" si="7"/>
        <v>1.5069999999999999</v>
      </c>
      <c r="J72" s="61">
        <f t="shared" si="8"/>
        <v>1.5069999999999999</v>
      </c>
      <c r="K72" s="55"/>
      <c r="N72" s="55"/>
    </row>
    <row r="73" spans="2:18">
      <c r="B73" s="60">
        <v>43565</v>
      </c>
      <c r="C73" s="55">
        <v>323520</v>
      </c>
      <c r="D73" s="55">
        <v>315590</v>
      </c>
      <c r="E73" s="55">
        <v>304080</v>
      </c>
      <c r="F73" s="55">
        <f t="shared" si="6"/>
        <v>943.19</v>
      </c>
      <c r="G73" s="55">
        <v>689</v>
      </c>
      <c r="H73" s="55">
        <v>818</v>
      </c>
      <c r="I73" s="55">
        <f t="shared" si="7"/>
        <v>1.5069999999999999</v>
      </c>
      <c r="J73" s="61">
        <f t="shared" si="8"/>
        <v>1.5069999999999999</v>
      </c>
      <c r="K73" s="55"/>
      <c r="N73" s="55"/>
    </row>
    <row r="74" spans="2:18">
      <c r="B74" s="60">
        <v>43566</v>
      </c>
      <c r="C74" s="55">
        <v>310870</v>
      </c>
      <c r="D74" s="55">
        <v>303980</v>
      </c>
      <c r="E74" s="55">
        <v>296650</v>
      </c>
      <c r="F74" s="55">
        <f t="shared" si="6"/>
        <v>911.5</v>
      </c>
      <c r="G74" s="55">
        <v>696</v>
      </c>
      <c r="H74" s="55">
        <v>825</v>
      </c>
      <c r="I74" s="55">
        <f t="shared" si="7"/>
        <v>1.5209999999999999</v>
      </c>
      <c r="J74" s="61">
        <f t="shared" si="8"/>
        <v>1.5209999999999999</v>
      </c>
      <c r="K74" s="55"/>
      <c r="N74" s="55"/>
    </row>
    <row r="75" spans="2:18">
      <c r="B75" s="60">
        <v>43567</v>
      </c>
      <c r="C75" s="55">
        <v>301180</v>
      </c>
      <c r="D75" s="55">
        <v>285680</v>
      </c>
      <c r="E75" s="55">
        <v>243470</v>
      </c>
      <c r="F75" s="55">
        <f t="shared" si="6"/>
        <v>830.33</v>
      </c>
      <c r="G75" s="55">
        <v>675</v>
      </c>
      <c r="H75" s="55">
        <v>802</v>
      </c>
      <c r="I75" s="55">
        <f t="shared" si="7"/>
        <v>1.4770000000000001</v>
      </c>
      <c r="J75" s="61">
        <f t="shared" si="8"/>
        <v>1.4770000000000001</v>
      </c>
      <c r="K75" s="55"/>
      <c r="N75" s="55"/>
    </row>
    <row r="76" spans="2:18">
      <c r="B76" s="60">
        <v>43568</v>
      </c>
      <c r="C76" s="55">
        <v>280470</v>
      </c>
      <c r="D76" s="55">
        <v>264590</v>
      </c>
      <c r="E76" s="55">
        <v>232940</v>
      </c>
      <c r="F76" s="55">
        <f t="shared" si="6"/>
        <v>778</v>
      </c>
      <c r="G76" s="55">
        <v>688</v>
      </c>
      <c r="H76" s="55">
        <v>821</v>
      </c>
      <c r="I76" s="55">
        <f t="shared" si="7"/>
        <v>1.5089999999999999</v>
      </c>
      <c r="J76" s="61">
        <f t="shared" si="8"/>
        <v>1.5089999999999999</v>
      </c>
      <c r="K76" s="55"/>
      <c r="N76" s="55"/>
    </row>
    <row r="77" spans="2:18">
      <c r="B77" s="60">
        <v>43569</v>
      </c>
      <c r="C77" s="55">
        <v>253790</v>
      </c>
      <c r="D77" s="55">
        <v>262320</v>
      </c>
      <c r="E77" s="55">
        <v>218380</v>
      </c>
      <c r="F77" s="55">
        <f t="shared" si="6"/>
        <v>734.49</v>
      </c>
      <c r="G77" s="55">
        <v>688</v>
      </c>
      <c r="H77" s="55">
        <v>816</v>
      </c>
      <c r="I77" s="55">
        <f t="shared" si="7"/>
        <v>1.504</v>
      </c>
      <c r="J77" s="61">
        <f t="shared" si="8"/>
        <v>1.504</v>
      </c>
      <c r="K77" s="55"/>
      <c r="N77" s="55"/>
    </row>
    <row r="78" spans="2:18">
      <c r="B78" s="60">
        <v>43570</v>
      </c>
      <c r="C78" s="55">
        <v>278970</v>
      </c>
      <c r="D78" s="55">
        <v>260470</v>
      </c>
      <c r="E78" s="55">
        <v>188820</v>
      </c>
      <c r="F78" s="55">
        <f t="shared" si="6"/>
        <v>728.26</v>
      </c>
      <c r="G78" s="55">
        <v>680</v>
      </c>
      <c r="H78" s="55">
        <v>811</v>
      </c>
      <c r="I78" s="55">
        <f t="shared" si="7"/>
        <v>1.4910000000000001</v>
      </c>
      <c r="J78" s="61">
        <f t="shared" si="8"/>
        <v>1.4910000000000001</v>
      </c>
      <c r="K78" s="55"/>
      <c r="N78" s="55"/>
    </row>
    <row r="79" spans="2:18">
      <c r="B79" s="60">
        <v>43571</v>
      </c>
      <c r="C79" s="55">
        <v>286600</v>
      </c>
      <c r="D79" s="55">
        <v>276900</v>
      </c>
      <c r="E79" s="55">
        <v>252400</v>
      </c>
      <c r="F79" s="55">
        <f t="shared" si="6"/>
        <v>815.9</v>
      </c>
      <c r="G79" s="55">
        <v>699</v>
      </c>
      <c r="H79" s="55">
        <v>829</v>
      </c>
      <c r="I79" s="55">
        <f t="shared" si="7"/>
        <v>1.528</v>
      </c>
      <c r="J79" s="61">
        <f t="shared" si="8"/>
        <v>1.528</v>
      </c>
      <c r="K79" s="55"/>
      <c r="N79" s="55"/>
    </row>
    <row r="80" spans="2:18">
      <c r="B80" s="60">
        <v>43572</v>
      </c>
      <c r="C80" s="55">
        <v>265300</v>
      </c>
      <c r="D80" s="55">
        <v>269500</v>
      </c>
      <c r="E80" s="55">
        <v>241500</v>
      </c>
      <c r="F80" s="55">
        <f t="shared" si="6"/>
        <v>776.3</v>
      </c>
      <c r="G80" s="55">
        <v>708</v>
      </c>
      <c r="H80" s="55">
        <v>840</v>
      </c>
      <c r="I80" s="55">
        <f t="shared" si="7"/>
        <v>1.548</v>
      </c>
      <c r="J80" s="61">
        <f t="shared" si="8"/>
        <v>1.548</v>
      </c>
      <c r="K80" s="55"/>
      <c r="N80" s="55"/>
    </row>
    <row r="81" spans="2:18">
      <c r="B81" s="60">
        <v>43573</v>
      </c>
      <c r="C81" s="55">
        <v>261700</v>
      </c>
      <c r="D81" s="55">
        <v>261600</v>
      </c>
      <c r="E81" s="55">
        <v>156790</v>
      </c>
      <c r="F81" s="55">
        <f t="shared" si="6"/>
        <v>680.09</v>
      </c>
      <c r="G81" s="55">
        <v>667</v>
      </c>
      <c r="H81" s="55">
        <v>795</v>
      </c>
      <c r="I81" s="55">
        <f t="shared" si="7"/>
        <v>1.462</v>
      </c>
      <c r="J81" s="61">
        <f t="shared" si="8"/>
        <v>1.462</v>
      </c>
      <c r="K81" s="55"/>
      <c r="N81" s="55"/>
    </row>
    <row r="82" spans="2:18">
      <c r="B82" s="60">
        <v>43574</v>
      </c>
      <c r="C82" s="55">
        <v>299770</v>
      </c>
      <c r="D82" s="55">
        <v>298100</v>
      </c>
      <c r="E82" s="55">
        <v>79730</v>
      </c>
      <c r="F82" s="55">
        <f t="shared" si="6"/>
        <v>677.6</v>
      </c>
      <c r="G82" s="55">
        <v>664</v>
      </c>
      <c r="H82" s="55">
        <v>792</v>
      </c>
      <c r="I82" s="55">
        <f t="shared" si="7"/>
        <v>1.456</v>
      </c>
      <c r="J82" s="61">
        <f t="shared" si="8"/>
        <v>1.456</v>
      </c>
      <c r="K82" s="55"/>
      <c r="N82" s="55"/>
    </row>
    <row r="83" spans="2:18">
      <c r="B83" s="60">
        <v>43575</v>
      </c>
      <c r="C83" s="55">
        <v>314330</v>
      </c>
      <c r="D83" s="55">
        <v>316400</v>
      </c>
      <c r="E83" s="55">
        <v>69160</v>
      </c>
      <c r="F83" s="55">
        <f t="shared" si="6"/>
        <v>699.89</v>
      </c>
      <c r="G83" s="55">
        <v>675</v>
      </c>
      <c r="H83" s="55">
        <v>764</v>
      </c>
      <c r="I83" s="55">
        <f t="shared" si="7"/>
        <v>1.4390000000000001</v>
      </c>
      <c r="J83" s="61">
        <f t="shared" si="8"/>
        <v>1.4390000000000001</v>
      </c>
      <c r="K83" s="55"/>
      <c r="N83" s="55"/>
    </row>
    <row r="84" spans="2:18">
      <c r="B84" s="60">
        <v>43576</v>
      </c>
      <c r="C84" s="55">
        <v>303700</v>
      </c>
      <c r="D84" s="55">
        <v>299600</v>
      </c>
      <c r="E84" s="55">
        <v>107400</v>
      </c>
      <c r="F84" s="55">
        <f t="shared" si="6"/>
        <v>710.7</v>
      </c>
      <c r="G84" s="55">
        <v>613</v>
      </c>
      <c r="H84" s="55">
        <v>774</v>
      </c>
      <c r="I84" s="55">
        <f t="shared" si="7"/>
        <v>1.387</v>
      </c>
      <c r="J84" s="61">
        <f t="shared" si="8"/>
        <v>1.387</v>
      </c>
      <c r="K84" s="55"/>
      <c r="N84" s="55"/>
    </row>
    <row r="85" spans="2:18">
      <c r="B85" s="60">
        <v>43577</v>
      </c>
      <c r="C85" s="55">
        <v>319820</v>
      </c>
      <c r="D85" s="55">
        <v>313450</v>
      </c>
      <c r="E85" s="55">
        <v>114310</v>
      </c>
      <c r="F85" s="55">
        <f t="shared" si="6"/>
        <v>747.58</v>
      </c>
      <c r="G85" s="55">
        <v>632</v>
      </c>
      <c r="H85" s="55">
        <v>747</v>
      </c>
      <c r="I85" s="55">
        <f t="shared" si="7"/>
        <v>1.379</v>
      </c>
      <c r="J85" s="61">
        <f t="shared" si="8"/>
        <v>1.379</v>
      </c>
      <c r="K85" s="55"/>
      <c r="N85" s="55"/>
    </row>
    <row r="86" spans="2:18">
      <c r="B86" s="60">
        <v>43578</v>
      </c>
      <c r="C86" s="55">
        <v>282830</v>
      </c>
      <c r="D86" s="55">
        <v>279460</v>
      </c>
      <c r="E86" s="55">
        <v>221810</v>
      </c>
      <c r="F86" s="55">
        <f t="shared" si="6"/>
        <v>784.1</v>
      </c>
      <c r="G86" s="55">
        <v>644</v>
      </c>
      <c r="H86" s="55">
        <v>786</v>
      </c>
      <c r="I86" s="55">
        <f t="shared" si="7"/>
        <v>1.43</v>
      </c>
      <c r="J86" s="61">
        <f t="shared" si="8"/>
        <v>1.43</v>
      </c>
      <c r="K86" s="55"/>
      <c r="N86" s="55"/>
    </row>
    <row r="87" spans="2:18">
      <c r="B87" s="60">
        <v>43579</v>
      </c>
      <c r="C87" s="55">
        <v>311360</v>
      </c>
      <c r="D87" s="55">
        <v>309100</v>
      </c>
      <c r="E87" s="55">
        <v>278050</v>
      </c>
      <c r="F87" s="55">
        <f t="shared" si="6"/>
        <v>898.51</v>
      </c>
      <c r="G87" s="55">
        <v>679</v>
      </c>
      <c r="H87" s="55">
        <v>779</v>
      </c>
      <c r="I87" s="55">
        <f t="shared" si="7"/>
        <v>1.458</v>
      </c>
      <c r="J87" s="61">
        <f t="shared" si="8"/>
        <v>1.458</v>
      </c>
      <c r="K87" s="55"/>
      <c r="N87" s="55"/>
    </row>
    <row r="88" spans="2:18">
      <c r="B88" s="60">
        <v>43580</v>
      </c>
      <c r="C88" s="55">
        <v>334260</v>
      </c>
      <c r="D88" s="55">
        <v>327540</v>
      </c>
      <c r="E88" s="55">
        <v>311310</v>
      </c>
      <c r="F88" s="55">
        <f t="shared" si="6"/>
        <v>973.11</v>
      </c>
      <c r="G88" s="55">
        <v>687</v>
      </c>
      <c r="H88" s="55">
        <v>812</v>
      </c>
      <c r="I88" s="55">
        <f t="shared" si="7"/>
        <v>1.4990000000000001</v>
      </c>
      <c r="J88" s="61">
        <f t="shared" si="8"/>
        <v>1.4990000000000001</v>
      </c>
      <c r="K88" s="55"/>
      <c r="N88" s="55"/>
    </row>
    <row r="89" spans="2:18">
      <c r="B89" s="60">
        <v>43581</v>
      </c>
      <c r="C89" s="55">
        <v>335280</v>
      </c>
      <c r="D89" s="55">
        <v>332660</v>
      </c>
      <c r="E89" s="55">
        <v>318850</v>
      </c>
      <c r="F89" s="55">
        <f t="shared" si="6"/>
        <v>986.79</v>
      </c>
      <c r="G89" s="55">
        <v>678</v>
      </c>
      <c r="H89" s="55">
        <v>802</v>
      </c>
      <c r="I89" s="55">
        <f t="shared" si="7"/>
        <v>1.48</v>
      </c>
      <c r="J89" s="61">
        <f t="shared" si="8"/>
        <v>1.48</v>
      </c>
      <c r="K89" s="55"/>
      <c r="N89" s="55"/>
    </row>
    <row r="90" spans="2:18">
      <c r="B90" s="60">
        <v>43582</v>
      </c>
      <c r="C90" s="55">
        <v>323610</v>
      </c>
      <c r="D90" s="55">
        <v>309060</v>
      </c>
      <c r="E90" s="55">
        <v>312830</v>
      </c>
      <c r="F90" s="55">
        <f t="shared" si="6"/>
        <v>945.5</v>
      </c>
      <c r="G90" s="55">
        <v>671</v>
      </c>
      <c r="H90" s="55">
        <v>794</v>
      </c>
      <c r="I90" s="55">
        <f t="shared" si="7"/>
        <v>1.4650000000000001</v>
      </c>
      <c r="J90" s="61">
        <f t="shared" si="8"/>
        <v>1.4650000000000001</v>
      </c>
      <c r="K90" s="55"/>
      <c r="N90" s="55"/>
    </row>
    <row r="91" spans="2:18">
      <c r="B91" s="60">
        <v>43583</v>
      </c>
      <c r="C91" s="55">
        <v>265960</v>
      </c>
      <c r="D91" s="55">
        <v>253460</v>
      </c>
      <c r="E91" s="55">
        <v>250250</v>
      </c>
      <c r="F91" s="55">
        <f t="shared" si="6"/>
        <v>769.67</v>
      </c>
      <c r="G91" s="55">
        <v>562</v>
      </c>
      <c r="H91" s="55">
        <v>667</v>
      </c>
      <c r="I91" s="55">
        <f t="shared" si="7"/>
        <v>1.2290000000000001</v>
      </c>
      <c r="J91" s="61">
        <f t="shared" si="8"/>
        <v>1.2290000000000001</v>
      </c>
      <c r="K91" s="55"/>
      <c r="N91" s="55"/>
    </row>
    <row r="92" spans="2:18">
      <c r="B92" s="60">
        <v>43584</v>
      </c>
      <c r="C92" s="55">
        <v>0</v>
      </c>
      <c r="D92" s="55">
        <v>0</v>
      </c>
      <c r="E92" s="55">
        <v>0</v>
      </c>
      <c r="F92" s="55">
        <f t="shared" si="6"/>
        <v>0</v>
      </c>
      <c r="G92" s="55">
        <v>0</v>
      </c>
      <c r="H92" s="55">
        <v>0</v>
      </c>
      <c r="I92" s="55">
        <f t="shared" si="7"/>
        <v>0</v>
      </c>
      <c r="J92" s="61">
        <f t="shared" si="8"/>
        <v>0</v>
      </c>
      <c r="K92" s="55"/>
      <c r="N92" s="55"/>
    </row>
    <row r="93" spans="2:18" ht="14.4" thickBot="1">
      <c r="B93" s="60">
        <v>43585</v>
      </c>
      <c r="C93" s="55">
        <v>42200</v>
      </c>
      <c r="D93" s="55">
        <v>39240</v>
      </c>
      <c r="E93" s="55">
        <v>33210</v>
      </c>
      <c r="F93" s="55">
        <f t="shared" si="6"/>
        <v>114.65</v>
      </c>
      <c r="G93" s="55">
        <v>119</v>
      </c>
      <c r="H93" s="55">
        <v>140</v>
      </c>
      <c r="I93" s="55">
        <f t="shared" si="7"/>
        <v>0.25900000000000001</v>
      </c>
      <c r="J93" s="61">
        <f t="shared" si="8"/>
        <v>0.25900000000000001</v>
      </c>
      <c r="K93" s="55"/>
      <c r="N93" s="55"/>
    </row>
    <row r="94" spans="2:18" ht="14.4" thickBot="1">
      <c r="B94" s="60"/>
      <c r="C94" s="62">
        <f>SUM(C64:C93)</f>
        <v>8582860</v>
      </c>
      <c r="D94" s="62">
        <f t="shared" ref="D94:J94" si="9">SUM(D64:D93)</f>
        <v>7473270</v>
      </c>
      <c r="E94" s="62">
        <f t="shared" si="9"/>
        <v>6901300</v>
      </c>
      <c r="F94" s="63">
        <f t="shared" si="9"/>
        <v>22957.43</v>
      </c>
      <c r="G94" s="62">
        <f t="shared" si="9"/>
        <v>18992</v>
      </c>
      <c r="H94" s="62">
        <f t="shared" si="9"/>
        <v>22513</v>
      </c>
      <c r="I94" s="64">
        <f t="shared" si="9"/>
        <v>41.504999999999995</v>
      </c>
      <c r="J94" s="64">
        <f t="shared" si="9"/>
        <v>41.504999999999995</v>
      </c>
      <c r="K94" s="59"/>
      <c r="N94" s="55"/>
    </row>
    <row r="95" spans="2:18">
      <c r="B95" s="60">
        <v>43586</v>
      </c>
      <c r="C95" s="55">
        <v>286310</v>
      </c>
      <c r="D95" s="55">
        <v>267240</v>
      </c>
      <c r="E95" s="55">
        <v>175040</v>
      </c>
      <c r="F95" s="55">
        <f t="shared" ref="F95:F125" si="10">SUM(C95:E95)/1000</f>
        <v>728.59</v>
      </c>
      <c r="G95" s="55">
        <v>653</v>
      </c>
      <c r="H95" s="55">
        <v>779</v>
      </c>
      <c r="I95" s="55">
        <f t="shared" si="7"/>
        <v>1.4319999999999999</v>
      </c>
      <c r="J95" s="61">
        <f t="shared" si="8"/>
        <v>1.4319999999999999</v>
      </c>
      <c r="K95" s="55"/>
      <c r="N95" s="55"/>
    </row>
    <row r="96" spans="2:18">
      <c r="B96" s="60">
        <v>43587</v>
      </c>
      <c r="C96" s="55">
        <v>238320</v>
      </c>
      <c r="D96" s="55">
        <v>181270</v>
      </c>
      <c r="E96" s="55">
        <v>143660</v>
      </c>
      <c r="F96" s="55">
        <f t="shared" si="10"/>
        <v>563.25</v>
      </c>
      <c r="G96" s="55">
        <v>630</v>
      </c>
      <c r="H96" s="55">
        <v>753</v>
      </c>
      <c r="I96" s="55">
        <f t="shared" si="7"/>
        <v>1.383</v>
      </c>
      <c r="J96" s="61">
        <f t="shared" si="8"/>
        <v>1.383</v>
      </c>
      <c r="K96" s="55"/>
      <c r="N96" s="55"/>
      <c r="O96" s="55"/>
      <c r="P96" s="55"/>
      <c r="Q96" s="55"/>
      <c r="R96" s="55"/>
    </row>
    <row r="97" spans="2:14">
      <c r="B97" s="60">
        <v>43588</v>
      </c>
      <c r="C97" s="55">
        <v>310950</v>
      </c>
      <c r="D97" s="55">
        <v>289820</v>
      </c>
      <c r="E97" s="55">
        <v>29310</v>
      </c>
      <c r="F97" s="55">
        <f t="shared" si="10"/>
        <v>630.08000000000004</v>
      </c>
      <c r="G97" s="55">
        <v>644</v>
      </c>
      <c r="H97" s="55">
        <v>765</v>
      </c>
      <c r="I97" s="55">
        <f t="shared" si="7"/>
        <v>1.409</v>
      </c>
      <c r="J97" s="61">
        <f t="shared" si="8"/>
        <v>1.409</v>
      </c>
      <c r="K97" s="55"/>
      <c r="N97" s="55"/>
    </row>
    <row r="98" spans="2:14">
      <c r="B98" s="60">
        <v>43589</v>
      </c>
      <c r="C98" s="55">
        <v>317650</v>
      </c>
      <c r="D98" s="55">
        <v>304350</v>
      </c>
      <c r="E98" s="55">
        <v>0</v>
      </c>
      <c r="F98" s="55">
        <f t="shared" si="10"/>
        <v>622</v>
      </c>
      <c r="G98" s="55">
        <v>617</v>
      </c>
      <c r="H98" s="55">
        <v>735</v>
      </c>
      <c r="I98" s="55">
        <f t="shared" si="7"/>
        <v>1.3520000000000001</v>
      </c>
      <c r="J98" s="61">
        <f t="shared" si="8"/>
        <v>1.3520000000000001</v>
      </c>
      <c r="K98" s="55"/>
      <c r="N98" s="55"/>
    </row>
    <row r="99" spans="2:14">
      <c r="B99" s="60">
        <v>43590</v>
      </c>
      <c r="C99" s="55">
        <v>316670</v>
      </c>
      <c r="D99" s="55">
        <v>313250</v>
      </c>
      <c r="E99" s="55">
        <v>0</v>
      </c>
      <c r="F99" s="55">
        <f t="shared" si="10"/>
        <v>629.91999999999996</v>
      </c>
      <c r="G99" s="55">
        <v>634</v>
      </c>
      <c r="H99" s="55">
        <v>845</v>
      </c>
      <c r="I99" s="55">
        <f t="shared" si="7"/>
        <v>1.4790000000000001</v>
      </c>
      <c r="J99" s="61">
        <f t="shared" si="8"/>
        <v>1.4790000000000001</v>
      </c>
      <c r="K99" s="55"/>
      <c r="N99" s="55"/>
    </row>
    <row r="100" spans="2:14">
      <c r="B100" s="60">
        <v>43591</v>
      </c>
      <c r="C100" s="55">
        <v>320740</v>
      </c>
      <c r="D100" s="55">
        <v>312600</v>
      </c>
      <c r="E100" s="55">
        <v>0</v>
      </c>
      <c r="F100" s="55">
        <f t="shared" si="10"/>
        <v>633.34</v>
      </c>
      <c r="G100" s="55">
        <v>584</v>
      </c>
      <c r="H100" s="55">
        <v>611</v>
      </c>
      <c r="I100" s="55">
        <f t="shared" si="7"/>
        <v>1.1950000000000001</v>
      </c>
      <c r="J100" s="61">
        <f t="shared" si="8"/>
        <v>1.1950000000000001</v>
      </c>
      <c r="K100" s="55"/>
      <c r="N100" s="55"/>
    </row>
    <row r="101" spans="2:14">
      <c r="B101" s="60">
        <v>43592</v>
      </c>
      <c r="C101" s="55">
        <v>256410</v>
      </c>
      <c r="D101" s="55">
        <v>186000</v>
      </c>
      <c r="E101" s="55">
        <v>122730</v>
      </c>
      <c r="F101" s="55">
        <f t="shared" si="10"/>
        <v>565.14</v>
      </c>
      <c r="G101" s="55">
        <v>549</v>
      </c>
      <c r="H101" s="55">
        <v>650</v>
      </c>
      <c r="I101" s="55">
        <f t="shared" si="7"/>
        <v>1.1990000000000001</v>
      </c>
      <c r="J101" s="61">
        <f t="shared" si="8"/>
        <v>1.1990000000000001</v>
      </c>
      <c r="K101" s="55"/>
      <c r="N101" s="55"/>
    </row>
    <row r="102" spans="2:14">
      <c r="B102" s="60">
        <v>43593</v>
      </c>
      <c r="C102" s="55">
        <v>327410</v>
      </c>
      <c r="D102" s="55">
        <v>323900</v>
      </c>
      <c r="E102" s="55">
        <v>30660</v>
      </c>
      <c r="F102" s="55">
        <f t="shared" si="10"/>
        <v>681.97</v>
      </c>
      <c r="G102" s="55">
        <v>630</v>
      </c>
      <c r="H102" s="55">
        <v>748</v>
      </c>
      <c r="I102" s="55">
        <f t="shared" si="7"/>
        <v>1.3779999999999999</v>
      </c>
      <c r="J102" s="61">
        <f t="shared" si="8"/>
        <v>1.3779999999999999</v>
      </c>
      <c r="K102" s="55"/>
      <c r="N102" s="55"/>
    </row>
    <row r="103" spans="2:14">
      <c r="B103" s="60">
        <v>43594</v>
      </c>
      <c r="C103" s="55">
        <v>314220</v>
      </c>
      <c r="D103" s="55">
        <v>299200</v>
      </c>
      <c r="E103" s="55">
        <v>95980</v>
      </c>
      <c r="F103" s="55">
        <f t="shared" si="10"/>
        <v>709.4</v>
      </c>
      <c r="G103" s="55">
        <v>663</v>
      </c>
      <c r="H103" s="55">
        <v>780</v>
      </c>
      <c r="I103" s="55">
        <f t="shared" si="7"/>
        <v>1.4430000000000001</v>
      </c>
      <c r="J103" s="61">
        <f t="shared" si="8"/>
        <v>1.4430000000000001</v>
      </c>
      <c r="K103" s="55"/>
      <c r="N103" s="55"/>
    </row>
    <row r="104" spans="2:14">
      <c r="B104" s="60">
        <v>43595</v>
      </c>
      <c r="C104" s="55">
        <v>195900</v>
      </c>
      <c r="D104" s="55">
        <v>285500</v>
      </c>
      <c r="E104" s="55">
        <v>262720</v>
      </c>
      <c r="F104" s="55">
        <f t="shared" si="10"/>
        <v>744.12</v>
      </c>
      <c r="G104" s="55">
        <v>673</v>
      </c>
      <c r="H104" s="55">
        <v>798</v>
      </c>
      <c r="I104" s="55">
        <f t="shared" si="7"/>
        <v>1.4710000000000001</v>
      </c>
      <c r="J104" s="61">
        <f t="shared" si="8"/>
        <v>1.4710000000000001</v>
      </c>
      <c r="K104" s="55"/>
      <c r="N104" s="55"/>
    </row>
    <row r="105" spans="2:14">
      <c r="B105" s="60">
        <v>43596</v>
      </c>
      <c r="C105" s="55">
        <v>246300</v>
      </c>
      <c r="D105" s="55">
        <v>268000</v>
      </c>
      <c r="E105" s="55">
        <v>93600</v>
      </c>
      <c r="F105" s="55">
        <f t="shared" si="10"/>
        <v>607.9</v>
      </c>
      <c r="G105" s="55">
        <v>579</v>
      </c>
      <c r="H105" s="55">
        <v>685</v>
      </c>
      <c r="I105" s="55">
        <f t="shared" si="7"/>
        <v>1.264</v>
      </c>
      <c r="J105" s="61">
        <f t="shared" si="8"/>
        <v>1.264</v>
      </c>
      <c r="K105" s="55"/>
      <c r="N105" s="55"/>
    </row>
    <row r="106" spans="2:14">
      <c r="B106" s="60">
        <v>43597</v>
      </c>
      <c r="C106" s="55">
        <v>321400</v>
      </c>
      <c r="D106" s="55">
        <v>311060</v>
      </c>
      <c r="E106" s="55">
        <v>24400</v>
      </c>
      <c r="F106" s="55">
        <f t="shared" si="10"/>
        <v>656.86</v>
      </c>
      <c r="G106" s="55">
        <v>615</v>
      </c>
      <c r="H106" s="55">
        <v>736</v>
      </c>
      <c r="I106" s="55">
        <f t="shared" si="7"/>
        <v>1.351</v>
      </c>
      <c r="J106" s="61">
        <f t="shared" si="8"/>
        <v>1.351</v>
      </c>
      <c r="K106" s="55"/>
      <c r="N106" s="55"/>
    </row>
    <row r="107" spans="2:14">
      <c r="B107" s="60">
        <v>43598</v>
      </c>
      <c r="C107" s="55">
        <v>310740</v>
      </c>
      <c r="D107" s="55">
        <v>289780</v>
      </c>
      <c r="E107" s="55">
        <v>21430</v>
      </c>
      <c r="F107" s="55">
        <f t="shared" si="10"/>
        <v>621.95000000000005</v>
      </c>
      <c r="G107" s="55">
        <v>621</v>
      </c>
      <c r="H107" s="55">
        <v>729</v>
      </c>
      <c r="I107" s="55">
        <f t="shared" si="7"/>
        <v>1.35</v>
      </c>
      <c r="J107" s="61">
        <f t="shared" si="8"/>
        <v>1.35</v>
      </c>
      <c r="K107" s="55"/>
      <c r="N107" s="55"/>
    </row>
    <row r="108" spans="2:14">
      <c r="B108" s="60">
        <v>43599</v>
      </c>
      <c r="C108" s="55">
        <v>313400</v>
      </c>
      <c r="D108" s="55">
        <v>299650</v>
      </c>
      <c r="E108" s="55">
        <v>10490</v>
      </c>
      <c r="F108" s="55">
        <f t="shared" si="10"/>
        <v>623.54</v>
      </c>
      <c r="G108" s="55">
        <v>601</v>
      </c>
      <c r="H108" s="55">
        <v>720</v>
      </c>
      <c r="I108" s="55">
        <f t="shared" si="7"/>
        <v>1.321</v>
      </c>
      <c r="J108" s="61">
        <f t="shared" si="8"/>
        <v>1.321</v>
      </c>
      <c r="K108" s="55"/>
      <c r="N108" s="55"/>
    </row>
    <row r="109" spans="2:14">
      <c r="B109" s="60">
        <v>43600</v>
      </c>
      <c r="C109" s="55">
        <v>303880</v>
      </c>
      <c r="D109" s="55">
        <v>286460</v>
      </c>
      <c r="E109" s="55">
        <v>18050</v>
      </c>
      <c r="F109" s="55">
        <f t="shared" si="10"/>
        <v>608.39</v>
      </c>
      <c r="G109" s="55">
        <v>599</v>
      </c>
      <c r="H109" s="55">
        <v>720</v>
      </c>
      <c r="I109" s="55">
        <f t="shared" si="7"/>
        <v>1.319</v>
      </c>
      <c r="J109" s="61">
        <f t="shared" si="8"/>
        <v>1.319</v>
      </c>
      <c r="K109" s="55"/>
      <c r="N109" s="55"/>
    </row>
    <row r="110" spans="2:14">
      <c r="B110" s="60">
        <v>43601</v>
      </c>
      <c r="C110" s="55">
        <v>305530</v>
      </c>
      <c r="D110" s="55">
        <v>229050</v>
      </c>
      <c r="E110" s="55">
        <v>124480</v>
      </c>
      <c r="F110" s="55">
        <f t="shared" si="10"/>
        <v>659.06</v>
      </c>
      <c r="G110" s="55">
        <v>632</v>
      </c>
      <c r="H110" s="55">
        <v>756</v>
      </c>
      <c r="I110" s="55">
        <f t="shared" si="7"/>
        <v>1.3879999999999999</v>
      </c>
      <c r="J110" s="61">
        <f t="shared" si="8"/>
        <v>1.3879999999999999</v>
      </c>
      <c r="K110" s="55"/>
      <c r="N110" s="55"/>
    </row>
    <row r="111" spans="2:14">
      <c r="B111" s="60">
        <v>43602</v>
      </c>
      <c r="C111" s="55">
        <v>320580</v>
      </c>
      <c r="D111" s="55">
        <v>305780</v>
      </c>
      <c r="E111" s="55">
        <v>31620</v>
      </c>
      <c r="F111" s="55">
        <f t="shared" si="10"/>
        <v>657.98</v>
      </c>
      <c r="G111" s="55">
        <v>712</v>
      </c>
      <c r="H111" s="55">
        <v>816</v>
      </c>
      <c r="I111" s="55">
        <f t="shared" si="7"/>
        <v>1.528</v>
      </c>
      <c r="J111" s="61">
        <f t="shared" si="8"/>
        <v>1.528</v>
      </c>
      <c r="K111" s="55"/>
      <c r="N111" s="55"/>
    </row>
    <row r="112" spans="2:14">
      <c r="B112" s="60">
        <v>43603</v>
      </c>
      <c r="C112" s="55">
        <v>161440</v>
      </c>
      <c r="D112" s="55">
        <v>312550</v>
      </c>
      <c r="E112" s="55">
        <v>193660</v>
      </c>
      <c r="F112" s="55">
        <f t="shared" si="10"/>
        <v>667.65</v>
      </c>
      <c r="G112" s="55">
        <v>710</v>
      </c>
      <c r="H112" s="55">
        <v>818</v>
      </c>
      <c r="I112" s="55">
        <f t="shared" si="7"/>
        <v>1.528</v>
      </c>
      <c r="J112" s="61">
        <f t="shared" si="8"/>
        <v>1.528</v>
      </c>
      <c r="K112" s="55"/>
      <c r="N112" s="55"/>
    </row>
    <row r="113" spans="2:18">
      <c r="B113" s="60">
        <v>43604</v>
      </c>
      <c r="C113" s="55">
        <v>283400</v>
      </c>
      <c r="D113" s="55">
        <v>315570</v>
      </c>
      <c r="E113" s="55">
        <v>48620</v>
      </c>
      <c r="F113" s="55">
        <f t="shared" si="10"/>
        <v>647.59</v>
      </c>
      <c r="G113" s="55">
        <v>616</v>
      </c>
      <c r="H113" s="55">
        <v>737</v>
      </c>
      <c r="I113" s="55">
        <f t="shared" si="7"/>
        <v>1.353</v>
      </c>
      <c r="J113" s="61">
        <f t="shared" si="8"/>
        <v>1.353</v>
      </c>
      <c r="K113" s="55"/>
      <c r="N113" s="55"/>
    </row>
    <row r="114" spans="2:18">
      <c r="B114" s="60">
        <v>43605</v>
      </c>
      <c r="C114" s="55">
        <v>334170</v>
      </c>
      <c r="D114" s="55">
        <v>333000</v>
      </c>
      <c r="E114" s="55">
        <v>14050</v>
      </c>
      <c r="F114" s="55">
        <f t="shared" si="10"/>
        <v>681.22</v>
      </c>
      <c r="G114" s="55">
        <v>689</v>
      </c>
      <c r="H114" s="55">
        <v>809</v>
      </c>
      <c r="I114" s="55">
        <f t="shared" si="7"/>
        <v>1.498</v>
      </c>
      <c r="J114" s="61">
        <f t="shared" si="8"/>
        <v>1.498</v>
      </c>
      <c r="K114" s="55"/>
      <c r="N114" s="55"/>
    </row>
    <row r="115" spans="2:18">
      <c r="B115" s="60">
        <v>43606</v>
      </c>
      <c r="C115" s="55">
        <v>325940</v>
      </c>
      <c r="D115" s="55">
        <v>320710</v>
      </c>
      <c r="E115" s="55">
        <v>24870</v>
      </c>
      <c r="F115" s="55">
        <f t="shared" si="10"/>
        <v>671.52</v>
      </c>
      <c r="G115" s="55">
        <v>618</v>
      </c>
      <c r="H115" s="55">
        <v>736</v>
      </c>
      <c r="I115" s="55">
        <f t="shared" si="7"/>
        <v>1.3540000000000001</v>
      </c>
      <c r="J115" s="61">
        <f t="shared" si="8"/>
        <v>1.3540000000000001</v>
      </c>
      <c r="K115" s="55"/>
      <c r="N115" s="55"/>
    </row>
    <row r="116" spans="2:18">
      <c r="B116" s="60">
        <v>43607</v>
      </c>
      <c r="C116" s="55">
        <v>261320</v>
      </c>
      <c r="D116" s="55">
        <v>261130</v>
      </c>
      <c r="E116" s="55">
        <v>162810</v>
      </c>
      <c r="F116" s="55">
        <f t="shared" si="10"/>
        <v>685.26</v>
      </c>
      <c r="G116" s="55">
        <v>770</v>
      </c>
      <c r="H116" s="55">
        <v>890</v>
      </c>
      <c r="I116" s="55">
        <f t="shared" si="7"/>
        <v>1.66</v>
      </c>
      <c r="J116" s="61">
        <f t="shared" si="8"/>
        <v>1.66</v>
      </c>
      <c r="K116" s="55"/>
      <c r="N116" s="55"/>
    </row>
    <row r="117" spans="2:18">
      <c r="B117" s="60">
        <v>43608</v>
      </c>
      <c r="C117" s="55">
        <v>315200</v>
      </c>
      <c r="D117" s="55">
        <v>308060</v>
      </c>
      <c r="E117" s="55">
        <v>32020</v>
      </c>
      <c r="F117" s="55">
        <f t="shared" si="10"/>
        <v>655.28</v>
      </c>
      <c r="G117" s="55">
        <v>644</v>
      </c>
      <c r="H117" s="55">
        <v>760</v>
      </c>
      <c r="I117" s="55">
        <f t="shared" si="7"/>
        <v>1.4039999999999999</v>
      </c>
      <c r="J117" s="61">
        <f t="shared" si="8"/>
        <v>1.4039999999999999</v>
      </c>
      <c r="K117" s="55"/>
      <c r="N117" s="55"/>
    </row>
    <row r="118" spans="2:18">
      <c r="B118" s="60">
        <v>43609</v>
      </c>
      <c r="C118" s="55">
        <v>323400</v>
      </c>
      <c r="D118" s="55">
        <v>307400</v>
      </c>
      <c r="E118" s="55">
        <v>1120</v>
      </c>
      <c r="F118" s="55">
        <f t="shared" si="10"/>
        <v>631.91999999999996</v>
      </c>
      <c r="G118" s="55">
        <v>626</v>
      </c>
      <c r="H118" s="55">
        <v>746</v>
      </c>
      <c r="I118" s="55">
        <f t="shared" si="7"/>
        <v>1.3720000000000001</v>
      </c>
      <c r="J118" s="61">
        <f t="shared" si="8"/>
        <v>1.3720000000000001</v>
      </c>
      <c r="K118" s="55"/>
      <c r="N118" s="55"/>
    </row>
    <row r="119" spans="2:18">
      <c r="B119" s="60">
        <v>43610</v>
      </c>
      <c r="C119" s="55">
        <v>313460</v>
      </c>
      <c r="D119" s="55">
        <v>297800</v>
      </c>
      <c r="E119" s="55">
        <v>9390</v>
      </c>
      <c r="F119" s="55">
        <f t="shared" si="10"/>
        <v>620.65</v>
      </c>
      <c r="G119" s="55">
        <v>596</v>
      </c>
      <c r="H119" s="55">
        <v>705</v>
      </c>
      <c r="I119" s="55">
        <f t="shared" si="7"/>
        <v>1.3009999999999999</v>
      </c>
      <c r="J119" s="61">
        <f t="shared" si="8"/>
        <v>1.3009999999999999</v>
      </c>
      <c r="K119" s="55"/>
      <c r="N119" s="55"/>
    </row>
    <row r="120" spans="2:18">
      <c r="B120" s="60">
        <v>43611</v>
      </c>
      <c r="C120" s="55">
        <v>314240</v>
      </c>
      <c r="D120" s="55">
        <v>300900</v>
      </c>
      <c r="E120" s="55">
        <v>660</v>
      </c>
      <c r="F120" s="55">
        <f t="shared" si="10"/>
        <v>615.79999999999995</v>
      </c>
      <c r="G120" s="55">
        <v>604</v>
      </c>
      <c r="H120" s="55">
        <v>719</v>
      </c>
      <c r="I120" s="55">
        <f t="shared" si="7"/>
        <v>1.323</v>
      </c>
      <c r="J120" s="61">
        <f t="shared" si="8"/>
        <v>1.323</v>
      </c>
      <c r="K120" s="55"/>
      <c r="N120" s="55"/>
    </row>
    <row r="121" spans="2:18">
      <c r="B121" s="60">
        <v>43612</v>
      </c>
      <c r="C121" s="55">
        <v>312900</v>
      </c>
      <c r="D121" s="55">
        <v>304100</v>
      </c>
      <c r="E121" s="55">
        <v>11230</v>
      </c>
      <c r="F121" s="55">
        <f t="shared" si="10"/>
        <v>628.23</v>
      </c>
      <c r="G121" s="55">
        <v>618</v>
      </c>
      <c r="H121" s="55">
        <v>734</v>
      </c>
      <c r="I121" s="55">
        <f t="shared" si="7"/>
        <v>1.3520000000000001</v>
      </c>
      <c r="J121" s="61">
        <f t="shared" si="8"/>
        <v>1.3520000000000001</v>
      </c>
      <c r="K121" s="55"/>
      <c r="N121" s="55"/>
    </row>
    <row r="122" spans="2:18">
      <c r="B122" s="60">
        <v>43613</v>
      </c>
      <c r="C122" s="55">
        <v>294300</v>
      </c>
      <c r="D122" s="55">
        <v>291500</v>
      </c>
      <c r="E122" s="55">
        <v>22900</v>
      </c>
      <c r="F122" s="55">
        <f t="shared" si="10"/>
        <v>608.70000000000005</v>
      </c>
      <c r="G122" s="55">
        <v>681</v>
      </c>
      <c r="H122" s="55">
        <v>796</v>
      </c>
      <c r="I122" s="55">
        <f t="shared" si="7"/>
        <v>1.4770000000000001</v>
      </c>
      <c r="J122" s="61">
        <f t="shared" si="8"/>
        <v>1.4770000000000001</v>
      </c>
      <c r="K122" s="55"/>
      <c r="N122" s="55"/>
    </row>
    <row r="123" spans="2:18">
      <c r="B123" s="60">
        <v>43614</v>
      </c>
      <c r="C123" s="55">
        <v>293360</v>
      </c>
      <c r="D123" s="55">
        <v>268400</v>
      </c>
      <c r="E123" s="55">
        <v>136400.00000000291</v>
      </c>
      <c r="F123" s="55">
        <f t="shared" si="10"/>
        <v>698.16000000000292</v>
      </c>
      <c r="G123" s="55">
        <v>669.86</v>
      </c>
      <c r="H123" s="55">
        <v>788.06999999999994</v>
      </c>
      <c r="I123" s="55">
        <f t="shared" si="7"/>
        <v>1.4579299999999997</v>
      </c>
      <c r="J123" s="61">
        <f t="shared" si="8"/>
        <v>1.4579299999999997</v>
      </c>
      <c r="K123" s="55"/>
      <c r="N123" s="55"/>
    </row>
    <row r="124" spans="2:18">
      <c r="B124" s="60">
        <v>43615</v>
      </c>
      <c r="C124" s="55">
        <v>312880</v>
      </c>
      <c r="D124" s="55">
        <v>300490</v>
      </c>
      <c r="E124" s="55">
        <v>107760</v>
      </c>
      <c r="F124" s="55">
        <f t="shared" si="10"/>
        <v>721.13</v>
      </c>
      <c r="G124" s="55">
        <v>661.84</v>
      </c>
      <c r="H124" s="55">
        <v>779.77</v>
      </c>
      <c r="I124" s="55">
        <f t="shared" si="7"/>
        <v>1.4416100000000001</v>
      </c>
      <c r="J124" s="61">
        <f t="shared" si="8"/>
        <v>1.4416100000000001</v>
      </c>
      <c r="K124" s="55"/>
      <c r="N124" s="55"/>
    </row>
    <row r="125" spans="2:18" ht="14.4" thickBot="1">
      <c r="B125" s="60">
        <v>43616</v>
      </c>
      <c r="C125" s="55">
        <v>311440</v>
      </c>
      <c r="D125" s="55">
        <v>304350</v>
      </c>
      <c r="E125" s="55">
        <v>102490</v>
      </c>
      <c r="F125" s="55">
        <f t="shared" si="10"/>
        <v>718.28</v>
      </c>
      <c r="G125" s="55">
        <v>657.46</v>
      </c>
      <c r="H125" s="55">
        <v>775.06000000000017</v>
      </c>
      <c r="I125" s="55">
        <f t="shared" si="7"/>
        <v>1.4325200000000002</v>
      </c>
      <c r="J125" s="61">
        <f t="shared" si="8"/>
        <v>1.4325200000000002</v>
      </c>
      <c r="K125" s="55"/>
      <c r="N125" s="55"/>
    </row>
    <row r="126" spans="2:18" ht="14.4" thickBot="1">
      <c r="B126" s="60"/>
      <c r="C126" s="62">
        <f>SUM(C95:C125)</f>
        <v>9163860</v>
      </c>
      <c r="D126" s="62">
        <f t="shared" ref="D126:J126" si="11">SUM(D95:D125)</f>
        <v>8978870</v>
      </c>
      <c r="E126" s="62">
        <f t="shared" si="11"/>
        <v>2052150.0000000028</v>
      </c>
      <c r="F126" s="63">
        <f t="shared" si="11"/>
        <v>20194.880000000005</v>
      </c>
      <c r="G126" s="62">
        <f t="shared" si="11"/>
        <v>19797.16</v>
      </c>
      <c r="H126" s="62">
        <f t="shared" si="11"/>
        <v>23418.9</v>
      </c>
      <c r="I126" s="64">
        <f t="shared" si="11"/>
        <v>43.216059999999985</v>
      </c>
      <c r="J126" s="64">
        <f t="shared" si="11"/>
        <v>43.216059999999985</v>
      </c>
      <c r="K126" s="59"/>
      <c r="N126" s="55"/>
    </row>
    <row r="127" spans="2:18">
      <c r="B127" s="60">
        <v>43617</v>
      </c>
      <c r="C127" s="55">
        <v>310030</v>
      </c>
      <c r="D127" s="55">
        <v>302870</v>
      </c>
      <c r="E127" s="55">
        <v>116960</v>
      </c>
      <c r="F127" s="55">
        <f t="shared" ref="F127:F156" si="12">SUM(C127:E127)/1000</f>
        <v>729.86</v>
      </c>
      <c r="G127" s="55">
        <v>669.76999999999975</v>
      </c>
      <c r="H127" s="55">
        <v>790.34999999999991</v>
      </c>
      <c r="I127" s="55">
        <f t="shared" si="7"/>
        <v>1.4601199999999996</v>
      </c>
      <c r="J127" s="61">
        <f t="shared" si="8"/>
        <v>1.4601199999999996</v>
      </c>
      <c r="K127" s="55"/>
      <c r="N127" s="55"/>
    </row>
    <row r="128" spans="2:18">
      <c r="B128" s="60">
        <v>43618</v>
      </c>
      <c r="C128" s="55">
        <v>300610</v>
      </c>
      <c r="D128" s="55">
        <v>290210</v>
      </c>
      <c r="E128" s="55">
        <v>113700</v>
      </c>
      <c r="F128" s="55">
        <f t="shared" si="12"/>
        <v>704.52</v>
      </c>
      <c r="G128" s="55">
        <v>661.69</v>
      </c>
      <c r="H128" s="55">
        <v>784.42999999999984</v>
      </c>
      <c r="I128" s="55">
        <f t="shared" si="7"/>
        <v>1.4461199999999999</v>
      </c>
      <c r="J128" s="61">
        <f t="shared" si="8"/>
        <v>1.4461199999999999</v>
      </c>
      <c r="K128" s="55"/>
      <c r="N128" s="55"/>
      <c r="O128" s="55"/>
      <c r="P128" s="55"/>
      <c r="Q128" s="55"/>
      <c r="R128" s="55"/>
    </row>
    <row r="129" spans="2:14">
      <c r="B129" s="60">
        <v>43619</v>
      </c>
      <c r="C129" s="55">
        <v>311050</v>
      </c>
      <c r="D129" s="55">
        <v>294840</v>
      </c>
      <c r="E129" s="55">
        <v>139790</v>
      </c>
      <c r="F129" s="55">
        <f t="shared" si="12"/>
        <v>745.68</v>
      </c>
      <c r="G129" s="55">
        <v>675.02</v>
      </c>
      <c r="H129" s="55">
        <v>795.2800000000002</v>
      </c>
      <c r="I129" s="55">
        <f t="shared" si="7"/>
        <v>1.4703000000000002</v>
      </c>
      <c r="J129" s="61">
        <f t="shared" si="8"/>
        <v>1.4703000000000002</v>
      </c>
      <c r="K129" s="55"/>
      <c r="N129" s="55"/>
    </row>
    <row r="130" spans="2:14">
      <c r="B130" s="60">
        <v>43620</v>
      </c>
      <c r="C130" s="55">
        <v>303340</v>
      </c>
      <c r="D130" s="55">
        <v>295790</v>
      </c>
      <c r="E130" s="55">
        <v>97150</v>
      </c>
      <c r="F130" s="55">
        <f t="shared" si="12"/>
        <v>696.28</v>
      </c>
      <c r="G130" s="55">
        <v>673.5300000000002</v>
      </c>
      <c r="H130" s="55">
        <v>793.26999999999953</v>
      </c>
      <c r="I130" s="55">
        <f t="shared" si="7"/>
        <v>1.4667999999999997</v>
      </c>
      <c r="J130" s="61">
        <f t="shared" si="8"/>
        <v>1.4667999999999997</v>
      </c>
      <c r="K130" s="55"/>
      <c r="N130" s="55"/>
    </row>
    <row r="131" spans="2:14">
      <c r="B131" s="60">
        <v>43621</v>
      </c>
      <c r="C131" s="55">
        <v>327050</v>
      </c>
      <c r="D131" s="55">
        <v>325370</v>
      </c>
      <c r="E131" s="55">
        <v>88620</v>
      </c>
      <c r="F131" s="55">
        <f t="shared" si="12"/>
        <v>741.04</v>
      </c>
      <c r="G131" s="55">
        <v>649.94999999999982</v>
      </c>
      <c r="H131" s="55">
        <v>767.54000000000087</v>
      </c>
      <c r="I131" s="55">
        <f t="shared" si="7"/>
        <v>1.4174900000000006</v>
      </c>
      <c r="J131" s="61">
        <f t="shared" si="8"/>
        <v>1.4174900000000006</v>
      </c>
      <c r="K131" s="55"/>
      <c r="N131" s="55"/>
    </row>
    <row r="132" spans="2:14">
      <c r="B132" s="60">
        <v>43622</v>
      </c>
      <c r="C132" s="55">
        <v>308050</v>
      </c>
      <c r="D132" s="55">
        <v>299700</v>
      </c>
      <c r="E132" s="55">
        <v>91290</v>
      </c>
      <c r="F132" s="55">
        <f t="shared" si="12"/>
        <v>699.04</v>
      </c>
      <c r="G132" s="55">
        <v>655.0600000000004</v>
      </c>
      <c r="H132" s="55">
        <v>773.35999999999967</v>
      </c>
      <c r="I132" s="55">
        <f t="shared" si="7"/>
        <v>1.42842</v>
      </c>
      <c r="J132" s="61">
        <f t="shared" si="8"/>
        <v>1.42842</v>
      </c>
      <c r="K132" s="55"/>
      <c r="N132" s="55"/>
    </row>
    <row r="133" spans="2:14">
      <c r="B133" s="60">
        <v>43623</v>
      </c>
      <c r="C133" s="55">
        <v>328940</v>
      </c>
      <c r="D133" s="55">
        <v>317240</v>
      </c>
      <c r="E133" s="55">
        <v>9160</v>
      </c>
      <c r="F133" s="55">
        <f t="shared" si="12"/>
        <v>655.34</v>
      </c>
      <c r="G133" s="55">
        <v>608.94999999999982</v>
      </c>
      <c r="H133" s="55">
        <v>722.09999999999945</v>
      </c>
      <c r="I133" s="55">
        <f t="shared" si="7"/>
        <v>1.3310499999999992</v>
      </c>
      <c r="J133" s="61">
        <f t="shared" si="8"/>
        <v>1.3310499999999992</v>
      </c>
      <c r="K133" s="55"/>
      <c r="N133" s="55"/>
    </row>
    <row r="134" spans="2:14">
      <c r="B134" s="60">
        <v>43624</v>
      </c>
      <c r="C134" s="55">
        <v>334570</v>
      </c>
      <c r="D134" s="55">
        <v>322460</v>
      </c>
      <c r="E134" s="55">
        <v>0</v>
      </c>
      <c r="F134" s="55">
        <f t="shared" si="12"/>
        <v>657.03</v>
      </c>
      <c r="G134" s="55">
        <v>591.76000000000022</v>
      </c>
      <c r="H134" s="55">
        <v>702.68000000000029</v>
      </c>
      <c r="I134" s="55">
        <f t="shared" ref="I134:I156" si="13">(G134+H134)/1000</f>
        <v>1.2944400000000005</v>
      </c>
      <c r="J134" s="61">
        <f t="shared" ref="J134:J156" si="14">I134</f>
        <v>1.2944400000000005</v>
      </c>
      <c r="K134" s="55"/>
      <c r="N134" s="55"/>
    </row>
    <row r="135" spans="2:14">
      <c r="B135" s="60">
        <v>43625</v>
      </c>
      <c r="C135" s="55">
        <v>313100</v>
      </c>
      <c r="D135" s="55">
        <v>288820</v>
      </c>
      <c r="E135" s="55">
        <v>29130</v>
      </c>
      <c r="F135" s="55">
        <f t="shared" si="12"/>
        <v>631.04999999999995</v>
      </c>
      <c r="G135" s="55">
        <v>601.01999999999953</v>
      </c>
      <c r="H135" s="55">
        <v>717.06999999999971</v>
      </c>
      <c r="I135" s="55">
        <f t="shared" si="13"/>
        <v>1.3180899999999993</v>
      </c>
      <c r="J135" s="61">
        <f t="shared" si="14"/>
        <v>1.3180899999999993</v>
      </c>
      <c r="K135" s="55"/>
      <c r="N135" s="55"/>
    </row>
    <row r="136" spans="2:14">
      <c r="B136" s="60">
        <v>43626</v>
      </c>
      <c r="C136" s="55">
        <v>329110</v>
      </c>
      <c r="D136" s="55">
        <v>327410</v>
      </c>
      <c r="E136" s="55">
        <v>52380</v>
      </c>
      <c r="F136" s="55">
        <f t="shared" si="12"/>
        <v>708.9</v>
      </c>
      <c r="G136" s="55">
        <v>626.99999999999909</v>
      </c>
      <c r="H136" s="55">
        <v>744.67000000000007</v>
      </c>
      <c r="I136" s="55">
        <f t="shared" si="13"/>
        <v>1.3716699999999991</v>
      </c>
      <c r="J136" s="61">
        <f t="shared" si="14"/>
        <v>1.3716699999999991</v>
      </c>
      <c r="K136" s="55"/>
      <c r="N136" s="55"/>
    </row>
    <row r="137" spans="2:14">
      <c r="B137" s="60">
        <v>43627</v>
      </c>
      <c r="C137" s="55">
        <v>288050</v>
      </c>
      <c r="D137" s="55">
        <v>275750</v>
      </c>
      <c r="E137" s="55">
        <v>156880</v>
      </c>
      <c r="F137" s="55">
        <f t="shared" si="12"/>
        <v>720.68</v>
      </c>
      <c r="G137" s="55">
        <v>639.01000000000113</v>
      </c>
      <c r="H137" s="55">
        <v>760.14999999999964</v>
      </c>
      <c r="I137" s="55">
        <f t="shared" si="13"/>
        <v>1.3991600000000008</v>
      </c>
      <c r="J137" s="61">
        <f t="shared" si="14"/>
        <v>1.3991600000000008</v>
      </c>
      <c r="K137" s="55"/>
      <c r="N137" s="55"/>
    </row>
    <row r="138" spans="2:14">
      <c r="B138" s="60">
        <v>43628</v>
      </c>
      <c r="C138" s="55">
        <v>299080</v>
      </c>
      <c r="D138" s="55">
        <v>294610</v>
      </c>
      <c r="E138" s="55">
        <v>93830</v>
      </c>
      <c r="F138" s="55">
        <f t="shared" si="12"/>
        <v>687.52</v>
      </c>
      <c r="G138" s="55">
        <v>633.40999999999985</v>
      </c>
      <c r="H138" s="55">
        <v>750.60000000000036</v>
      </c>
      <c r="I138" s="55">
        <f t="shared" si="13"/>
        <v>1.3840100000000002</v>
      </c>
      <c r="J138" s="61">
        <f t="shared" si="14"/>
        <v>1.3840100000000002</v>
      </c>
      <c r="K138" s="55"/>
      <c r="N138" s="55"/>
    </row>
    <row r="139" spans="2:14">
      <c r="B139" s="60">
        <v>43629</v>
      </c>
      <c r="C139" s="55">
        <v>315160</v>
      </c>
      <c r="D139" s="55">
        <v>306260</v>
      </c>
      <c r="E139" s="55">
        <v>69690</v>
      </c>
      <c r="F139" s="55">
        <f t="shared" si="12"/>
        <v>691.11</v>
      </c>
      <c r="G139" s="55">
        <v>609.69000000000051</v>
      </c>
      <c r="H139" s="55">
        <v>726.10000000000036</v>
      </c>
      <c r="I139" s="55">
        <f t="shared" si="13"/>
        <v>1.3357900000000009</v>
      </c>
      <c r="J139" s="61">
        <f t="shared" si="14"/>
        <v>1.3357900000000009</v>
      </c>
      <c r="K139" s="55"/>
      <c r="N139" s="55"/>
    </row>
    <row r="140" spans="2:14">
      <c r="B140" s="60">
        <v>43630</v>
      </c>
      <c r="C140" s="55">
        <v>326450</v>
      </c>
      <c r="D140" s="55">
        <v>317540</v>
      </c>
      <c r="E140" s="55">
        <v>8470</v>
      </c>
      <c r="F140" s="55">
        <f t="shared" si="12"/>
        <v>652.46</v>
      </c>
      <c r="G140" s="55">
        <v>581.57999999999993</v>
      </c>
      <c r="H140" s="55">
        <v>689.60000000000036</v>
      </c>
      <c r="I140" s="55">
        <f t="shared" si="13"/>
        <v>1.2711800000000002</v>
      </c>
      <c r="J140" s="61">
        <f t="shared" si="14"/>
        <v>1.2711800000000002</v>
      </c>
      <c r="K140" s="55"/>
      <c r="N140" s="55"/>
    </row>
    <row r="141" spans="2:14">
      <c r="B141" s="60">
        <v>43631</v>
      </c>
      <c r="C141" s="55">
        <v>322670</v>
      </c>
      <c r="D141" s="55">
        <v>316510</v>
      </c>
      <c r="E141" s="55">
        <v>35210</v>
      </c>
      <c r="F141" s="55">
        <f t="shared" si="12"/>
        <v>674.39</v>
      </c>
      <c r="G141" s="55">
        <v>612.89999999999964</v>
      </c>
      <c r="H141" s="55">
        <v>724.38999999999942</v>
      </c>
      <c r="I141" s="55">
        <f t="shared" si="13"/>
        <v>1.337289999999999</v>
      </c>
      <c r="J141" s="61">
        <f t="shared" si="14"/>
        <v>1.337289999999999</v>
      </c>
      <c r="K141" s="55"/>
      <c r="N141" s="55"/>
    </row>
    <row r="142" spans="2:14">
      <c r="B142" s="60">
        <v>43632</v>
      </c>
      <c r="C142" s="55">
        <v>314850</v>
      </c>
      <c r="D142" s="55">
        <v>312220</v>
      </c>
      <c r="E142" s="55">
        <v>0</v>
      </c>
      <c r="F142" s="55">
        <f t="shared" si="12"/>
        <v>627.07000000000005</v>
      </c>
      <c r="G142" s="55">
        <v>586.79999999999927</v>
      </c>
      <c r="H142" s="55">
        <v>697.71000000000095</v>
      </c>
      <c r="I142" s="55">
        <f t="shared" si="13"/>
        <v>1.2845100000000003</v>
      </c>
      <c r="J142" s="61">
        <f t="shared" si="14"/>
        <v>1.2845100000000003</v>
      </c>
      <c r="K142" s="55"/>
      <c r="N142" s="55"/>
    </row>
    <row r="143" spans="2:14">
      <c r="B143" s="60">
        <v>43633</v>
      </c>
      <c r="C143" s="55">
        <v>313740</v>
      </c>
      <c r="D143" s="55">
        <v>306930</v>
      </c>
      <c r="E143" s="55">
        <v>4620</v>
      </c>
      <c r="F143" s="55">
        <f t="shared" si="12"/>
        <v>625.29</v>
      </c>
      <c r="G143" s="55">
        <v>586.71000000000095</v>
      </c>
      <c r="H143" s="55">
        <v>697.84000000000015</v>
      </c>
      <c r="I143" s="55">
        <f t="shared" si="13"/>
        <v>1.2845500000000012</v>
      </c>
      <c r="J143" s="61">
        <f t="shared" si="14"/>
        <v>1.2845500000000012</v>
      </c>
      <c r="K143" s="55"/>
      <c r="N143" s="55"/>
    </row>
    <row r="144" spans="2:14">
      <c r="B144" s="60">
        <v>43634</v>
      </c>
      <c r="C144" s="55">
        <v>301280</v>
      </c>
      <c r="D144" s="55">
        <v>289650</v>
      </c>
      <c r="E144" s="55">
        <v>0</v>
      </c>
      <c r="F144" s="55">
        <f t="shared" si="12"/>
        <v>590.92999999999995</v>
      </c>
      <c r="G144" s="55">
        <v>579.07999999999993</v>
      </c>
      <c r="H144" s="55">
        <v>694.31999999999971</v>
      </c>
      <c r="I144" s="55">
        <f t="shared" si="13"/>
        <v>1.2733999999999996</v>
      </c>
      <c r="J144" s="61">
        <f t="shared" si="14"/>
        <v>1.2733999999999996</v>
      </c>
      <c r="K144" s="55"/>
      <c r="N144" s="55"/>
    </row>
    <row r="145" spans="2:18">
      <c r="B145" s="60">
        <v>43635</v>
      </c>
      <c r="C145" s="55">
        <v>294690</v>
      </c>
      <c r="D145" s="55">
        <v>287780</v>
      </c>
      <c r="E145" s="55">
        <v>0</v>
      </c>
      <c r="F145" s="55">
        <f t="shared" si="12"/>
        <v>582.47</v>
      </c>
      <c r="G145" s="55">
        <v>544.69000000000051</v>
      </c>
      <c r="H145" s="55">
        <v>650.30999999999949</v>
      </c>
      <c r="I145" s="55">
        <f t="shared" si="13"/>
        <v>1.1950000000000001</v>
      </c>
      <c r="J145" s="61">
        <f t="shared" si="14"/>
        <v>1.1950000000000001</v>
      </c>
      <c r="K145" s="55"/>
      <c r="N145" s="55"/>
    </row>
    <row r="146" spans="2:18">
      <c r="B146" s="60">
        <v>43636</v>
      </c>
      <c r="C146" s="55">
        <v>293610</v>
      </c>
      <c r="D146" s="55">
        <v>283600</v>
      </c>
      <c r="E146" s="55">
        <v>0</v>
      </c>
      <c r="F146" s="55">
        <f t="shared" si="12"/>
        <v>577.21</v>
      </c>
      <c r="G146" s="55">
        <v>578.10999999999876</v>
      </c>
      <c r="H146" s="55">
        <v>690.21999999999935</v>
      </c>
      <c r="I146" s="55">
        <f t="shared" si="13"/>
        <v>1.2683299999999982</v>
      </c>
      <c r="J146" s="61">
        <f t="shared" si="14"/>
        <v>1.2683299999999982</v>
      </c>
      <c r="K146" s="55"/>
      <c r="N146" s="55"/>
    </row>
    <row r="147" spans="2:18">
      <c r="B147" s="60">
        <v>43637</v>
      </c>
      <c r="C147" s="55">
        <v>310500</v>
      </c>
      <c r="D147" s="55">
        <v>303660</v>
      </c>
      <c r="E147" s="55">
        <v>0</v>
      </c>
      <c r="F147" s="55">
        <f t="shared" si="12"/>
        <v>614.16</v>
      </c>
      <c r="G147" s="55">
        <v>591.22000000000116</v>
      </c>
      <c r="H147" s="55">
        <v>704.4900000000016</v>
      </c>
      <c r="I147" s="55">
        <f t="shared" si="13"/>
        <v>1.2957100000000028</v>
      </c>
      <c r="J147" s="61">
        <f t="shared" si="14"/>
        <v>1.2957100000000028</v>
      </c>
      <c r="K147" s="55"/>
      <c r="N147" s="55"/>
    </row>
    <row r="148" spans="2:18">
      <c r="B148" s="60">
        <v>43638</v>
      </c>
      <c r="C148" s="55">
        <v>310140</v>
      </c>
      <c r="D148" s="55">
        <v>305390</v>
      </c>
      <c r="E148" s="55">
        <v>0</v>
      </c>
      <c r="F148" s="55">
        <f t="shared" si="12"/>
        <v>615.53</v>
      </c>
      <c r="G148" s="55">
        <v>586.47999999999956</v>
      </c>
      <c r="H148" s="55">
        <v>696.20000000000073</v>
      </c>
      <c r="I148" s="55">
        <f t="shared" si="13"/>
        <v>1.2826800000000003</v>
      </c>
      <c r="J148" s="61">
        <f t="shared" si="14"/>
        <v>1.2826800000000003</v>
      </c>
      <c r="K148" s="55"/>
      <c r="N148" s="55"/>
    </row>
    <row r="149" spans="2:18">
      <c r="B149" s="60">
        <v>43639</v>
      </c>
      <c r="C149" s="55">
        <v>310620</v>
      </c>
      <c r="D149" s="55">
        <v>287690</v>
      </c>
      <c r="E149" s="55">
        <v>0</v>
      </c>
      <c r="F149" s="55">
        <f t="shared" si="12"/>
        <v>598.30999999999995</v>
      </c>
      <c r="G149" s="55">
        <v>592.10000000000036</v>
      </c>
      <c r="H149" s="55">
        <v>704.40999999999985</v>
      </c>
      <c r="I149" s="55">
        <f t="shared" si="13"/>
        <v>1.2965100000000003</v>
      </c>
      <c r="J149" s="61">
        <f t="shared" si="14"/>
        <v>1.2965100000000003</v>
      </c>
      <c r="K149" s="55"/>
      <c r="N149" s="55"/>
    </row>
    <row r="150" spans="2:18">
      <c r="B150" s="60">
        <v>43640</v>
      </c>
      <c r="C150" s="55">
        <v>312360</v>
      </c>
      <c r="D150" s="55">
        <v>307270</v>
      </c>
      <c r="E150" s="55">
        <v>0</v>
      </c>
      <c r="F150" s="55">
        <f t="shared" si="12"/>
        <v>619.63</v>
      </c>
      <c r="G150" s="55">
        <v>608.97999999999774</v>
      </c>
      <c r="H150" s="55">
        <v>722.48999999999796</v>
      </c>
      <c r="I150" s="55">
        <f t="shared" si="13"/>
        <v>1.3314699999999957</v>
      </c>
      <c r="J150" s="61">
        <f t="shared" si="14"/>
        <v>1.3314699999999957</v>
      </c>
      <c r="K150" s="55"/>
      <c r="N150" s="55"/>
    </row>
    <row r="151" spans="2:18">
      <c r="B151" s="60">
        <v>43641</v>
      </c>
      <c r="C151" s="55">
        <v>261280</v>
      </c>
      <c r="D151" s="55">
        <v>237700</v>
      </c>
      <c r="E151" s="55">
        <v>202640</v>
      </c>
      <c r="F151" s="55">
        <f t="shared" si="12"/>
        <v>701.62</v>
      </c>
      <c r="G151" s="55">
        <v>646.93000000000029</v>
      </c>
      <c r="H151" s="55">
        <v>770.81999999999971</v>
      </c>
      <c r="I151" s="55">
        <f t="shared" si="13"/>
        <v>1.4177500000000001</v>
      </c>
      <c r="J151" s="61">
        <f t="shared" si="14"/>
        <v>1.4177500000000001</v>
      </c>
      <c r="K151" s="55"/>
      <c r="N151" s="55"/>
    </row>
    <row r="152" spans="2:18">
      <c r="B152" s="60">
        <v>43642</v>
      </c>
      <c r="C152" s="55">
        <v>301730</v>
      </c>
      <c r="D152" s="55">
        <v>270310</v>
      </c>
      <c r="E152" s="55">
        <v>109620</v>
      </c>
      <c r="F152" s="55">
        <f t="shared" si="12"/>
        <v>681.66</v>
      </c>
      <c r="G152" s="55">
        <v>652.90000000000146</v>
      </c>
      <c r="H152" s="55">
        <v>771.70000000000073</v>
      </c>
      <c r="I152" s="55">
        <f t="shared" si="13"/>
        <v>1.4246000000000021</v>
      </c>
      <c r="J152" s="61">
        <f t="shared" si="14"/>
        <v>1.4246000000000021</v>
      </c>
      <c r="K152" s="55"/>
      <c r="N152" s="55"/>
    </row>
    <row r="153" spans="2:18">
      <c r="B153" s="60">
        <v>43643</v>
      </c>
      <c r="C153" s="55">
        <v>310310</v>
      </c>
      <c r="D153" s="55">
        <v>248980</v>
      </c>
      <c r="E153" s="55">
        <v>100070</v>
      </c>
      <c r="F153" s="55">
        <f t="shared" si="12"/>
        <v>659.36</v>
      </c>
      <c r="G153" s="55">
        <v>737.02999999999884</v>
      </c>
      <c r="H153" s="55">
        <v>849.22999999999956</v>
      </c>
      <c r="I153" s="55">
        <f t="shared" si="13"/>
        <v>1.5862599999999984</v>
      </c>
      <c r="J153" s="61">
        <f t="shared" si="14"/>
        <v>1.5862599999999984</v>
      </c>
      <c r="K153" s="55"/>
      <c r="N153" s="55"/>
    </row>
    <row r="154" spans="2:18">
      <c r="B154" s="60">
        <v>43644</v>
      </c>
      <c r="C154" s="55">
        <v>214210</v>
      </c>
      <c r="D154" s="55">
        <v>294110</v>
      </c>
      <c r="E154" s="55">
        <v>160290</v>
      </c>
      <c r="F154" s="55">
        <f t="shared" si="12"/>
        <v>668.61</v>
      </c>
      <c r="G154" s="55">
        <v>686.27000000000044</v>
      </c>
      <c r="H154" s="55">
        <v>803.29999999999927</v>
      </c>
      <c r="I154" s="55">
        <f t="shared" si="13"/>
        <v>1.4895699999999996</v>
      </c>
      <c r="J154" s="61">
        <f t="shared" si="14"/>
        <v>1.4895699999999996</v>
      </c>
      <c r="K154" s="55"/>
      <c r="N154" s="55"/>
    </row>
    <row r="155" spans="2:18">
      <c r="B155" s="60">
        <v>43645</v>
      </c>
      <c r="C155" s="55">
        <v>294250</v>
      </c>
      <c r="D155" s="55">
        <v>277310</v>
      </c>
      <c r="E155" s="55">
        <v>108960</v>
      </c>
      <c r="F155" s="55">
        <f t="shared" si="12"/>
        <v>680.52</v>
      </c>
      <c r="G155" s="55">
        <v>672.13999999999942</v>
      </c>
      <c r="H155" s="55">
        <v>792.13000000000102</v>
      </c>
      <c r="I155" s="55">
        <f t="shared" si="13"/>
        <v>1.4642700000000004</v>
      </c>
      <c r="J155" s="61">
        <f t="shared" si="14"/>
        <v>1.4642700000000004</v>
      </c>
      <c r="K155" s="55"/>
      <c r="N155" s="55"/>
    </row>
    <row r="156" spans="2:18" ht="14.4" thickBot="1">
      <c r="B156" s="60">
        <v>43646</v>
      </c>
      <c r="C156" s="55">
        <v>309660</v>
      </c>
      <c r="D156" s="55">
        <v>316570</v>
      </c>
      <c r="E156" s="55">
        <v>69600</v>
      </c>
      <c r="F156" s="55">
        <f t="shared" si="12"/>
        <v>695.83</v>
      </c>
      <c r="G156" s="55">
        <v>653.64000000000306</v>
      </c>
      <c r="H156" s="55">
        <v>770.2400000000016</v>
      </c>
      <c r="I156" s="55">
        <f t="shared" si="13"/>
        <v>1.4238800000000047</v>
      </c>
      <c r="J156" s="61">
        <f t="shared" si="14"/>
        <v>1.4238800000000047</v>
      </c>
      <c r="K156" s="55"/>
      <c r="N156" s="55"/>
    </row>
    <row r="157" spans="2:18" s="66" customFormat="1" ht="14.4" thickBot="1">
      <c r="B157" s="65"/>
      <c r="C157" s="62">
        <f>SUM(C127:C156)</f>
        <v>9170490</v>
      </c>
      <c r="D157" s="62">
        <f t="shared" ref="D157:J157" si="15">SUM(D127:D156)</f>
        <v>8904550</v>
      </c>
      <c r="E157" s="62">
        <f t="shared" si="15"/>
        <v>1858060</v>
      </c>
      <c r="F157" s="62">
        <f t="shared" si="15"/>
        <v>19933.100000000006</v>
      </c>
      <c r="G157" s="62">
        <f t="shared" si="15"/>
        <v>18793.420000000002</v>
      </c>
      <c r="H157" s="62">
        <f t="shared" si="15"/>
        <v>22257</v>
      </c>
      <c r="I157" s="64">
        <f t="shared" si="15"/>
        <v>41.050420000000003</v>
      </c>
      <c r="J157" s="64">
        <f t="shared" si="15"/>
        <v>41.050420000000003</v>
      </c>
      <c r="K157" s="59"/>
      <c r="N157" s="59"/>
    </row>
    <row r="158" spans="2:18" ht="14.4" thickBot="1"/>
    <row r="159" spans="2:18" ht="15.6" thickBot="1">
      <c r="F159" s="67" t="s">
        <v>87</v>
      </c>
      <c r="G159" s="66"/>
      <c r="H159" s="66"/>
      <c r="I159" s="66"/>
      <c r="J159" s="68" t="s">
        <v>38</v>
      </c>
      <c r="K159" s="66"/>
      <c r="L159" s="55"/>
      <c r="M159" s="55"/>
      <c r="N159" s="55"/>
      <c r="O159" s="55"/>
      <c r="P159" s="55"/>
      <c r="Q159" s="55"/>
      <c r="R159" s="55"/>
    </row>
    <row r="160" spans="2:18" ht="14.4" thickBot="1">
      <c r="E160" s="68" t="s">
        <v>2</v>
      </c>
      <c r="F160" s="64">
        <f>F31+F63+F94+F126+F157</f>
        <v>72236.560000000012</v>
      </c>
      <c r="G160" s="55"/>
      <c r="H160" s="55"/>
      <c r="I160" s="68" t="s">
        <v>2</v>
      </c>
      <c r="J160" s="64">
        <f>J31+J63+J94+J126+J157</f>
        <v>163.80248</v>
      </c>
      <c r="K160" s="59"/>
      <c r="L160" s="55"/>
    </row>
    <row r="161" spans="2:15" ht="14.4" thickBot="1"/>
    <row r="162" spans="2:15" ht="13.2" customHeight="1">
      <c r="B162" s="187"/>
      <c r="C162" s="188"/>
      <c r="D162" s="178" t="s">
        <v>91</v>
      </c>
      <c r="E162" s="179"/>
      <c r="F162" s="179"/>
      <c r="G162" s="179"/>
      <c r="H162" s="179"/>
      <c r="I162" s="179"/>
      <c r="J162" s="180"/>
      <c r="K162" s="55"/>
      <c r="L162" s="55"/>
      <c r="M162" s="55"/>
      <c r="N162" s="55"/>
      <c r="O162" s="55"/>
    </row>
    <row r="163" spans="2:15">
      <c r="B163" s="189"/>
      <c r="C163" s="190"/>
      <c r="D163" s="181"/>
      <c r="E163" s="182"/>
      <c r="F163" s="182"/>
      <c r="G163" s="182"/>
      <c r="H163" s="182"/>
      <c r="I163" s="182"/>
      <c r="J163" s="183"/>
    </row>
    <row r="164" spans="2:15" ht="14.4" thickBot="1">
      <c r="B164" s="191"/>
      <c r="C164" s="192"/>
      <c r="D164" s="184"/>
      <c r="E164" s="185"/>
      <c r="F164" s="185"/>
      <c r="G164" s="185"/>
      <c r="H164" s="185"/>
      <c r="I164" s="185"/>
      <c r="J164" s="186"/>
      <c r="K164" s="55"/>
      <c r="L164" s="55"/>
      <c r="M164" s="55"/>
      <c r="N164" s="55"/>
      <c r="O164" s="55"/>
    </row>
  </sheetData>
  <mergeCells count="13">
    <mergeCell ref="B2:F2"/>
    <mergeCell ref="G25:H25"/>
    <mergeCell ref="J24:J26"/>
    <mergeCell ref="B22:C22"/>
    <mergeCell ref="S25:S26"/>
    <mergeCell ref="D162:J164"/>
    <mergeCell ref="B162:C164"/>
    <mergeCell ref="B24:B26"/>
    <mergeCell ref="F24:F26"/>
    <mergeCell ref="I24:I26"/>
    <mergeCell ref="C24:E24"/>
    <mergeCell ref="C25:E25"/>
    <mergeCell ref="G24:H24"/>
  </mergeCells>
  <phoneticPr fontId="2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5E3E1-A6FF-40CD-887A-C25AC9E034F3}">
  <dimension ref="B1:H11"/>
  <sheetViews>
    <sheetView showGridLines="0" workbookViewId="0">
      <selection activeCell="G15" sqref="G15"/>
    </sheetView>
  </sheetViews>
  <sheetFormatPr defaultColWidth="8.88671875" defaultRowHeight="13.2"/>
  <cols>
    <col min="1" max="7" width="8.88671875" style="1"/>
    <col min="8" max="8" width="14.88671875" style="1" customWidth="1"/>
    <col min="9" max="16384" width="8.88671875" style="1"/>
  </cols>
  <sheetData>
    <row r="1" spans="2:8" ht="13.8" thickBot="1"/>
    <row r="2" spans="2:8" ht="15.6">
      <c r="B2" s="9" t="s">
        <v>24</v>
      </c>
      <c r="C2" s="10" t="s">
        <v>20</v>
      </c>
      <c r="D2" s="11">
        <v>36000000</v>
      </c>
    </row>
    <row r="3" spans="2:8" ht="15.6">
      <c r="B3" s="12" t="s">
        <v>25</v>
      </c>
      <c r="C3" s="4" t="s">
        <v>20</v>
      </c>
      <c r="D3" s="13">
        <v>0</v>
      </c>
    </row>
    <row r="4" spans="2:8" ht="15.6">
      <c r="B4" s="12" t="s">
        <v>26</v>
      </c>
      <c r="C4" s="4" t="s">
        <v>28</v>
      </c>
      <c r="D4" s="13">
        <v>17000</v>
      </c>
    </row>
    <row r="5" spans="2:8" ht="16.2" thickBot="1">
      <c r="B5" s="14" t="s">
        <v>27</v>
      </c>
      <c r="C5" s="15" t="s">
        <v>28</v>
      </c>
      <c r="D5" s="16">
        <v>0</v>
      </c>
    </row>
    <row r="6" spans="2:8" ht="13.8" thickBot="1"/>
    <row r="7" spans="2:8" ht="15" customHeight="1" thickBot="1">
      <c r="B7" s="209" t="s">
        <v>21</v>
      </c>
      <c r="C7" s="210"/>
      <c r="D7" s="7" t="s">
        <v>29</v>
      </c>
      <c r="E7" s="17">
        <f>(D2-D3)/(D4-D5)</f>
        <v>2117.6470588235293</v>
      </c>
    </row>
    <row r="8" spans="2:8" ht="13.8" thickBot="1"/>
    <row r="9" spans="2:8" ht="16.2" thickBot="1">
      <c r="B9" s="2" t="s">
        <v>23</v>
      </c>
      <c r="C9" s="5"/>
      <c r="D9" s="5"/>
      <c r="E9" s="5"/>
      <c r="F9" s="5"/>
      <c r="G9" s="5"/>
      <c r="H9" s="3"/>
    </row>
    <row r="10" spans="2:8" ht="13.8" thickBot="1"/>
    <row r="11" spans="2:8" ht="13.8" thickBot="1">
      <c r="B11" s="6" t="s">
        <v>22</v>
      </c>
      <c r="C11" s="7" t="s">
        <v>15</v>
      </c>
      <c r="D11" s="8">
        <v>0</v>
      </c>
    </row>
  </sheetData>
  <mergeCells count="1">
    <mergeCell ref="B7:C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showGridLines="0" topLeftCell="A13" zoomScale="85" zoomScaleNormal="85" workbookViewId="0">
      <selection activeCell="L10" sqref="L10"/>
    </sheetView>
  </sheetViews>
  <sheetFormatPr defaultColWidth="9.109375" defaultRowHeight="13.8"/>
  <cols>
    <col min="1" max="1" width="9.109375" style="47"/>
    <col min="2" max="2" width="13.44140625" style="85" customWidth="1"/>
    <col min="3" max="3" width="13.5546875" style="85" customWidth="1"/>
    <col min="4" max="4" width="32.5546875" style="47" customWidth="1"/>
    <col min="5" max="5" width="31.21875" style="47" customWidth="1"/>
    <col min="6" max="6" width="22.88671875" style="47" customWidth="1"/>
    <col min="7" max="7" width="21.21875" style="47" customWidth="1"/>
    <col min="8" max="16384" width="9.109375" style="47"/>
  </cols>
  <sheetData>
    <row r="2" spans="2:9">
      <c r="B2" s="220" t="s">
        <v>32</v>
      </c>
      <c r="C2" s="221"/>
      <c r="D2" s="220" t="s">
        <v>16</v>
      </c>
      <c r="E2" s="221"/>
      <c r="F2" s="218" t="s">
        <v>34</v>
      </c>
      <c r="G2" s="218" t="s">
        <v>17</v>
      </c>
    </row>
    <row r="3" spans="2:9" ht="55.2">
      <c r="B3" s="89" t="s">
        <v>0</v>
      </c>
      <c r="C3" s="89" t="s">
        <v>1</v>
      </c>
      <c r="D3" s="89" t="s">
        <v>18</v>
      </c>
      <c r="E3" s="89" t="s">
        <v>19</v>
      </c>
      <c r="F3" s="219"/>
      <c r="G3" s="219"/>
    </row>
    <row r="4" spans="2:9">
      <c r="B4" s="75">
        <f>'Daily data'!B4</f>
        <v>43521</v>
      </c>
      <c r="C4" s="75">
        <v>43527</v>
      </c>
      <c r="D4" s="76">
        <v>0</v>
      </c>
      <c r="E4" s="76">
        <f t="shared" ref="E4:E18" si="0">D4/1000</f>
        <v>0</v>
      </c>
      <c r="F4" s="77">
        <f>'Daily data'!F4</f>
        <v>0</v>
      </c>
      <c r="G4" s="78">
        <f t="shared" ref="G4:G17" si="1">MIN(E4:F4)</f>
        <v>0</v>
      </c>
      <c r="I4" s="79"/>
    </row>
    <row r="5" spans="2:9">
      <c r="B5" s="44">
        <v>43528</v>
      </c>
      <c r="C5" s="44">
        <v>43534</v>
      </c>
      <c r="D5" s="76">
        <v>1417060</v>
      </c>
      <c r="E5" s="76">
        <f t="shared" si="0"/>
        <v>1417.06</v>
      </c>
      <c r="F5" s="77">
        <f>'Daily data'!F5</f>
        <v>1422.2579999999998</v>
      </c>
      <c r="G5" s="78">
        <f t="shared" si="1"/>
        <v>1417.06</v>
      </c>
    </row>
    <row r="6" spans="2:9">
      <c r="B6" s="44">
        <v>43535</v>
      </c>
      <c r="C6" s="44">
        <v>43541</v>
      </c>
      <c r="D6" s="76">
        <v>2251060</v>
      </c>
      <c r="E6" s="76">
        <f t="shared" si="0"/>
        <v>2251.06</v>
      </c>
      <c r="F6" s="77">
        <f>'Daily data'!F6</f>
        <v>2260.1240000000003</v>
      </c>
      <c r="G6" s="78">
        <f t="shared" si="1"/>
        <v>2251.06</v>
      </c>
    </row>
    <row r="7" spans="2:9">
      <c r="B7" s="44">
        <v>43542</v>
      </c>
      <c r="C7" s="44">
        <v>43548</v>
      </c>
      <c r="D7" s="76">
        <v>2371260</v>
      </c>
      <c r="E7" s="76">
        <f t="shared" si="0"/>
        <v>2371.2600000000002</v>
      </c>
      <c r="F7" s="77">
        <f>'Daily data'!F7</f>
        <v>2381.54</v>
      </c>
      <c r="G7" s="78">
        <f t="shared" si="1"/>
        <v>2371.2600000000002</v>
      </c>
    </row>
    <row r="8" spans="2:9">
      <c r="B8" s="44">
        <v>43549</v>
      </c>
      <c r="C8" s="44">
        <v>43555</v>
      </c>
      <c r="D8" s="76">
        <v>3033810</v>
      </c>
      <c r="E8" s="76">
        <f t="shared" si="0"/>
        <v>3033.81</v>
      </c>
      <c r="F8" s="77">
        <f>'Daily data'!F8</f>
        <v>3049.1970000000001</v>
      </c>
      <c r="G8" s="78">
        <f t="shared" si="1"/>
        <v>3033.81</v>
      </c>
    </row>
    <row r="9" spans="2:9">
      <c r="B9" s="44">
        <v>43556</v>
      </c>
      <c r="C9" s="44">
        <v>43562</v>
      </c>
      <c r="D9" s="76">
        <v>5647130</v>
      </c>
      <c r="E9" s="76">
        <f t="shared" si="0"/>
        <v>5647.13</v>
      </c>
      <c r="F9" s="77">
        <f>'Daily data'!F9</f>
        <v>5677.3730000000005</v>
      </c>
      <c r="G9" s="78">
        <f t="shared" si="1"/>
        <v>5647.13</v>
      </c>
    </row>
    <row r="10" spans="2:9">
      <c r="B10" s="44">
        <v>43563</v>
      </c>
      <c r="C10" s="44">
        <v>43569</v>
      </c>
      <c r="D10" s="76">
        <v>5920170</v>
      </c>
      <c r="E10" s="76">
        <f t="shared" si="0"/>
        <v>5920.17</v>
      </c>
      <c r="F10" s="77">
        <f>'Daily data'!F10</f>
        <v>5950.4120000000003</v>
      </c>
      <c r="G10" s="78">
        <f t="shared" si="1"/>
        <v>5920.17</v>
      </c>
    </row>
    <row r="11" spans="2:9">
      <c r="B11" s="44">
        <v>43570</v>
      </c>
      <c r="C11" s="44">
        <v>43576</v>
      </c>
      <c r="D11" s="76">
        <v>5056950</v>
      </c>
      <c r="E11" s="76">
        <f t="shared" si="0"/>
        <v>5056.95</v>
      </c>
      <c r="F11" s="77">
        <f>'Daily data'!F11</f>
        <v>5078.4290000000001</v>
      </c>
      <c r="G11" s="78">
        <f t="shared" si="1"/>
        <v>5056.95</v>
      </c>
    </row>
    <row r="12" spans="2:9">
      <c r="B12" s="44">
        <v>43577</v>
      </c>
      <c r="C12" s="44">
        <v>43583</v>
      </c>
      <c r="D12" s="76">
        <v>6063610</v>
      </c>
      <c r="E12" s="76">
        <f t="shared" si="0"/>
        <v>6063.61</v>
      </c>
      <c r="F12" s="77">
        <f>'Daily data'!F12</f>
        <v>6095.3200000000006</v>
      </c>
      <c r="G12" s="78">
        <f t="shared" si="1"/>
        <v>6063.61</v>
      </c>
    </row>
    <row r="13" spans="2:9">
      <c r="B13" s="44">
        <v>43584</v>
      </c>
      <c r="C13" s="44">
        <v>43590</v>
      </c>
      <c r="D13" s="76">
        <v>3266220</v>
      </c>
      <c r="E13" s="76">
        <f t="shared" si="0"/>
        <v>3266.22</v>
      </c>
      <c r="F13" s="77">
        <f>'Daily data'!F13</f>
        <v>3281.1760000000004</v>
      </c>
      <c r="G13" s="78">
        <f t="shared" si="1"/>
        <v>3266.22</v>
      </c>
    </row>
    <row r="14" spans="2:9">
      <c r="B14" s="44">
        <v>43591</v>
      </c>
      <c r="C14" s="44">
        <v>43597</v>
      </c>
      <c r="D14" s="76">
        <v>4570420</v>
      </c>
      <c r="E14" s="76">
        <f t="shared" si="0"/>
        <v>4570.42</v>
      </c>
      <c r="F14" s="77">
        <f>'Daily data'!F14</f>
        <v>4589.4289999999992</v>
      </c>
      <c r="G14" s="78">
        <f t="shared" si="1"/>
        <v>4570.42</v>
      </c>
    </row>
    <row r="15" spans="2:9">
      <c r="B15" s="44">
        <v>43598</v>
      </c>
      <c r="C15" s="44">
        <v>43604</v>
      </c>
      <c r="D15" s="76">
        <v>4457990</v>
      </c>
      <c r="E15" s="76">
        <f t="shared" si="0"/>
        <v>4457.99</v>
      </c>
      <c r="F15" s="77">
        <f>'Daily data'!F15</f>
        <v>4476.3729999999996</v>
      </c>
      <c r="G15" s="78">
        <f t="shared" si="1"/>
        <v>4457.99</v>
      </c>
    </row>
    <row r="16" spans="2:9">
      <c r="B16" s="44">
        <v>43605</v>
      </c>
      <c r="C16" s="44">
        <v>43611</v>
      </c>
      <c r="D16" s="76">
        <v>4530980</v>
      </c>
      <c r="E16" s="76">
        <f t="shared" si="0"/>
        <v>4530.9799999999996</v>
      </c>
      <c r="F16" s="77">
        <f>'Daily data'!F16</f>
        <v>4551.7379999999994</v>
      </c>
      <c r="G16" s="78">
        <f t="shared" si="1"/>
        <v>4530.9799999999996</v>
      </c>
    </row>
    <row r="17" spans="2:10">
      <c r="B17" s="44">
        <v>43612</v>
      </c>
      <c r="C17" s="44">
        <v>43618</v>
      </c>
      <c r="D17" s="76">
        <v>4768560</v>
      </c>
      <c r="E17" s="76">
        <f t="shared" si="0"/>
        <v>4768.5600000000004</v>
      </c>
      <c r="F17" s="77">
        <f>'Daily data'!F17</f>
        <v>4798.8127000000031</v>
      </c>
      <c r="G17" s="78">
        <f t="shared" si="1"/>
        <v>4768.5600000000004</v>
      </c>
    </row>
    <row r="18" spans="2:10">
      <c r="B18" s="44">
        <v>43619</v>
      </c>
      <c r="C18" s="44">
        <v>43625</v>
      </c>
      <c r="D18" s="76">
        <v>4784710</v>
      </c>
      <c r="E18" s="76">
        <f t="shared" si="0"/>
        <v>4784.71</v>
      </c>
      <c r="F18" s="77">
        <f>'Daily data'!F18</f>
        <v>4815.7334099999998</v>
      </c>
      <c r="G18" s="78">
        <f t="shared" ref="G18:G21" si="2">MIN(E18:F18)</f>
        <v>4784.71</v>
      </c>
    </row>
    <row r="19" spans="2:10">
      <c r="B19" s="44">
        <v>43626</v>
      </c>
      <c r="C19" s="44">
        <v>43632</v>
      </c>
      <c r="D19" s="76">
        <v>4721610</v>
      </c>
      <c r="E19" s="76">
        <f t="shared" ref="E19:E21" si="3">D19/1000</f>
        <v>4721.6099999999997</v>
      </c>
      <c r="F19" s="77">
        <f>'Daily data'!F19</f>
        <v>4752.7463900000002</v>
      </c>
      <c r="G19" s="78">
        <f t="shared" si="2"/>
        <v>4721.6099999999997</v>
      </c>
    </row>
    <row r="20" spans="2:10">
      <c r="B20" s="44">
        <v>43633</v>
      </c>
      <c r="C20" s="44">
        <v>43639</v>
      </c>
      <c r="D20" s="76">
        <v>4167890</v>
      </c>
      <c r="E20" s="76">
        <f t="shared" si="3"/>
        <v>4167.8900000000003</v>
      </c>
      <c r="F20" s="77">
        <f>'Daily data'!F20</f>
        <v>4195.0038199999999</v>
      </c>
      <c r="G20" s="78">
        <f t="shared" si="2"/>
        <v>4167.8900000000003</v>
      </c>
    </row>
    <row r="21" spans="2:10" ht="14.4" thickBot="1">
      <c r="B21" s="80">
        <v>43640</v>
      </c>
      <c r="C21" s="80">
        <v>43646</v>
      </c>
      <c r="D21" s="81">
        <v>4664360</v>
      </c>
      <c r="E21" s="81">
        <f t="shared" si="3"/>
        <v>4664.3599999999997</v>
      </c>
      <c r="F21" s="77">
        <f>'Daily data'!F21</f>
        <v>4697.0922</v>
      </c>
      <c r="G21" s="82">
        <f t="shared" si="2"/>
        <v>4664.3599999999997</v>
      </c>
    </row>
    <row r="22" spans="2:10" s="45" customFormat="1" ht="14.4" thickBot="1">
      <c r="B22" s="222" t="s">
        <v>2</v>
      </c>
      <c r="C22" s="223"/>
      <c r="D22" s="83">
        <f>SUM(D4:D21)</f>
        <v>71693790</v>
      </c>
      <c r="E22" s="83">
        <f>SUM(E4:E21)</f>
        <v>71693.789999999994</v>
      </c>
      <c r="F22" s="83">
        <f>SUM(F4:F21)</f>
        <v>72072.757519999999</v>
      </c>
      <c r="G22" s="84">
        <f>SUM(G4:G21)</f>
        <v>71693.789999999994</v>
      </c>
    </row>
    <row r="23" spans="2:10">
      <c r="C23" s="86"/>
      <c r="F23" s="87"/>
    </row>
    <row r="24" spans="2:10" ht="13.2" customHeight="1">
      <c r="B24" s="212"/>
      <c r="C24" s="213"/>
      <c r="D24" s="211" t="s">
        <v>84</v>
      </c>
      <c r="E24" s="211"/>
      <c r="F24" s="211"/>
      <c r="G24" s="211"/>
      <c r="H24" s="88"/>
      <c r="I24" s="88"/>
      <c r="J24" s="88"/>
    </row>
    <row r="25" spans="2:10" ht="14.4" customHeight="1">
      <c r="B25" s="214"/>
      <c r="C25" s="215"/>
      <c r="D25" s="211"/>
      <c r="E25" s="211"/>
      <c r="F25" s="211"/>
      <c r="G25" s="211"/>
      <c r="H25" s="88"/>
      <c r="I25" s="88"/>
      <c r="J25" s="88"/>
    </row>
    <row r="26" spans="2:10" ht="15" customHeight="1">
      <c r="B26" s="216"/>
      <c r="C26" s="217"/>
      <c r="D26" s="211"/>
      <c r="E26" s="211"/>
      <c r="F26" s="211"/>
      <c r="G26" s="211"/>
      <c r="H26" s="88"/>
      <c r="I26" s="88"/>
      <c r="J26" s="88"/>
    </row>
  </sheetData>
  <mergeCells count="7">
    <mergeCell ref="D24:G26"/>
    <mergeCell ref="B24:C26"/>
    <mergeCell ref="F2:F3"/>
    <mergeCell ref="G2:G3"/>
    <mergeCell ref="D2:E2"/>
    <mergeCell ref="B2:C2"/>
    <mergeCell ref="B22:C22"/>
  </mergeCells>
  <phoneticPr fontId="22" type="noConversion"/>
  <pageMargins left="0.70866141732283472" right="0.70866141732283472" top="0.74803149606299213" bottom="0.74803149606299213"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0AF2-3AEF-4912-8E7E-089841B5F828}">
  <dimension ref="B1:Q20"/>
  <sheetViews>
    <sheetView tabSelected="1" topLeftCell="A17" zoomScale="85" zoomScaleNormal="85" workbookViewId="0">
      <selection activeCell="R20" sqref="R20"/>
    </sheetView>
  </sheetViews>
  <sheetFormatPr defaultColWidth="8.88671875" defaultRowHeight="13.8"/>
  <cols>
    <col min="1" max="2" width="8.88671875" style="137"/>
    <col min="3" max="5" width="13.21875" style="85" customWidth="1"/>
    <col min="6" max="6" width="13.33203125" style="137" bestFit="1" customWidth="1"/>
    <col min="7" max="7" width="10.109375" style="137" customWidth="1"/>
    <col min="8" max="10" width="15.33203125" style="137" customWidth="1"/>
    <col min="11" max="11" width="11.5546875" style="137" bestFit="1" customWidth="1"/>
    <col min="12" max="12" width="12.5546875" style="137" bestFit="1" customWidth="1"/>
    <col min="13" max="13" width="9.88671875" style="137" bestFit="1" customWidth="1"/>
    <col min="14" max="14" width="23.33203125" style="137" customWidth="1"/>
    <col min="15" max="15" width="14.6640625" style="137" customWidth="1"/>
    <col min="16" max="16" width="8.88671875" style="137"/>
    <col min="17" max="17" width="11.88671875" style="137" bestFit="1" customWidth="1"/>
    <col min="18" max="16384" width="8.88671875" style="137"/>
  </cols>
  <sheetData>
    <row r="1" spans="2:17">
      <c r="C1" s="144" t="s">
        <v>100</v>
      </c>
    </row>
    <row r="2" spans="2:17" ht="15">
      <c r="C2" s="249" t="s">
        <v>88</v>
      </c>
      <c r="D2" s="249"/>
      <c r="E2" s="249"/>
      <c r="F2" s="249"/>
      <c r="G2" s="249"/>
      <c r="H2" s="249"/>
      <c r="I2" s="116">
        <v>156272</v>
      </c>
      <c r="J2" s="133" t="s">
        <v>14</v>
      </c>
    </row>
    <row r="3" spans="2:17" ht="41.4">
      <c r="C3" s="224" t="s">
        <v>30</v>
      </c>
      <c r="D3" s="224"/>
      <c r="E3" s="150" t="s">
        <v>102</v>
      </c>
      <c r="F3" s="147" t="s">
        <v>35</v>
      </c>
      <c r="G3" s="147" t="s">
        <v>13</v>
      </c>
      <c r="H3" s="147" t="s">
        <v>101</v>
      </c>
      <c r="I3" s="147" t="s">
        <v>103</v>
      </c>
      <c r="J3" s="147" t="s">
        <v>106</v>
      </c>
      <c r="K3" s="147" t="s">
        <v>99</v>
      </c>
      <c r="L3" s="147" t="s">
        <v>105</v>
      </c>
      <c r="M3" s="147" t="s">
        <v>97</v>
      </c>
      <c r="N3" s="147" t="s">
        <v>104</v>
      </c>
      <c r="O3" s="147" t="s">
        <v>98</v>
      </c>
    </row>
    <row r="4" spans="2:17" s="138" customFormat="1">
      <c r="C4" s="146" t="s">
        <v>95</v>
      </c>
      <c r="D4" s="146" t="s">
        <v>96</v>
      </c>
      <c r="E4" s="146"/>
      <c r="F4" s="148" t="s">
        <v>14</v>
      </c>
      <c r="G4" s="148" t="s">
        <v>14</v>
      </c>
      <c r="H4" s="148" t="s">
        <v>14</v>
      </c>
      <c r="I4" s="148" t="s">
        <v>14</v>
      </c>
      <c r="J4" s="148" t="s">
        <v>14</v>
      </c>
      <c r="K4" s="147" t="s">
        <v>52</v>
      </c>
      <c r="L4" s="147" t="s">
        <v>52</v>
      </c>
      <c r="M4" s="147" t="s">
        <v>52</v>
      </c>
      <c r="N4" s="147" t="s">
        <v>52</v>
      </c>
      <c r="O4" s="147" t="s">
        <v>52</v>
      </c>
    </row>
    <row r="5" spans="2:17" ht="14.55" customHeight="1">
      <c r="B5" s="152"/>
      <c r="C5" s="153">
        <v>43282</v>
      </c>
      <c r="D5" s="153">
        <v>43312</v>
      </c>
      <c r="E5" s="236">
        <f>D16-C5+1</f>
        <v>365</v>
      </c>
      <c r="F5" s="154">
        <v>20828.14</v>
      </c>
      <c r="G5" s="154">
        <v>40.149749999999997</v>
      </c>
      <c r="H5" s="154">
        <f t="shared" ref="H5:H16" si="0">F5-G5</f>
        <v>20787.990249999999</v>
      </c>
      <c r="I5" s="237">
        <f>SUM(H5:H16)</f>
        <v>164144.13042</v>
      </c>
      <c r="J5" s="238">
        <v>157850</v>
      </c>
      <c r="K5" s="225">
        <f>F17/(36*E5*24)</f>
        <v>0.52201208143074584</v>
      </c>
      <c r="L5" s="228">
        <v>0.50049999999999994</v>
      </c>
      <c r="M5" s="246">
        <f>(K5-L5)/L5</f>
        <v>4.2981181679811992E-2</v>
      </c>
      <c r="N5" s="242">
        <v>0.23469999999999999</v>
      </c>
      <c r="O5" s="239" t="str">
        <f>IF(M5&gt;N5,"Yes","No")</f>
        <v>No</v>
      </c>
      <c r="Q5" s="145"/>
    </row>
    <row r="6" spans="2:17">
      <c r="B6" s="152"/>
      <c r="C6" s="153">
        <v>43313</v>
      </c>
      <c r="D6" s="153">
        <v>43343</v>
      </c>
      <c r="E6" s="236"/>
      <c r="F6" s="154">
        <v>26556.720000000001</v>
      </c>
      <c r="G6" s="154">
        <v>46.481249999999996</v>
      </c>
      <c r="H6" s="154">
        <f t="shared" si="0"/>
        <v>26510.23875</v>
      </c>
      <c r="I6" s="237"/>
      <c r="J6" s="238"/>
      <c r="K6" s="226"/>
      <c r="L6" s="229"/>
      <c r="M6" s="247"/>
      <c r="N6" s="243"/>
      <c r="O6" s="240"/>
      <c r="Q6" s="145"/>
    </row>
    <row r="7" spans="2:17">
      <c r="B7" s="152"/>
      <c r="C7" s="153">
        <v>43344</v>
      </c>
      <c r="D7" s="153">
        <v>43373</v>
      </c>
      <c r="E7" s="236"/>
      <c r="F7" s="154">
        <v>18236.41</v>
      </c>
      <c r="G7" s="154">
        <v>41.637149999999998</v>
      </c>
      <c r="H7" s="154">
        <f t="shared" si="0"/>
        <v>18194.772850000001</v>
      </c>
      <c r="I7" s="237"/>
      <c r="J7" s="238"/>
      <c r="K7" s="226"/>
      <c r="L7" s="229"/>
      <c r="M7" s="247"/>
      <c r="N7" s="243"/>
      <c r="O7" s="240"/>
      <c r="Q7" s="145"/>
    </row>
    <row r="8" spans="2:17">
      <c r="B8" s="152"/>
      <c r="C8" s="153">
        <v>43374</v>
      </c>
      <c r="D8" s="153">
        <v>43404</v>
      </c>
      <c r="E8" s="236"/>
      <c r="F8" s="154">
        <v>12320.119999999997</v>
      </c>
      <c r="G8" s="154">
        <v>43.385849999999991</v>
      </c>
      <c r="H8" s="154">
        <f t="shared" si="0"/>
        <v>12276.734149999997</v>
      </c>
      <c r="I8" s="237"/>
      <c r="J8" s="238"/>
      <c r="K8" s="226"/>
      <c r="L8" s="229"/>
      <c r="M8" s="247"/>
      <c r="N8" s="243"/>
      <c r="O8" s="240"/>
      <c r="Q8" s="145"/>
    </row>
    <row r="9" spans="2:17">
      <c r="B9" s="152"/>
      <c r="C9" s="153">
        <v>43405</v>
      </c>
      <c r="D9" s="153">
        <v>43434</v>
      </c>
      <c r="E9" s="236"/>
      <c r="F9" s="154">
        <v>7604.74</v>
      </c>
      <c r="G9" s="154">
        <v>38.270400000000002</v>
      </c>
      <c r="H9" s="154">
        <f t="shared" si="0"/>
        <v>7566.4695999999994</v>
      </c>
      <c r="I9" s="237"/>
      <c r="J9" s="238"/>
      <c r="K9" s="226"/>
      <c r="L9" s="229"/>
      <c r="M9" s="247"/>
      <c r="N9" s="243"/>
      <c r="O9" s="240"/>
      <c r="Q9" s="145"/>
    </row>
    <row r="10" spans="2:17">
      <c r="B10" s="152"/>
      <c r="C10" s="153">
        <v>43435</v>
      </c>
      <c r="D10" s="153">
        <v>43465</v>
      </c>
      <c r="E10" s="236"/>
      <c r="F10" s="154">
        <v>3004.0699999999997</v>
      </c>
      <c r="G10" s="154">
        <v>43.892699999999998</v>
      </c>
      <c r="H10" s="154">
        <f t="shared" si="0"/>
        <v>2960.1772999999998</v>
      </c>
      <c r="I10" s="237"/>
      <c r="J10" s="238"/>
      <c r="K10" s="226"/>
      <c r="L10" s="229"/>
      <c r="M10" s="247"/>
      <c r="N10" s="243"/>
      <c r="O10" s="240"/>
      <c r="Q10" s="145"/>
    </row>
    <row r="11" spans="2:17">
      <c r="B11" s="152"/>
      <c r="C11" s="153">
        <v>43466</v>
      </c>
      <c r="D11" s="153">
        <v>43496</v>
      </c>
      <c r="E11" s="236"/>
      <c r="F11" s="154">
        <v>2821.81</v>
      </c>
      <c r="G11" s="154">
        <v>45.236000000000004</v>
      </c>
      <c r="H11" s="154">
        <f t="shared" si="0"/>
        <v>2776.5740000000001</v>
      </c>
      <c r="I11" s="237"/>
      <c r="J11" s="238"/>
      <c r="K11" s="226"/>
      <c r="L11" s="229"/>
      <c r="M11" s="247"/>
      <c r="N11" s="243"/>
      <c r="O11" s="240"/>
      <c r="Q11" s="155"/>
    </row>
    <row r="12" spans="2:17">
      <c r="B12" s="152"/>
      <c r="C12" s="153">
        <v>43497</v>
      </c>
      <c r="D12" s="153">
        <v>43524</v>
      </c>
      <c r="E12" s="236"/>
      <c r="F12" s="154">
        <v>1013.1600000000001</v>
      </c>
      <c r="G12" s="154">
        <v>14.744</v>
      </c>
      <c r="H12" s="154">
        <f t="shared" si="0"/>
        <v>998.41600000000005</v>
      </c>
      <c r="I12" s="237"/>
      <c r="J12" s="238"/>
      <c r="K12" s="226"/>
      <c r="L12" s="229"/>
      <c r="M12" s="247"/>
      <c r="N12" s="243"/>
      <c r="O12" s="240"/>
      <c r="Q12" s="145"/>
    </row>
    <row r="13" spans="2:17">
      <c r="B13" s="152"/>
      <c r="C13" s="153">
        <v>43525</v>
      </c>
      <c r="D13" s="153">
        <v>43555</v>
      </c>
      <c r="E13" s="236"/>
      <c r="F13" s="154">
        <v>9151.15</v>
      </c>
      <c r="G13" s="154">
        <v>38.030999999999999</v>
      </c>
      <c r="H13" s="154">
        <f t="shared" si="0"/>
        <v>9113.1189999999988</v>
      </c>
      <c r="I13" s="237"/>
      <c r="J13" s="238"/>
      <c r="K13" s="226"/>
      <c r="L13" s="229"/>
      <c r="M13" s="247"/>
      <c r="N13" s="243"/>
      <c r="O13" s="240"/>
      <c r="Q13" s="156"/>
    </row>
    <row r="14" spans="2:17">
      <c r="B14" s="152"/>
      <c r="C14" s="153">
        <v>43556</v>
      </c>
      <c r="D14" s="153">
        <v>43585</v>
      </c>
      <c r="E14" s="236"/>
      <c r="F14" s="154">
        <v>22957.43</v>
      </c>
      <c r="G14" s="154">
        <v>41.504999999999995</v>
      </c>
      <c r="H14" s="154">
        <f t="shared" si="0"/>
        <v>22915.924999999999</v>
      </c>
      <c r="I14" s="237"/>
      <c r="J14" s="238"/>
      <c r="K14" s="226"/>
      <c r="L14" s="229"/>
      <c r="M14" s="247"/>
      <c r="N14" s="243"/>
      <c r="O14" s="240"/>
      <c r="Q14" s="145"/>
    </row>
    <row r="15" spans="2:17">
      <c r="B15" s="152"/>
      <c r="C15" s="153">
        <v>43586</v>
      </c>
      <c r="D15" s="153">
        <v>43616</v>
      </c>
      <c r="E15" s="236"/>
      <c r="F15" s="154">
        <v>20194.880000000005</v>
      </c>
      <c r="G15" s="154">
        <v>43.216059999999985</v>
      </c>
      <c r="H15" s="154">
        <f t="shared" si="0"/>
        <v>20151.663940000006</v>
      </c>
      <c r="I15" s="237"/>
      <c r="J15" s="238"/>
      <c r="K15" s="226"/>
      <c r="L15" s="229"/>
      <c r="M15" s="247"/>
      <c r="N15" s="243"/>
      <c r="O15" s="240"/>
      <c r="Q15" s="145"/>
    </row>
    <row r="16" spans="2:17">
      <c r="B16" s="152"/>
      <c r="C16" s="153">
        <v>43617</v>
      </c>
      <c r="D16" s="153">
        <v>43646</v>
      </c>
      <c r="E16" s="236"/>
      <c r="F16" s="154">
        <v>19933.100000000006</v>
      </c>
      <c r="G16" s="154">
        <v>41.050420000000003</v>
      </c>
      <c r="H16" s="154">
        <f t="shared" si="0"/>
        <v>19892.049580000006</v>
      </c>
      <c r="I16" s="237"/>
      <c r="J16" s="238"/>
      <c r="K16" s="227"/>
      <c r="L16" s="230"/>
      <c r="M16" s="248"/>
      <c r="N16" s="244"/>
      <c r="O16" s="241"/>
      <c r="Q16" s="145"/>
    </row>
    <row r="17" spans="3:17">
      <c r="C17" s="234" t="s">
        <v>2</v>
      </c>
      <c r="D17" s="235"/>
      <c r="E17" s="149"/>
      <c r="F17" s="245">
        <f>SUM(F5:F16)</f>
        <v>164621.73000000001</v>
      </c>
      <c r="G17" s="139">
        <f>SUM(G5:G16)</f>
        <v>477.59957999999995</v>
      </c>
      <c r="H17" s="139">
        <f>SUM(H5:H16)</f>
        <v>164144.13042</v>
      </c>
      <c r="I17" s="151"/>
      <c r="J17" s="151"/>
      <c r="K17" s="140"/>
      <c r="L17" s="141"/>
      <c r="M17" s="141"/>
      <c r="N17" s="142"/>
      <c r="O17" s="143"/>
      <c r="Q17" s="145"/>
    </row>
    <row r="20" spans="3:17" s="157" customFormat="1" ht="198" customHeight="1">
      <c r="C20" s="231" t="s">
        <v>107</v>
      </c>
      <c r="D20" s="232"/>
      <c r="E20" s="232"/>
      <c r="F20" s="232"/>
      <c r="G20" s="232"/>
      <c r="H20" s="232"/>
      <c r="I20" s="232"/>
      <c r="J20" s="232"/>
      <c r="K20" s="232"/>
      <c r="L20" s="232"/>
      <c r="M20" s="232"/>
      <c r="N20" s="232"/>
      <c r="O20" s="233"/>
    </row>
  </sheetData>
  <mergeCells count="12">
    <mergeCell ref="C20:O20"/>
    <mergeCell ref="C17:D17"/>
    <mergeCell ref="E5:E16"/>
    <mergeCell ref="I5:I16"/>
    <mergeCell ref="J5:J16"/>
    <mergeCell ref="O5:O16"/>
    <mergeCell ref="N5:N16"/>
    <mergeCell ref="C2:H2"/>
    <mergeCell ref="C3:D3"/>
    <mergeCell ref="K5:K16"/>
    <mergeCell ref="L5:L16"/>
    <mergeCell ref="M5:M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ER</vt:lpstr>
      <vt:lpstr>Daily data</vt:lpstr>
      <vt:lpstr>PE</vt:lpstr>
      <vt:lpstr>JMR</vt:lpstr>
      <vt:lpstr>PLF Justification</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Vipul Sahu </cp:lastModifiedBy>
  <dcterms:created xsi:type="dcterms:W3CDTF">2013-11-21T07:17:25Z</dcterms:created>
  <dcterms:modified xsi:type="dcterms:W3CDTF">2025-09-09T06:02:10Z</dcterms:modified>
</cp:coreProperties>
</file>