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codeName="ThisWorkbook"/>
  <xr:revisionPtr revIDLastSave="0" documentId="13_ncr:1_{C7830F46-567F-469D-8A8E-FFF6261B6FA1}" xr6:coauthVersionLast="47" xr6:coauthVersionMax="47" xr10:uidLastSave="{00000000-0000-0000-0000-000000000000}"/>
  <bookViews>
    <workbookView xWindow="-110" yWindow="-110" windowWidth="19420" windowHeight="10300" tabRatio="1000" activeTab="7" xr2:uid="{00000000-000D-0000-FFFF-FFFF00000000}"/>
  </bookViews>
  <sheets>
    <sheet name="Overview" sheetId="7" r:id="rId1"/>
    <sheet name="Baseline emissions_EPC" sheetId="8" r:id="rId2"/>
    <sheet name="Baseline emissions_ICS" sheetId="9" r:id="rId3"/>
    <sheet name="Project Emissions_EPC" sheetId="1" r:id="rId4"/>
    <sheet name="Project Emissions_ICS" sheetId="10" r:id="rId5"/>
    <sheet name="Distribution and thermal energy" sheetId="2" r:id="rId6"/>
    <sheet name="SDG 13 (ERs)" sheetId="3" r:id="rId7"/>
    <sheet name="Other SDGs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6" l="1"/>
  <c r="C42" i="6" s="1"/>
  <c r="D62" i="6"/>
  <c r="D51" i="6"/>
  <c r="C51" i="6"/>
  <c r="C52" i="6" s="1"/>
  <c r="D32" i="6"/>
  <c r="D31" i="6"/>
  <c r="C31" i="6"/>
  <c r="C32" i="6" s="1"/>
  <c r="D21" i="6"/>
  <c r="C21" i="6"/>
  <c r="D11" i="6"/>
  <c r="C11" i="6"/>
  <c r="B25" i="10"/>
  <c r="B24" i="10"/>
  <c r="B23" i="10"/>
  <c r="B22" i="10"/>
  <c r="B21" i="10"/>
  <c r="B42" i="1"/>
  <c r="B41" i="1"/>
  <c r="B40" i="1"/>
  <c r="B39" i="1"/>
  <c r="B21" i="1"/>
  <c r="B20" i="1"/>
  <c r="B19" i="1"/>
  <c r="B18" i="1"/>
  <c r="B17" i="1"/>
  <c r="B21" i="9"/>
  <c r="B20" i="9"/>
  <c r="B19" i="9"/>
  <c r="B18" i="9"/>
  <c r="B17" i="9"/>
  <c r="B21" i="8"/>
  <c r="B20" i="8"/>
  <c r="B19" i="8"/>
  <c r="B18" i="8"/>
  <c r="D3" i="2"/>
  <c r="D4" i="2"/>
  <c r="D5" i="2"/>
  <c r="D6" i="2"/>
  <c r="D2" i="2"/>
  <c r="E2" i="2"/>
  <c r="E3" i="2" l="1"/>
  <c r="D37" i="6" s="1"/>
  <c r="D36" i="6"/>
  <c r="E36" i="6" s="1"/>
  <c r="D66" i="6" s="1"/>
  <c r="D8" i="2"/>
  <c r="D52" i="6"/>
  <c r="E47" i="6"/>
  <c r="E48" i="6"/>
  <c r="E49" i="6"/>
  <c r="E50" i="6"/>
  <c r="E51" i="6" s="1"/>
  <c r="E46" i="6"/>
  <c r="C22" i="6"/>
  <c r="D22" i="6"/>
  <c r="C12" i="6"/>
  <c r="D12" i="6"/>
  <c r="E30" i="6"/>
  <c r="E31" i="6" s="1"/>
  <c r="E29" i="6"/>
  <c r="E28" i="6"/>
  <c r="E27" i="6"/>
  <c r="E26" i="6"/>
  <c r="E20" i="6"/>
  <c r="E21" i="6" s="1"/>
  <c r="E19" i="6"/>
  <c r="E18" i="6"/>
  <c r="E17" i="6"/>
  <c r="E16" i="6"/>
  <c r="E10" i="6"/>
  <c r="E11" i="6" s="1"/>
  <c r="E9" i="6"/>
  <c r="E8" i="6"/>
  <c r="E7" i="6"/>
  <c r="B43" i="1"/>
  <c r="B44" i="1" s="1"/>
  <c r="B38" i="1"/>
  <c r="B16" i="9"/>
  <c r="B37" i="1" s="1"/>
  <c r="B20" i="10" s="1"/>
  <c r="E4" i="2" l="1"/>
  <c r="D38" i="6" s="1"/>
  <c r="E32" i="6"/>
  <c r="E52" i="6"/>
  <c r="E22" i="6"/>
  <c r="C15" i="2"/>
  <c r="B26" i="10"/>
  <c r="B12" i="10" s="1"/>
  <c r="B9" i="9"/>
  <c r="B24" i="9" s="1"/>
  <c r="B10" i="9"/>
  <c r="B25" i="9" s="1"/>
  <c r="B11" i="9"/>
  <c r="B26" i="9" s="1"/>
  <c r="B12" i="9"/>
  <c r="B27" i="9" s="1"/>
  <c r="B33" i="9"/>
  <c r="B17" i="8"/>
  <c r="B8" i="8" s="1"/>
  <c r="B23" i="8" s="1"/>
  <c r="E5" i="2" l="1"/>
  <c r="D39" i="6" s="1"/>
  <c r="E6" i="2"/>
  <c r="D40" i="6" s="1"/>
  <c r="D41" i="6" s="1"/>
  <c r="C61" i="6"/>
  <c r="C57" i="6"/>
  <c r="C66" i="6" s="1"/>
  <c r="C59" i="6"/>
  <c r="C58" i="6"/>
  <c r="C60" i="6"/>
  <c r="B16" i="10"/>
  <c r="B8" i="9"/>
  <c r="B23" i="9" s="1"/>
  <c r="B20" i="3" s="1"/>
  <c r="B29" i="1"/>
  <c r="B46" i="1" s="1"/>
  <c r="B32" i="1"/>
  <c r="B49" i="1" s="1"/>
  <c r="B30" i="1"/>
  <c r="B47" i="1" s="1"/>
  <c r="B31" i="1"/>
  <c r="B48" i="1" s="1"/>
  <c r="B33" i="1"/>
  <c r="B50" i="1" s="1"/>
  <c r="C14" i="2"/>
  <c r="C16" i="2" s="1"/>
  <c r="B11" i="1"/>
  <c r="B24" i="1" s="1"/>
  <c r="E6" i="6"/>
  <c r="E12" i="6" s="1"/>
  <c r="E66" i="6" l="1"/>
  <c r="E7" i="2"/>
  <c r="D42" i="6"/>
  <c r="E40" i="6"/>
  <c r="C70" i="6" s="1"/>
  <c r="C62" i="6"/>
  <c r="E60" i="6"/>
  <c r="E58" i="6"/>
  <c r="E59" i="6"/>
  <c r="E57" i="6"/>
  <c r="E61" i="6"/>
  <c r="C8" i="3"/>
  <c r="B32" i="9"/>
  <c r="B34" i="9" s="1"/>
  <c r="B35" i="9" s="1"/>
  <c r="B37" i="9" s="1"/>
  <c r="B14" i="10"/>
  <c r="B31" i="10" s="1"/>
  <c r="B13" i="10"/>
  <c r="B30" i="10" s="1"/>
  <c r="B29" i="10"/>
  <c r="B15" i="10"/>
  <c r="B32" i="10" s="1"/>
  <c r="B33" i="10"/>
  <c r="B15" i="1"/>
  <c r="B28" i="1" s="1"/>
  <c r="B14" i="1"/>
  <c r="B27" i="1" s="1"/>
  <c r="B13" i="1"/>
  <c r="B26" i="1" s="1"/>
  <c r="B12" i="1"/>
  <c r="B25" i="1" s="1"/>
  <c r="B12" i="8"/>
  <c r="B27" i="8" s="1"/>
  <c r="B24" i="3" s="1"/>
  <c r="B11" i="8"/>
  <c r="B26" i="8" s="1"/>
  <c r="B23" i="3" s="1"/>
  <c r="B10" i="8"/>
  <c r="B25" i="8" s="1"/>
  <c r="B22" i="3" s="1"/>
  <c r="B9" i="8"/>
  <c r="B24" i="8" s="1"/>
  <c r="B21" i="3" s="1"/>
  <c r="B25" i="3" s="1"/>
  <c r="B26" i="3" s="1"/>
  <c r="B12" i="3" l="1"/>
  <c r="C24" i="3"/>
  <c r="D24" i="3" s="1"/>
  <c r="B11" i="3"/>
  <c r="C23" i="3"/>
  <c r="D23" i="3" s="1"/>
  <c r="B8" i="3"/>
  <c r="D8" i="3" s="1"/>
  <c r="C20" i="3"/>
  <c r="B9" i="3"/>
  <c r="C21" i="3"/>
  <c r="B10" i="3"/>
  <c r="C22" i="3"/>
  <c r="D21" i="3"/>
  <c r="D22" i="3"/>
  <c r="E41" i="6"/>
  <c r="D70" i="6"/>
  <c r="E70" i="6" s="1"/>
  <c r="E62" i="6"/>
  <c r="C11" i="3"/>
  <c r="C10" i="3"/>
  <c r="C12" i="3"/>
  <c r="D12" i="3" s="1"/>
  <c r="C9" i="3"/>
  <c r="E39" i="6"/>
  <c r="E38" i="6"/>
  <c r="D10" i="3" l="1"/>
  <c r="D11" i="3"/>
  <c r="D68" i="6"/>
  <c r="C68" i="6"/>
  <c r="E68" i="6" s="1"/>
  <c r="D69" i="6"/>
  <c r="C69" i="6"/>
  <c r="E69" i="6" s="1"/>
  <c r="C25" i="3"/>
  <c r="C26" i="3" s="1"/>
  <c r="D20" i="3"/>
  <c r="D25" i="3" s="1"/>
  <c r="D26" i="3" s="1"/>
  <c r="D9" i="3"/>
  <c r="C13" i="3"/>
  <c r="C14" i="3" s="1"/>
  <c r="D13" i="3"/>
  <c r="D14" i="3" s="1"/>
  <c r="C19" i="2"/>
  <c r="C20" i="2" s="1"/>
  <c r="E37" i="6" l="1"/>
  <c r="A8" i="3"/>
  <c r="A9" i="3"/>
  <c r="A10" i="3"/>
  <c r="A11" i="3"/>
  <c r="A12" i="3"/>
  <c r="E42" i="6" l="1"/>
  <c r="D67" i="6"/>
  <c r="D71" i="6" s="1"/>
  <c r="C67" i="6"/>
  <c r="B13" i="3"/>
  <c r="B14" i="3" s="1"/>
  <c r="E67" i="6" l="1"/>
  <c r="E71" i="6" s="1"/>
  <c r="C71" i="6"/>
</calcChain>
</file>

<file path=xl/sharedStrings.xml><?xml version="1.0" encoding="utf-8"?>
<sst xmlns="http://schemas.openxmlformats.org/spreadsheetml/2006/main" count="606" uniqueCount="235">
  <si>
    <t>Parameter</t>
  </si>
  <si>
    <t>Value</t>
  </si>
  <si>
    <t>Unit</t>
  </si>
  <si>
    <t>Description</t>
  </si>
  <si>
    <t>Source of data</t>
  </si>
  <si>
    <t>Project year</t>
  </si>
  <si>
    <t>Total estimated emission reductions (tCO2-e)</t>
  </si>
  <si>
    <t>Value fixed ex-ante / Monitored</t>
  </si>
  <si>
    <t>Project title</t>
  </si>
  <si>
    <t>Type</t>
  </si>
  <si>
    <t>Date</t>
  </si>
  <si>
    <t>Version</t>
  </si>
  <si>
    <t>Ex ante ER calculations</t>
  </si>
  <si>
    <t>Monitored</t>
  </si>
  <si>
    <t>EX ANTE ERs</t>
  </si>
  <si>
    <t>Annual Average</t>
  </si>
  <si>
    <t>Baseline estimate</t>
  </si>
  <si>
    <t>Project estimate</t>
  </si>
  <si>
    <t>Net benefit</t>
  </si>
  <si>
    <t>VPA GS ID</t>
  </si>
  <si>
    <t>PoA GS ID</t>
  </si>
  <si>
    <t>GS10963</t>
  </si>
  <si>
    <t>Technology:</t>
  </si>
  <si>
    <t>Fraction</t>
  </si>
  <si>
    <t>fnrb</t>
  </si>
  <si>
    <t>Fraction of biomass used during year y for the considered scenario that can be established as non-renewable biomass</t>
  </si>
  <si>
    <t>tonnes</t>
  </si>
  <si>
    <t>NCVb,fuel</t>
  </si>
  <si>
    <t>TJ/tonne</t>
  </si>
  <si>
    <t>EFb,fuel CO2</t>
  </si>
  <si>
    <t>EFb,fuel non-CO2</t>
  </si>
  <si>
    <t>tCO2/TJ</t>
  </si>
  <si>
    <t>CO2 emission factor of the fuel that is substituted or reduced</t>
  </si>
  <si>
    <t>Non-CO2 emission factor of the fuel that is substituted or reduced</t>
  </si>
  <si>
    <t>tCO2e</t>
  </si>
  <si>
    <t>Assumed (will be monitored)</t>
  </si>
  <si>
    <t>EFp,fuel non-CO2</t>
  </si>
  <si>
    <t>EFp,fuel CO2</t>
  </si>
  <si>
    <t>NCVp,fuel</t>
  </si>
  <si>
    <t>days</t>
  </si>
  <si>
    <t>Pb,y</t>
  </si>
  <si>
    <t>tonne/day</t>
  </si>
  <si>
    <t>Specific fuel consumption for an individual technology in baseline scenario b during year y converted to tons/day</t>
  </si>
  <si>
    <t>Fixed ex-ante (to be determined)</t>
  </si>
  <si>
    <t xml:space="preserve">Fixed ex-ante  </t>
  </si>
  <si>
    <t>Up,y</t>
  </si>
  <si>
    <t>Cumulative usage rate for technologies in project scenario j during year y, based on cumulative installation rate and drop-off rate</t>
  </si>
  <si>
    <t>Pp,y</t>
  </si>
  <si>
    <t>Specific fuel consumption for an individual technology in project scenario p during year y converted to tons/day</t>
  </si>
  <si>
    <t>Pw</t>
  </si>
  <si>
    <t>W</t>
  </si>
  <si>
    <t>hours</t>
  </si>
  <si>
    <t>Technical specification</t>
  </si>
  <si>
    <t>Average technical transmission and distribution losses for providing electricity to source j in year y</t>
  </si>
  <si>
    <t>%</t>
  </si>
  <si>
    <t>Energy efficient stoves</t>
  </si>
  <si>
    <t>tCO2/year</t>
  </si>
  <si>
    <t>SDG 8: Number of jobs created</t>
  </si>
  <si>
    <t>Default value: CDM Methodological tool: Baseline, project and/or leakage emissions from electricity consumption and monitoring of electricity generation, version 03.0</t>
  </si>
  <si>
    <t>Average</t>
  </si>
  <si>
    <t>Thermal Energy Savings</t>
  </si>
  <si>
    <t>T/family/year</t>
  </si>
  <si>
    <t>Calculated</t>
  </si>
  <si>
    <t>TJ/T</t>
  </si>
  <si>
    <t>Energy savings per year</t>
  </si>
  <si>
    <t>TJ/family/year</t>
  </si>
  <si>
    <t>Conversion factor</t>
  </si>
  <si>
    <t>TJ/GWh</t>
  </si>
  <si>
    <t>Default</t>
  </si>
  <si>
    <t>Energy savings per improved cookstove</t>
  </si>
  <si>
    <t>GWhth</t>
  </si>
  <si>
    <t>Fuel savings</t>
  </si>
  <si>
    <t>Calorific value of fuel</t>
  </si>
  <si>
    <t>MWhth</t>
  </si>
  <si>
    <t>Continuous Useful Energy Output:</t>
  </si>
  <si>
    <t>Mean fuel consumption</t>
  </si>
  <si>
    <t>t/stove/day</t>
  </si>
  <si>
    <t>NCV (charcoal)</t>
  </si>
  <si>
    <t>Stove Energy Consumption</t>
  </si>
  <si>
    <t>TJ/stove/day</t>
  </si>
  <si>
    <t>kWh/J</t>
  </si>
  <si>
    <t>Conversion Factor:</t>
  </si>
  <si>
    <t>Mean useful energy output</t>
  </si>
  <si>
    <t>Baseline</t>
  </si>
  <si>
    <t>Even if we assume the stove is using the entire energy output in an hour</t>
  </si>
  <si>
    <t>For 1 hour</t>
  </si>
  <si>
    <t>kWh</t>
  </si>
  <si>
    <t>kWh/stove/day</t>
  </si>
  <si>
    <t>&lt;150kWh</t>
  </si>
  <si>
    <t>EPCs</t>
  </si>
  <si>
    <t>Fuel-wood value as IPCC</t>
  </si>
  <si>
    <t>Net calorific value of the fuel that is substituted or reduced (IPCC default for charcoal, 0.0156 TJ/ton)</t>
  </si>
  <si>
    <t>Fixed ex-ante (based on baseline survey/KPT for Uganda)</t>
  </si>
  <si>
    <t>Net calorific value of the fuel that is substituted or reduced (IPCC default for fuel-wood, 0.0156 TJ/ton)</t>
  </si>
  <si>
    <t>Traditional stove using fuel-wood*</t>
  </si>
  <si>
    <t>*Including charcoal for which 1:6 ration will be applied as allowed by the methodology</t>
  </si>
  <si>
    <t>Baseline KPT for Uganda. Calculated using Eqn-4 of the Methodology</t>
  </si>
  <si>
    <t>Project Emissions for Improved cookstove is calculated as per equation-5 of the Methodology. Baseline emissions and project emissions are calculated separately as there are multiple project scenarios for the same baseline scenario as allowed by Methodology.</t>
  </si>
  <si>
    <t>Assumed based on lab testing for PDD (will be monitored)</t>
  </si>
  <si>
    <t>Where,</t>
  </si>
  <si>
    <t>EGp,d,y</t>
  </si>
  <si>
    <t>The amount of energy used in project scenario by device d in year y (MWh)</t>
  </si>
  <si>
    <t>EFel,y</t>
  </si>
  <si>
    <t>Emission factor of the electrical system (tCO2/MWh)</t>
  </si>
  <si>
    <t>TDLj,y</t>
  </si>
  <si>
    <t>EGp,d,y = (Pw*Hy)</t>
  </si>
  <si>
    <t>Rated wattage of the electric stove (maximum output)</t>
  </si>
  <si>
    <t>Np,1</t>
  </si>
  <si>
    <t>Np,2</t>
  </si>
  <si>
    <t>Np,3</t>
  </si>
  <si>
    <t>Np,4</t>
  </si>
  <si>
    <t>Np,5</t>
  </si>
  <si>
    <t>Project technology-days in the project database for project scenario p through year 1</t>
  </si>
  <si>
    <t>Project technology-days in the project database for project scenario p through year 2</t>
  </si>
  <si>
    <t>Project technology-days in the project database for project scenario p through year 3</t>
  </si>
  <si>
    <t>Project technology-days in the project database for project scenario p through year 4</t>
  </si>
  <si>
    <t>Project technology-days in the project database for project scenario p through year 5</t>
  </si>
  <si>
    <t>BEb,1</t>
  </si>
  <si>
    <t>Emissions for baseline scenario b during the year 1 in tCO2e</t>
  </si>
  <si>
    <t>Bb,1</t>
  </si>
  <si>
    <t>Bb,2</t>
  </si>
  <si>
    <t>Bb,3</t>
  </si>
  <si>
    <t>Bb,4</t>
  </si>
  <si>
    <t>Bb,5</t>
  </si>
  <si>
    <t>Quantity of fuel consumed in baseline scenario b during year 1, in tons</t>
  </si>
  <si>
    <t>Quantity of fuel consumed in baseline scenario b during year 2, in tons</t>
  </si>
  <si>
    <t>Quantity of fuel consumed in baseline scenario b during year 3, in tons</t>
  </si>
  <si>
    <t>Quantity of fuel consumed in baseline scenario b during year 4, in tons</t>
  </si>
  <si>
    <t>Quantity of fuel consumed in baseline scenario b during year 5, in tons</t>
  </si>
  <si>
    <t>BEb,2</t>
  </si>
  <si>
    <t>BEb,3</t>
  </si>
  <si>
    <t>BEb,4</t>
  </si>
  <si>
    <t>BEb,5</t>
  </si>
  <si>
    <t>Emissions for baseline scenario b during the year 2 in tCO2e</t>
  </si>
  <si>
    <t>Emissions for baseline scenario b during the year 3 in tCO2e</t>
  </si>
  <si>
    <t>Emissions for baseline scenario b during the year 4 in tCO2e</t>
  </si>
  <si>
    <t>Emissions for baseline scenario b during the year 5 in tCO2e</t>
  </si>
  <si>
    <t>PEp,1</t>
  </si>
  <si>
    <t>Emissions for project scenario p during the year 1 in tCO2e</t>
  </si>
  <si>
    <t>PEp,2</t>
  </si>
  <si>
    <t>PEp,3</t>
  </si>
  <si>
    <t>PEp,4</t>
  </si>
  <si>
    <t>PEp,5</t>
  </si>
  <si>
    <t>Emissions for project scenario p during the year 2 in tCO2e</t>
  </si>
  <si>
    <t>Emissions for project scenario p during the year 3 in tCO2e</t>
  </si>
  <si>
    <t>Emissions for project scenario p during the year 4 in tCO2e</t>
  </si>
  <si>
    <t>Emissions for project scenario p during the year 5 in tCO2e</t>
  </si>
  <si>
    <t>Bp,1</t>
  </si>
  <si>
    <t>Quantity of fuel consumed in project scenario p during year 1, in tons, and as derived from the statistical analysis conducted on the data collected during the project performance field tests</t>
  </si>
  <si>
    <t>Bp,2</t>
  </si>
  <si>
    <t>Bp,3</t>
  </si>
  <si>
    <t>Bp,4</t>
  </si>
  <si>
    <t>Bp,5</t>
  </si>
  <si>
    <t>Hp,1</t>
  </si>
  <si>
    <t>Project technology-hours in the project database for project scenario p through year 1</t>
  </si>
  <si>
    <t>Hp,2</t>
  </si>
  <si>
    <t>Hp,3</t>
  </si>
  <si>
    <t>Hp,4</t>
  </si>
  <si>
    <t>Hp,5</t>
  </si>
  <si>
    <t>Project technology-hours in the project database for project scenario p through year 2</t>
  </si>
  <si>
    <t>Project technology-hours in the project database for project scenario p through year 3</t>
  </si>
  <si>
    <t>Project technology-hours in the project database for project scenario p through year 4</t>
  </si>
  <si>
    <t>Project technology-hours in the project database for project scenario p through year 5</t>
  </si>
  <si>
    <t>EGp,d,1</t>
  </si>
  <si>
    <t>MWh</t>
  </si>
  <si>
    <t>Quantity of electricity consumed by the project electricity consumption source j in year 1 (MWh).</t>
  </si>
  <si>
    <t>EGp,d,2</t>
  </si>
  <si>
    <t>EGp,d,3</t>
  </si>
  <si>
    <t>EGp,d,4</t>
  </si>
  <si>
    <t>EGp,d,5</t>
  </si>
  <si>
    <t>Quantity of electricity consumed by the project electricity consumption source j in year 2 (MWh).</t>
  </si>
  <si>
    <t>Quantity of electricity consumed by the project electricity consumption source j in year 3 (MWh).</t>
  </si>
  <si>
    <t>Quantity of electricity consumed by the project electricity consumption source j in year 4 (MWh).</t>
  </si>
  <si>
    <t>Quantity of electricity consumed by the project electricity consumption source j in year 5 (MWh).</t>
  </si>
  <si>
    <t>PE1</t>
  </si>
  <si>
    <t>tCO2</t>
  </si>
  <si>
    <t>Project Emissions from the use of electricity for cooking in year 1</t>
  </si>
  <si>
    <t>Project Emissions from the use of electricity for cooking in year 2</t>
  </si>
  <si>
    <t>Project Emissions from the use of electricity for cooking in year 3</t>
  </si>
  <si>
    <t>Project Emissions from the use of electricity for cooking in year 4</t>
  </si>
  <si>
    <t>Project Emissions from the use of electricity for cooking in year 5</t>
  </si>
  <si>
    <t>PE2</t>
  </si>
  <si>
    <t>PE3</t>
  </si>
  <si>
    <t>PE4</t>
  </si>
  <si>
    <t>PE5</t>
  </si>
  <si>
    <t>EMISSION REDUCTIONS (SDG-13)</t>
  </si>
  <si>
    <t>Using CDM TOOL-30</t>
  </si>
  <si>
    <t>Quantity of fuel consumed in project scenario p during year 2, in tons, and as derived from the statistical analysis conducted on the data collected during the project performance field tests</t>
  </si>
  <si>
    <t>Quantity of fuel consumed in project scenario p during year 3, in tons, and as derived from the statistical analysis conducted on the data collected during the project performance field tests</t>
  </si>
  <si>
    <t>Quantity of fuel consumed in project scenario p during year 4, in tons, and as derived from the statistical analysis conducted on the data collected during the project performance field tests</t>
  </si>
  <si>
    <t>Quantity of fuel consumed in project scenario p during year 5, in tons, and as derived from the statistical analysis conducted on the data collected during the project performance field tests</t>
  </si>
  <si>
    <t>Leakage (assumed)</t>
  </si>
  <si>
    <t>IPCC default value</t>
  </si>
  <si>
    <t>SDG 7: Afordable and clean energy</t>
  </si>
  <si>
    <t xml:space="preserve"> SDG 15: Life on Land</t>
  </si>
  <si>
    <t xml:space="preserve">SDG 12 : Reduction in firewood consumption </t>
  </si>
  <si>
    <t xml:space="preserve"> 5-hour operation based on pilot study by UpEnergy </t>
  </si>
  <si>
    <t>tonnes/year</t>
  </si>
  <si>
    <t>Emissions from the use of biomass in project scenario</t>
  </si>
  <si>
    <t>Electric Cooktop/Cooker</t>
  </si>
  <si>
    <t>VERs ICS</t>
  </si>
  <si>
    <t>VERs EPC</t>
  </si>
  <si>
    <t>Total VERs</t>
  </si>
  <si>
    <t>Improved Cookstove</t>
  </si>
  <si>
    <t>IPCC</t>
  </si>
  <si>
    <t>Year-1</t>
  </si>
  <si>
    <t>Year-2</t>
  </si>
  <si>
    <t>Year-3</t>
  </si>
  <si>
    <t>Year-4</t>
  </si>
  <si>
    <t>Year-5</t>
  </si>
  <si>
    <t>tCO2/MWh</t>
  </si>
  <si>
    <t>Quantity of fuel consumed for a baseline technology y in project scenario during year y</t>
  </si>
  <si>
    <t>NCVp</t>
  </si>
  <si>
    <t>Eq (1)</t>
  </si>
  <si>
    <t>Eq (2)</t>
  </si>
  <si>
    <t>Total = Eq (1) + Eq (2)</t>
  </si>
  <si>
    <t>Electric Presssure Cooker</t>
  </si>
  <si>
    <t>Based on pilot study by UpEnergy (Will be monitored based on KPT)</t>
  </si>
  <si>
    <t>Non-CO2 emission factor of the fuel that is substituted or reduced*</t>
  </si>
  <si>
    <t>Traditional Stove used in a week-5 times; EPC-14 times based on pilot study</t>
  </si>
  <si>
    <t>Baseline emissions are calculated as per equation-3 of the TPDDTEC version 3.1 as below:</t>
  </si>
  <si>
    <t>Project emissions are calculated as per CDM tool 5 to calculation emission from electricity consumption and  equation-5 of the TPDDTEC version 3.1 as below:</t>
  </si>
  <si>
    <t>Emission factor for electricity generation for source j in year y (tCO2/MWh)</t>
  </si>
  <si>
    <t xml:space="preserve">SDG 1: Percentage users confirming money saving </t>
  </si>
  <si>
    <t>SDG 3: Percentage users confirming less smoke/PM</t>
  </si>
  <si>
    <t>SDG 5: Percentage users confirming time saving</t>
  </si>
  <si>
    <t>UNFCCC Harmonization of Standards for GHG accounting-UNFCCC dated December 2021</t>
  </si>
  <si>
    <t>Total Stove</t>
  </si>
  <si>
    <t>Total</t>
  </si>
  <si>
    <t>Cumulative Distributed stoves (Functional / Operational) total</t>
  </si>
  <si>
    <t>GS12119</t>
  </si>
  <si>
    <t>Community Carbon Efficient Cooking Programme - VPA16 (GS12119)</t>
  </si>
  <si>
    <t>Project</t>
  </si>
  <si>
    <t>ver 02</t>
  </si>
  <si>
    <t>Net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</si>
</sst>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000"/>
    <numFmt numFmtId="165" formatCode="0.0"/>
    <numFmt numFmtId="166" formatCode="0.00000"/>
    <numFmt numFmtId="167" formatCode="0.000"/>
    <numFmt numFmtId="168" formatCode="[$-14009]dd\-mm\-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2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8" fillId="0" borderId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0" xfId="0" applyFont="1"/>
    <xf numFmtId="3" fontId="0" fillId="0" borderId="1" xfId="0" applyNumberFormat="1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9" fontId="0" fillId="0" borderId="1" xfId="0" applyNumberFormat="1" applyBorder="1" applyAlignment="1">
      <alignment wrapText="1"/>
    </xf>
    <xf numFmtId="0" fontId="9" fillId="0" borderId="0" xfId="0" applyFont="1"/>
    <xf numFmtId="0" fontId="11" fillId="0" borderId="0" xfId="0" applyFont="1" applyAlignment="1">
      <alignment wrapText="1"/>
    </xf>
    <xf numFmtId="0" fontId="0" fillId="5" borderId="1" xfId="0" applyFill="1" applyBorder="1"/>
    <xf numFmtId="1" fontId="0" fillId="0" borderId="1" xfId="0" applyNumberFormat="1" applyBorder="1" applyAlignment="1">
      <alignment wrapText="1"/>
    </xf>
    <xf numFmtId="0" fontId="0" fillId="5" borderId="2" xfId="0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3" xfId="0" applyBorder="1"/>
    <xf numFmtId="0" fontId="4" fillId="0" borderId="6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3" fontId="0" fillId="3" borderId="11" xfId="0" applyNumberFormat="1" applyFill="1" applyBorder="1" applyAlignment="1">
      <alignment horizontal="center"/>
    </xf>
    <xf numFmtId="0" fontId="0" fillId="5" borderId="3" xfId="0" applyFill="1" applyBorder="1"/>
    <xf numFmtId="3" fontId="0" fillId="5" borderId="4" xfId="0" applyNumberFormat="1" applyFill="1" applyBorder="1" applyAlignment="1">
      <alignment horizontal="center"/>
    </xf>
    <xf numFmtId="0" fontId="14" fillId="0" borderId="8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9" xfId="0" applyFont="1" applyBorder="1"/>
    <xf numFmtId="0" fontId="0" fillId="0" borderId="12" xfId="0" applyBorder="1"/>
    <xf numFmtId="0" fontId="0" fillId="0" borderId="13" xfId="0" applyBorder="1"/>
    <xf numFmtId="0" fontId="16" fillId="3" borderId="11" xfId="0" applyFont="1" applyFill="1" applyBorder="1" applyAlignment="1">
      <alignment vertical="top" wrapText="1"/>
    </xf>
    <xf numFmtId="0" fontId="0" fillId="0" borderId="14" xfId="0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9" fontId="0" fillId="0" borderId="1" xfId="1" applyFont="1" applyBorder="1"/>
    <xf numFmtId="9" fontId="0" fillId="0" borderId="1" xfId="1" applyFont="1" applyFill="1" applyBorder="1"/>
    <xf numFmtId="2" fontId="0" fillId="0" borderId="1" xfId="0" applyNumberFormat="1" applyBorder="1"/>
    <xf numFmtId="164" fontId="0" fillId="0" borderId="1" xfId="0" applyNumberFormat="1" applyBorder="1"/>
    <xf numFmtId="0" fontId="0" fillId="4" borderId="1" xfId="0" applyFill="1" applyBorder="1" applyAlignment="1">
      <alignment horizontal="justify" vertical="center" wrapText="1"/>
    </xf>
    <xf numFmtId="2" fontId="0" fillId="4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2" fontId="0" fillId="5" borderId="1" xfId="0" applyNumberFormat="1" applyFill="1" applyBorder="1"/>
    <xf numFmtId="165" fontId="0" fillId="0" borderId="1" xfId="0" applyNumberFormat="1" applyBorder="1" applyAlignment="1">
      <alignment wrapText="1"/>
    </xf>
    <xf numFmtId="0" fontId="0" fillId="9" borderId="0" xfId="0" applyFill="1"/>
    <xf numFmtId="3" fontId="0" fillId="5" borderId="15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center"/>
    </xf>
    <xf numFmtId="0" fontId="0" fillId="0" borderId="16" xfId="0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66" fontId="0" fillId="0" borderId="1" xfId="0" applyNumberFormat="1" applyBorder="1" applyAlignment="1">
      <alignment wrapText="1"/>
    </xf>
    <xf numFmtId="0" fontId="0" fillId="0" borderId="0" xfId="0" applyAlignment="1">
      <alignment horizontal="left" vertical="center"/>
    </xf>
    <xf numFmtId="9" fontId="0" fillId="0" borderId="0" xfId="0" applyNumberFormat="1"/>
    <xf numFmtId="9" fontId="0" fillId="0" borderId="0" xfId="1" applyFont="1" applyBorder="1"/>
    <xf numFmtId="9" fontId="0" fillId="0" borderId="0" xfId="1" applyFont="1" applyFill="1" applyBorder="1"/>
    <xf numFmtId="0" fontId="1" fillId="0" borderId="17" xfId="0" applyFont="1" applyBorder="1"/>
    <xf numFmtId="9" fontId="1" fillId="0" borderId="1" xfId="0" applyNumberFormat="1" applyFont="1" applyBorder="1"/>
    <xf numFmtId="0" fontId="0" fillId="0" borderId="1" xfId="8" applyNumberFormat="1" applyFont="1" applyFill="1" applyBorder="1"/>
    <xf numFmtId="167" fontId="0" fillId="0" borderId="1" xfId="0" applyNumberFormat="1" applyBorder="1" applyAlignment="1">
      <alignment wrapText="1"/>
    </xf>
    <xf numFmtId="3" fontId="0" fillId="0" borderId="1" xfId="0" applyNumberFormat="1" applyBorder="1"/>
    <xf numFmtId="0" fontId="1" fillId="0" borderId="17" xfId="0" applyFont="1" applyBorder="1" applyAlignment="1">
      <alignment horizontal="left" vertical="center"/>
    </xf>
    <xf numFmtId="0" fontId="14" fillId="0" borderId="0" xfId="0" applyFont="1"/>
    <xf numFmtId="3" fontId="0" fillId="0" borderId="1" xfId="1" applyNumberFormat="1" applyFont="1" applyBorder="1"/>
    <xf numFmtId="3" fontId="1" fillId="0" borderId="1" xfId="0" applyNumberFormat="1" applyFont="1" applyBorder="1"/>
    <xf numFmtId="165" fontId="0" fillId="5" borderId="1" xfId="0" applyNumberFormat="1" applyFill="1" applyBorder="1"/>
    <xf numFmtId="1" fontId="0" fillId="0" borderId="1" xfId="0" applyNumberFormat="1" applyBorder="1"/>
    <xf numFmtId="1" fontId="1" fillId="0" borderId="1" xfId="0" applyNumberFormat="1" applyFont="1" applyBorder="1"/>
    <xf numFmtId="168" fontId="4" fillId="0" borderId="10" xfId="0" applyNumberFormat="1" applyFont="1" applyBorder="1" applyAlignment="1">
      <alignment horizontal="left"/>
    </xf>
    <xf numFmtId="167" fontId="0" fillId="0" borderId="1" xfId="0" applyNumberFormat="1" applyBorder="1"/>
    <xf numFmtId="3" fontId="1" fillId="0" borderId="0" xfId="0" applyNumberFormat="1" applyFont="1" applyAlignment="1">
      <alignment horizontal="center"/>
    </xf>
    <xf numFmtId="37" fontId="1" fillId="0" borderId="0" xfId="8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3" borderId="1" xfId="0" applyFont="1" applyFill="1" applyBorder="1" applyAlignment="1">
      <alignment horizontal="center"/>
    </xf>
  </cellXfs>
  <cellStyles count="9">
    <cellStyle name="60% - Accent2 2" xfId="4" xr:uid="{9D75A49E-F5F1-4D9B-9D24-FC1C1BDFF3C5}"/>
    <cellStyle name="60% - Accent4 2" xfId="5" xr:uid="{3F2E12E8-5F3B-4B3C-B76D-D14A79E6DCB4}"/>
    <cellStyle name="Comma" xfId="8" builtinId="3"/>
    <cellStyle name="Neutral 2" xfId="3" xr:uid="{00DC6FBF-7670-497C-8B59-865E00C61FDB}"/>
    <cellStyle name="Normal" xfId="0" builtinId="0"/>
    <cellStyle name="Normal 2" xfId="6" xr:uid="{E2AD2B72-F157-4CC4-A807-AEED508C77F1}"/>
    <cellStyle name="Normal 3" xfId="2" xr:uid="{F5E43632-6F1A-44FB-9E9A-6A12E14E0197}"/>
    <cellStyle name="Percent" xfId="1" builtinId="5"/>
    <cellStyle name="Standard 2" xfId="7" xr:uid="{228CAC06-C801-4558-B8E5-A4B888FBC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</xdr:row>
      <xdr:rowOff>158750</xdr:rowOff>
    </xdr:from>
    <xdr:to>
      <xdr:col>3</xdr:col>
      <xdr:colOff>38100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7F579-1691-40E1-BA31-89A937C032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78" b="68966"/>
        <a:stretch/>
      </xdr:blipFill>
      <xdr:spPr bwMode="auto">
        <a:xfrm>
          <a:off x="177800" y="527050"/>
          <a:ext cx="53276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</xdr:row>
      <xdr:rowOff>158750</xdr:rowOff>
    </xdr:from>
    <xdr:to>
      <xdr:col>3</xdr:col>
      <xdr:colOff>38100</xdr:colOff>
      <xdr:row>4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E0DA8-038A-41ED-8158-F491DB1709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78" b="73564"/>
        <a:stretch/>
      </xdr:blipFill>
      <xdr:spPr bwMode="auto">
        <a:xfrm>
          <a:off x="177800" y="527050"/>
          <a:ext cx="532765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1</xdr:col>
      <xdr:colOff>1301750</xdr:colOff>
      <xdr:row>4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4BF5B6-B14B-4365-8190-488E17A21C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24" r="21025" b="11357"/>
        <a:stretch/>
      </xdr:blipFill>
      <xdr:spPr bwMode="auto">
        <a:xfrm>
          <a:off x="0" y="539750"/>
          <a:ext cx="283845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5</xdr:row>
      <xdr:rowOff>31751</xdr:rowOff>
    </xdr:from>
    <xdr:to>
      <xdr:col>1</xdr:col>
      <xdr:colOff>2051051</xdr:colOff>
      <xdr:row>5</xdr:row>
      <xdr:rowOff>225683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53C7D7-900A-4C3E-BA97-1E5083B34C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983" r="25266" b="19809"/>
        <a:stretch/>
      </xdr:blipFill>
      <xdr:spPr bwMode="auto">
        <a:xfrm>
          <a:off x="1" y="952501"/>
          <a:ext cx="3587750" cy="193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132292</xdr:rowOff>
    </xdr:from>
    <xdr:to>
      <xdr:col>3</xdr:col>
      <xdr:colOff>1267883</xdr:colOff>
      <xdr:row>8</xdr:row>
      <xdr:rowOff>98424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AA5DE-D539-4D0B-A2C9-CE71F627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092"/>
          <a:ext cx="5973233" cy="886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AF56-030A-4BAC-AA5C-52A4B7643CA7}">
  <sheetPr codeName="Sheet1"/>
  <dimension ref="A1:B6"/>
  <sheetViews>
    <sheetView workbookViewId="0">
      <selection activeCell="B18" sqref="B18"/>
    </sheetView>
  </sheetViews>
  <sheetFormatPr defaultColWidth="8.81640625" defaultRowHeight="15.5" x14ac:dyDescent="0.35"/>
  <cols>
    <col min="1" max="1" width="20.1796875" style="74" customWidth="1"/>
    <col min="2" max="2" width="82.08984375" style="74" customWidth="1"/>
    <col min="3" max="16384" width="8.81640625" style="74"/>
  </cols>
  <sheetData>
    <row r="1" spans="1:2" x14ac:dyDescent="0.35">
      <c r="A1" s="33" t="s">
        <v>8</v>
      </c>
      <c r="B1" s="26" t="s">
        <v>231</v>
      </c>
    </row>
    <row r="2" spans="1:2" x14ac:dyDescent="0.35">
      <c r="A2" s="34" t="s">
        <v>20</v>
      </c>
      <c r="B2" s="27" t="s">
        <v>21</v>
      </c>
    </row>
    <row r="3" spans="1:2" x14ac:dyDescent="0.35">
      <c r="A3" s="34" t="s">
        <v>19</v>
      </c>
      <c r="B3" s="32" t="s">
        <v>230</v>
      </c>
    </row>
    <row r="4" spans="1:2" x14ac:dyDescent="0.35">
      <c r="A4" s="34" t="s">
        <v>9</v>
      </c>
      <c r="B4" s="28" t="s">
        <v>12</v>
      </c>
    </row>
    <row r="5" spans="1:2" x14ac:dyDescent="0.35">
      <c r="A5" s="34" t="s">
        <v>11</v>
      </c>
      <c r="B5" s="28" t="s">
        <v>233</v>
      </c>
    </row>
    <row r="6" spans="1:2" ht="16" thickBot="1" x14ac:dyDescent="0.4">
      <c r="A6" s="35" t="s">
        <v>10</v>
      </c>
      <c r="B6" s="80">
        <v>45156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7CE7-37D3-46CA-8C03-153612B16E50}">
  <sheetPr codeName="Sheet2"/>
  <dimension ref="A1:F27"/>
  <sheetViews>
    <sheetView topLeftCell="B10" zoomScale="80" zoomScaleNormal="80" workbookViewId="0">
      <selection activeCell="H17" sqref="H1:M1048576"/>
    </sheetView>
  </sheetViews>
  <sheetFormatPr defaultRowHeight="14.5" x14ac:dyDescent="0.35"/>
  <cols>
    <col min="1" max="1" width="30.36328125" customWidth="1"/>
    <col min="2" max="2" width="30.6328125" customWidth="1"/>
    <col min="3" max="3" width="17.1796875" customWidth="1"/>
    <col min="4" max="4" width="53.6328125" customWidth="1"/>
    <col min="5" max="5" width="23.81640625" customWidth="1"/>
    <col min="6" max="6" width="29.6328125" customWidth="1"/>
  </cols>
  <sheetData>
    <row r="1" spans="1:6" x14ac:dyDescent="0.35">
      <c r="A1" t="s">
        <v>22</v>
      </c>
      <c r="B1" t="s">
        <v>216</v>
      </c>
    </row>
    <row r="2" spans="1:6" x14ac:dyDescent="0.35">
      <c r="A2" t="s">
        <v>220</v>
      </c>
    </row>
    <row r="7" spans="1:6" ht="31" x14ac:dyDescent="0.35">
      <c r="A7" s="1" t="s">
        <v>0</v>
      </c>
      <c r="B7" s="2" t="s">
        <v>1</v>
      </c>
      <c r="C7" s="2" t="s">
        <v>2</v>
      </c>
      <c r="D7" s="1" t="s">
        <v>3</v>
      </c>
      <c r="E7" s="1" t="s">
        <v>7</v>
      </c>
      <c r="F7" s="1" t="s">
        <v>4</v>
      </c>
    </row>
    <row r="8" spans="1:6" ht="43.5" x14ac:dyDescent="0.35">
      <c r="A8" s="12" t="s">
        <v>119</v>
      </c>
      <c r="B8" s="13">
        <f>B17*$B$22</f>
        <v>0</v>
      </c>
      <c r="C8" s="12" t="s">
        <v>26</v>
      </c>
      <c r="D8" s="12" t="s">
        <v>124</v>
      </c>
      <c r="E8" s="12"/>
      <c r="F8" s="12" t="s">
        <v>96</v>
      </c>
    </row>
    <row r="9" spans="1:6" ht="43.5" x14ac:dyDescent="0.35">
      <c r="A9" s="12" t="s">
        <v>120</v>
      </c>
      <c r="B9" s="13">
        <f t="shared" ref="B9:B12" si="0">B18*$B$22</f>
        <v>0</v>
      </c>
      <c r="C9" s="12" t="s">
        <v>26</v>
      </c>
      <c r="D9" s="12" t="s">
        <v>125</v>
      </c>
      <c r="E9" s="12"/>
      <c r="F9" s="12" t="s">
        <v>96</v>
      </c>
    </row>
    <row r="10" spans="1:6" ht="43.5" x14ac:dyDescent="0.35">
      <c r="A10" s="12" t="s">
        <v>121</v>
      </c>
      <c r="B10" s="13">
        <f t="shared" si="0"/>
        <v>0</v>
      </c>
      <c r="C10" s="12" t="s">
        <v>26</v>
      </c>
      <c r="D10" s="12" t="s">
        <v>126</v>
      </c>
      <c r="E10" s="12"/>
      <c r="F10" s="12" t="s">
        <v>96</v>
      </c>
    </row>
    <row r="11" spans="1:6" ht="43.5" x14ac:dyDescent="0.35">
      <c r="A11" s="12" t="s">
        <v>122</v>
      </c>
      <c r="B11" s="13">
        <f t="shared" si="0"/>
        <v>0</v>
      </c>
      <c r="C11" s="12" t="s">
        <v>26</v>
      </c>
      <c r="D11" s="12" t="s">
        <v>127</v>
      </c>
      <c r="E11" s="12"/>
      <c r="F11" s="12" t="s">
        <v>96</v>
      </c>
    </row>
    <row r="12" spans="1:6" ht="43.5" x14ac:dyDescent="0.35">
      <c r="A12" s="12" t="s">
        <v>123</v>
      </c>
      <c r="B12" s="13">
        <f t="shared" si="0"/>
        <v>0</v>
      </c>
      <c r="C12" s="12" t="s">
        <v>26</v>
      </c>
      <c r="D12" s="12" t="s">
        <v>128</v>
      </c>
      <c r="E12" s="12"/>
      <c r="F12" s="12" t="s">
        <v>96</v>
      </c>
    </row>
    <row r="13" spans="1:6" ht="29" x14ac:dyDescent="0.35">
      <c r="A13" s="12" t="s">
        <v>24</v>
      </c>
      <c r="B13" s="12">
        <v>0.89</v>
      </c>
      <c r="C13" s="12" t="s">
        <v>23</v>
      </c>
      <c r="D13" s="12" t="s">
        <v>25</v>
      </c>
      <c r="E13" s="12" t="s">
        <v>44</v>
      </c>
      <c r="F13" s="12" t="s">
        <v>186</v>
      </c>
    </row>
    <row r="14" spans="1:6" ht="29" x14ac:dyDescent="0.35">
      <c r="A14" s="12" t="s">
        <v>27</v>
      </c>
      <c r="B14" s="12">
        <v>1.5599999999999999E-2</v>
      </c>
      <c r="C14" s="12" t="s">
        <v>28</v>
      </c>
      <c r="D14" s="12" t="s">
        <v>91</v>
      </c>
      <c r="E14" s="12" t="s">
        <v>44</v>
      </c>
      <c r="F14" s="12" t="s">
        <v>90</v>
      </c>
    </row>
    <row r="15" spans="1:6" x14ac:dyDescent="0.35">
      <c r="A15" s="12" t="s">
        <v>29</v>
      </c>
      <c r="B15" s="20">
        <v>112</v>
      </c>
      <c r="C15" s="12" t="s">
        <v>31</v>
      </c>
      <c r="D15" s="12" t="s">
        <v>32</v>
      </c>
      <c r="E15" s="12" t="s">
        <v>44</v>
      </c>
      <c r="F15" s="12" t="s">
        <v>204</v>
      </c>
    </row>
    <row r="16" spans="1:6" ht="36" customHeight="1" x14ac:dyDescent="0.35">
      <c r="A16" s="12" t="s">
        <v>30</v>
      </c>
      <c r="B16" s="13">
        <v>9.4600000000000009</v>
      </c>
      <c r="C16" s="12" t="s">
        <v>31</v>
      </c>
      <c r="D16" s="12" t="s">
        <v>218</v>
      </c>
      <c r="E16" s="12" t="s">
        <v>44</v>
      </c>
      <c r="F16" s="12" t="s">
        <v>204</v>
      </c>
    </row>
    <row r="17" spans="1:6" ht="40" customHeight="1" x14ac:dyDescent="0.35">
      <c r="A17" s="12" t="s">
        <v>107</v>
      </c>
      <c r="B17" s="12">
        <f>365*'Distribution and thermal energy'!C2</f>
        <v>0</v>
      </c>
      <c r="C17" s="12" t="s">
        <v>39</v>
      </c>
      <c r="D17" s="12" t="s">
        <v>112</v>
      </c>
      <c r="E17" s="12" t="s">
        <v>13</v>
      </c>
      <c r="F17" s="12"/>
    </row>
    <row r="18" spans="1:6" ht="31" customHeight="1" x14ac:dyDescent="0.35">
      <c r="A18" s="12" t="s">
        <v>108</v>
      </c>
      <c r="B18" s="12">
        <f>365*('Distribution and thermal energy'!C2+'Distribution and thermal energy'!C3)</f>
        <v>0</v>
      </c>
      <c r="C18" s="12"/>
      <c r="D18" s="12" t="s">
        <v>113</v>
      </c>
      <c r="E18" s="12"/>
      <c r="F18" s="12"/>
    </row>
    <row r="19" spans="1:6" ht="29" x14ac:dyDescent="0.35">
      <c r="A19" s="12" t="s">
        <v>109</v>
      </c>
      <c r="B19" s="12">
        <f>365*('Distribution and thermal energy'!C2+'Distribution and thermal energy'!C3+'Distribution and thermal energy'!C4)</f>
        <v>0</v>
      </c>
      <c r="C19" s="12"/>
      <c r="D19" s="12" t="s">
        <v>114</v>
      </c>
      <c r="E19" s="12"/>
      <c r="F19" s="10"/>
    </row>
    <row r="20" spans="1:6" ht="29" x14ac:dyDescent="0.35">
      <c r="A20" s="12" t="s">
        <v>110</v>
      </c>
      <c r="B20" s="12">
        <f>365*('Distribution and thermal energy'!C2+'Distribution and thermal energy'!C3+'Distribution and thermal energy'!C4+'Distribution and thermal energy'!C5)</f>
        <v>0</v>
      </c>
      <c r="C20" s="12"/>
      <c r="D20" s="12" t="s">
        <v>115</v>
      </c>
      <c r="E20" s="12"/>
      <c r="F20" s="12"/>
    </row>
    <row r="21" spans="1:6" ht="29" x14ac:dyDescent="0.35">
      <c r="A21" s="12" t="s">
        <v>111</v>
      </c>
      <c r="B21" s="12">
        <f>365*('Distribution and thermal energy'!C2+'Distribution and thermal energy'!C3+'Distribution and thermal energy'!C4+'Distribution and thermal energy'!C5+'Distribution and thermal energy'!C6)</f>
        <v>0</v>
      </c>
      <c r="C21" s="12"/>
      <c r="D21" s="12" t="s">
        <v>116</v>
      </c>
      <c r="E21" s="12"/>
      <c r="F21" s="12"/>
    </row>
    <row r="22" spans="1:6" ht="43.5" x14ac:dyDescent="0.35">
      <c r="A22" s="12" t="s">
        <v>40</v>
      </c>
      <c r="B22" s="12">
        <v>1.5910000000000001E-2</v>
      </c>
      <c r="C22" s="12" t="s">
        <v>41</v>
      </c>
      <c r="D22" s="12" t="s">
        <v>42</v>
      </c>
      <c r="E22" s="12" t="s">
        <v>92</v>
      </c>
      <c r="F22" s="12"/>
    </row>
    <row r="23" spans="1:6" x14ac:dyDescent="0.35">
      <c r="A23" s="12" t="s">
        <v>117</v>
      </c>
      <c r="B23" s="20">
        <f>B8*(($B$13*$B$15)+$B$16)*$B$14</f>
        <v>0</v>
      </c>
      <c r="C23" s="12" t="s">
        <v>34</v>
      </c>
      <c r="D23" s="12" t="s">
        <v>118</v>
      </c>
      <c r="E23" s="12"/>
      <c r="F23" s="12"/>
    </row>
    <row r="24" spans="1:6" x14ac:dyDescent="0.35">
      <c r="A24" s="12" t="s">
        <v>129</v>
      </c>
      <c r="B24" s="20">
        <f t="shared" ref="B24:B27" si="1">B9*(($B$13*$B$15)+$B$16)*$B$14</f>
        <v>0</v>
      </c>
      <c r="C24" s="12" t="s">
        <v>34</v>
      </c>
      <c r="D24" s="12" t="s">
        <v>133</v>
      </c>
      <c r="E24" s="12"/>
      <c r="F24" s="12"/>
    </row>
    <row r="25" spans="1:6" x14ac:dyDescent="0.35">
      <c r="A25" s="12" t="s">
        <v>130</v>
      </c>
      <c r="B25" s="20">
        <f t="shared" si="1"/>
        <v>0</v>
      </c>
      <c r="C25" s="12" t="s">
        <v>34</v>
      </c>
      <c r="D25" s="12" t="s">
        <v>134</v>
      </c>
      <c r="E25" s="12"/>
      <c r="F25" s="12"/>
    </row>
    <row r="26" spans="1:6" x14ac:dyDescent="0.35">
      <c r="A26" s="12" t="s">
        <v>131</v>
      </c>
      <c r="B26" s="20">
        <f t="shared" si="1"/>
        <v>0</v>
      </c>
      <c r="C26" s="12" t="s">
        <v>34</v>
      </c>
      <c r="D26" s="12" t="s">
        <v>135</v>
      </c>
      <c r="E26" s="12"/>
      <c r="F26" s="12"/>
    </row>
    <row r="27" spans="1:6" x14ac:dyDescent="0.35">
      <c r="A27" s="12" t="s">
        <v>132</v>
      </c>
      <c r="B27" s="20">
        <f t="shared" si="1"/>
        <v>0</v>
      </c>
      <c r="C27" s="12" t="s">
        <v>34</v>
      </c>
      <c r="D27" s="12" t="s">
        <v>136</v>
      </c>
      <c r="E27" s="12"/>
      <c r="F27" s="1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2936-2F51-4F3B-B515-8480B973105F}">
  <sheetPr codeName="Sheet3"/>
  <dimension ref="A1:H39"/>
  <sheetViews>
    <sheetView topLeftCell="A10" zoomScale="80" zoomScaleNormal="80" workbookViewId="0">
      <selection activeCell="D17" sqref="D17"/>
    </sheetView>
  </sheetViews>
  <sheetFormatPr defaultRowHeight="14.5" x14ac:dyDescent="0.35"/>
  <cols>
    <col min="1" max="1" width="30.36328125" customWidth="1"/>
    <col min="2" max="2" width="30.6328125" customWidth="1"/>
    <col min="3" max="3" width="17.1796875" customWidth="1"/>
    <col min="4" max="4" width="53.6328125" customWidth="1"/>
    <col min="5" max="5" width="23.81640625" customWidth="1"/>
    <col min="6" max="6" width="29.6328125" customWidth="1"/>
  </cols>
  <sheetData>
    <row r="1" spans="1:6" x14ac:dyDescent="0.35">
      <c r="A1" t="s">
        <v>22</v>
      </c>
      <c r="B1" t="s">
        <v>94</v>
      </c>
    </row>
    <row r="2" spans="1:6" x14ac:dyDescent="0.35">
      <c r="A2" t="s">
        <v>220</v>
      </c>
    </row>
    <row r="7" spans="1:6" ht="31" x14ac:dyDescent="0.35">
      <c r="A7" s="1" t="s">
        <v>0</v>
      </c>
      <c r="B7" s="2" t="s">
        <v>1</v>
      </c>
      <c r="C7" s="2" t="s">
        <v>2</v>
      </c>
      <c r="D7" s="1" t="s">
        <v>3</v>
      </c>
      <c r="E7" s="1" t="s">
        <v>7</v>
      </c>
      <c r="F7" s="1" t="s">
        <v>4</v>
      </c>
    </row>
    <row r="8" spans="1:6" ht="43.5" x14ac:dyDescent="0.35">
      <c r="A8" s="12" t="s">
        <v>119</v>
      </c>
      <c r="B8" s="20">
        <f>B17*$B$22</f>
        <v>290357.5</v>
      </c>
      <c r="C8" s="12" t="s">
        <v>26</v>
      </c>
      <c r="D8" s="12" t="s">
        <v>124</v>
      </c>
      <c r="E8" s="12"/>
      <c r="F8" s="12" t="s">
        <v>96</v>
      </c>
    </row>
    <row r="9" spans="1:6" ht="43.5" x14ac:dyDescent="0.35">
      <c r="A9" s="12" t="s">
        <v>120</v>
      </c>
      <c r="B9" s="20">
        <f t="shared" ref="B9:B12" si="0">B18*$B$22</f>
        <v>871072.5</v>
      </c>
      <c r="C9" s="12" t="s">
        <v>26</v>
      </c>
      <c r="D9" s="12" t="s">
        <v>125</v>
      </c>
      <c r="E9" s="12"/>
      <c r="F9" s="12" t="s">
        <v>96</v>
      </c>
    </row>
    <row r="10" spans="1:6" ht="43.5" x14ac:dyDescent="0.35">
      <c r="A10" s="12" t="s">
        <v>121</v>
      </c>
      <c r="B10" s="20">
        <f t="shared" si="0"/>
        <v>871072.5</v>
      </c>
      <c r="C10" s="12" t="s">
        <v>26</v>
      </c>
      <c r="D10" s="12" t="s">
        <v>126</v>
      </c>
      <c r="E10" s="12"/>
      <c r="F10" s="12" t="s">
        <v>96</v>
      </c>
    </row>
    <row r="11" spans="1:6" ht="43.5" x14ac:dyDescent="0.35">
      <c r="A11" s="12" t="s">
        <v>122</v>
      </c>
      <c r="B11" s="20">
        <f t="shared" si="0"/>
        <v>871072.5</v>
      </c>
      <c r="C11" s="12" t="s">
        <v>26</v>
      </c>
      <c r="D11" s="12" t="s">
        <v>127</v>
      </c>
      <c r="E11" s="12"/>
      <c r="F11" s="12" t="s">
        <v>96</v>
      </c>
    </row>
    <row r="12" spans="1:6" ht="43.5" x14ac:dyDescent="0.35">
      <c r="A12" s="12" t="s">
        <v>123</v>
      </c>
      <c r="B12" s="20">
        <f t="shared" si="0"/>
        <v>871072.5</v>
      </c>
      <c r="C12" s="12" t="s">
        <v>26</v>
      </c>
      <c r="D12" s="12" t="s">
        <v>128</v>
      </c>
      <c r="E12" s="12"/>
      <c r="F12" s="12" t="s">
        <v>96</v>
      </c>
    </row>
    <row r="13" spans="1:6" ht="29" x14ac:dyDescent="0.35">
      <c r="A13" s="12" t="s">
        <v>24</v>
      </c>
      <c r="B13" s="12">
        <v>0.89</v>
      </c>
      <c r="C13" s="12" t="s">
        <v>23</v>
      </c>
      <c r="D13" s="12" t="s">
        <v>25</v>
      </c>
      <c r="E13" s="12" t="s">
        <v>44</v>
      </c>
      <c r="F13" s="12" t="s">
        <v>186</v>
      </c>
    </row>
    <row r="14" spans="1:6" ht="29" x14ac:dyDescent="0.35">
      <c r="A14" s="12" t="s">
        <v>27</v>
      </c>
      <c r="B14" s="12">
        <v>1.5599999999999999E-2</v>
      </c>
      <c r="C14" s="12" t="s">
        <v>28</v>
      </c>
      <c r="D14" s="12" t="s">
        <v>91</v>
      </c>
      <c r="E14" s="12" t="s">
        <v>44</v>
      </c>
      <c r="F14" s="12" t="s">
        <v>90</v>
      </c>
    </row>
    <row r="15" spans="1:6" x14ac:dyDescent="0.35">
      <c r="A15" s="12" t="s">
        <v>29</v>
      </c>
      <c r="B15" s="20">
        <v>112</v>
      </c>
      <c r="C15" s="12" t="s">
        <v>31</v>
      </c>
      <c r="D15" s="12" t="s">
        <v>32</v>
      </c>
      <c r="E15" s="12" t="s">
        <v>44</v>
      </c>
      <c r="F15" s="12" t="s">
        <v>204</v>
      </c>
    </row>
    <row r="16" spans="1:6" ht="29" x14ac:dyDescent="0.35">
      <c r="A16" s="12" t="s">
        <v>30</v>
      </c>
      <c r="B16" s="13">
        <f>'Baseline emissions_EPC'!B16</f>
        <v>9.4600000000000009</v>
      </c>
      <c r="C16" s="12" t="s">
        <v>31</v>
      </c>
      <c r="D16" s="12" t="s">
        <v>33</v>
      </c>
      <c r="E16" s="12" t="s">
        <v>44</v>
      </c>
      <c r="F16" s="12" t="s">
        <v>204</v>
      </c>
    </row>
    <row r="17" spans="1:7" ht="29" x14ac:dyDescent="0.35">
      <c r="A17" s="12" t="s">
        <v>107</v>
      </c>
      <c r="B17" s="12">
        <f>365*'Distribution and thermal energy'!B2</f>
        <v>18250000</v>
      </c>
      <c r="C17" s="12" t="s">
        <v>39</v>
      </c>
      <c r="D17" s="12" t="s">
        <v>112</v>
      </c>
      <c r="E17" s="12" t="s">
        <v>13</v>
      </c>
      <c r="F17" s="12"/>
    </row>
    <row r="18" spans="1:7" ht="29" x14ac:dyDescent="0.35">
      <c r="A18" s="12" t="s">
        <v>108</v>
      </c>
      <c r="B18" s="12">
        <f>365*('Distribution and thermal energy'!B2+'Distribution and thermal energy'!B3)</f>
        <v>54750000</v>
      </c>
      <c r="C18" s="12"/>
      <c r="D18" s="12" t="s">
        <v>113</v>
      </c>
      <c r="E18" s="12"/>
      <c r="F18" s="12"/>
    </row>
    <row r="19" spans="1:7" ht="29" x14ac:dyDescent="0.35">
      <c r="A19" s="12" t="s">
        <v>109</v>
      </c>
      <c r="B19" s="12">
        <f>365*('Distribution and thermal energy'!B2+'Distribution and thermal energy'!B3+'Distribution and thermal energy'!B4)</f>
        <v>54750000</v>
      </c>
      <c r="C19" s="12"/>
      <c r="D19" s="12" t="s">
        <v>114</v>
      </c>
      <c r="E19" s="12"/>
      <c r="F19" s="12"/>
    </row>
    <row r="20" spans="1:7" ht="29" x14ac:dyDescent="0.35">
      <c r="A20" s="12" t="s">
        <v>110</v>
      </c>
      <c r="B20" s="12">
        <f>365*('Distribution and thermal energy'!B2+'Distribution and thermal energy'!B3+'Distribution and thermal energy'!B4+'Distribution and thermal energy'!B5)</f>
        <v>54750000</v>
      </c>
      <c r="C20" s="12"/>
      <c r="D20" s="12" t="s">
        <v>115</v>
      </c>
      <c r="E20" s="12"/>
      <c r="F20" s="12"/>
    </row>
    <row r="21" spans="1:7" ht="29" x14ac:dyDescent="0.35">
      <c r="A21" s="12" t="s">
        <v>111</v>
      </c>
      <c r="B21" s="12">
        <f>365*('Distribution and thermal energy'!B2+'Distribution and thermal energy'!B3+'Distribution and thermal energy'!B4+'Distribution and thermal energy'!B5+'Distribution and thermal energy'!B6)</f>
        <v>54750000</v>
      </c>
      <c r="C21" s="12"/>
      <c r="D21" s="12" t="s">
        <v>116</v>
      </c>
      <c r="E21" s="12"/>
      <c r="F21" s="12"/>
    </row>
    <row r="22" spans="1:7" ht="43.5" x14ac:dyDescent="0.35">
      <c r="A22" s="12" t="s">
        <v>40</v>
      </c>
      <c r="B22" s="12">
        <v>1.5910000000000001E-2</v>
      </c>
      <c r="C22" s="12" t="s">
        <v>41</v>
      </c>
      <c r="D22" s="12" t="s">
        <v>42</v>
      </c>
      <c r="E22" s="12" t="s">
        <v>92</v>
      </c>
      <c r="F22" s="12"/>
    </row>
    <row r="23" spans="1:7" x14ac:dyDescent="0.35">
      <c r="A23" s="12" t="s">
        <v>117</v>
      </c>
      <c r="B23" s="20">
        <f>B8*(($B$13*$B$15)+$B$16)*$B$14</f>
        <v>494358.03378000006</v>
      </c>
      <c r="C23" s="12" t="s">
        <v>34</v>
      </c>
      <c r="D23" s="12" t="s">
        <v>118</v>
      </c>
      <c r="E23" s="12"/>
      <c r="F23" s="12"/>
    </row>
    <row r="24" spans="1:7" x14ac:dyDescent="0.35">
      <c r="A24" s="12" t="s">
        <v>129</v>
      </c>
      <c r="B24" s="20">
        <f t="shared" ref="B24:B27" si="1">B9*(($B$13*$B$15)+$B$16)*$B$14</f>
        <v>1483074.1013400001</v>
      </c>
      <c r="C24" s="12" t="s">
        <v>34</v>
      </c>
      <c r="D24" s="12" t="s">
        <v>133</v>
      </c>
      <c r="E24" s="12"/>
      <c r="F24" s="12"/>
    </row>
    <row r="25" spans="1:7" x14ac:dyDescent="0.35">
      <c r="A25" s="12" t="s">
        <v>130</v>
      </c>
      <c r="B25" s="20">
        <f t="shared" si="1"/>
        <v>1483074.1013400001</v>
      </c>
      <c r="C25" s="12" t="s">
        <v>34</v>
      </c>
      <c r="D25" s="12" t="s">
        <v>134</v>
      </c>
      <c r="E25" s="12"/>
      <c r="F25" s="12"/>
    </row>
    <row r="26" spans="1:7" x14ac:dyDescent="0.35">
      <c r="A26" s="12" t="s">
        <v>131</v>
      </c>
      <c r="B26" s="20">
        <f t="shared" si="1"/>
        <v>1483074.1013400001</v>
      </c>
      <c r="C26" s="12" t="s">
        <v>34</v>
      </c>
      <c r="D26" s="12" t="s">
        <v>135</v>
      </c>
      <c r="E26" s="12"/>
      <c r="F26" s="12"/>
    </row>
    <row r="27" spans="1:7" x14ac:dyDescent="0.35">
      <c r="A27" s="12" t="s">
        <v>132</v>
      </c>
      <c r="B27" s="20">
        <f t="shared" si="1"/>
        <v>1483074.1013400001</v>
      </c>
      <c r="C27" s="12" t="s">
        <v>34</v>
      </c>
      <c r="D27" s="12" t="s">
        <v>136</v>
      </c>
      <c r="E27" s="12"/>
      <c r="F27" s="12"/>
    </row>
    <row r="29" spans="1:7" x14ac:dyDescent="0.35">
      <c r="B29" s="40"/>
    </row>
    <row r="30" spans="1:7" x14ac:dyDescent="0.35">
      <c r="A30" s="18" t="s">
        <v>74</v>
      </c>
    </row>
    <row r="31" spans="1:7" x14ac:dyDescent="0.35">
      <c r="A31" s="10"/>
      <c r="B31" s="10" t="s">
        <v>83</v>
      </c>
      <c r="C31" s="10"/>
    </row>
    <row r="32" spans="1:7" x14ac:dyDescent="0.35">
      <c r="A32" s="10" t="s">
        <v>75</v>
      </c>
      <c r="B32" s="10">
        <f>(B8/('Distribution and thermal energy'!B2))/365</f>
        <v>1.5910000000000001E-2</v>
      </c>
      <c r="C32" s="10" t="s">
        <v>76</v>
      </c>
      <c r="G32" t="s">
        <v>81</v>
      </c>
    </row>
    <row r="33" spans="1:8" x14ac:dyDescent="0.35">
      <c r="A33" s="10" t="s">
        <v>77</v>
      </c>
      <c r="B33" s="10">
        <f>B14</f>
        <v>1.5599999999999999E-2</v>
      </c>
      <c r="C33" s="10" t="s">
        <v>28</v>
      </c>
      <c r="G33" s="10" t="s">
        <v>80</v>
      </c>
      <c r="H33" s="10">
        <v>2.7777777777777776E-7</v>
      </c>
    </row>
    <row r="34" spans="1:8" x14ac:dyDescent="0.35">
      <c r="A34" s="10" t="s">
        <v>78</v>
      </c>
      <c r="B34" s="10">
        <f>B33*B32</f>
        <v>2.4819600000000001E-4</v>
      </c>
      <c r="C34" s="10" t="s">
        <v>79</v>
      </c>
    </row>
    <row r="35" spans="1:8" x14ac:dyDescent="0.35">
      <c r="A35" s="10" t="s">
        <v>82</v>
      </c>
      <c r="B35" s="81">
        <f>B34*1000000000000*H33</f>
        <v>68.943333333333328</v>
      </c>
      <c r="C35" s="10" t="s">
        <v>87</v>
      </c>
    </row>
    <row r="36" spans="1:8" x14ac:dyDescent="0.35">
      <c r="A36" s="10" t="s">
        <v>84</v>
      </c>
      <c r="B36" s="10"/>
      <c r="C36" s="10"/>
    </row>
    <row r="37" spans="1:8" x14ac:dyDescent="0.35">
      <c r="A37" s="19" t="s">
        <v>85</v>
      </c>
      <c r="B37" s="77">
        <f>B35</f>
        <v>68.943333333333328</v>
      </c>
      <c r="C37" s="19" t="s">
        <v>86</v>
      </c>
      <c r="D37" s="21" t="s">
        <v>88</v>
      </c>
    </row>
    <row r="39" spans="1:8" x14ac:dyDescent="0.35">
      <c r="A39" t="s">
        <v>95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63"/>
  <sheetViews>
    <sheetView topLeftCell="A32" zoomScale="87" zoomScaleNormal="100" workbookViewId="0">
      <selection activeCell="D31" sqref="D31"/>
    </sheetView>
  </sheetViews>
  <sheetFormatPr defaultColWidth="8.90625" defaultRowHeight="14.5" x14ac:dyDescent="0.35"/>
  <cols>
    <col min="1" max="1" width="22" customWidth="1"/>
    <col min="2" max="2" width="29.6328125" customWidth="1"/>
    <col min="3" max="3" width="19.453125" customWidth="1"/>
    <col min="4" max="4" width="62.36328125" customWidth="1"/>
    <col min="5" max="5" width="20.1796875" customWidth="1"/>
    <col min="6" max="6" width="96.453125" customWidth="1"/>
    <col min="9" max="9" width="16" customWidth="1"/>
    <col min="12" max="12" width="16.54296875" customWidth="1"/>
  </cols>
  <sheetData>
    <row r="1" spans="1:9" x14ac:dyDescent="0.35">
      <c r="A1" s="14" t="s">
        <v>22</v>
      </c>
      <c r="B1" t="s">
        <v>199</v>
      </c>
    </row>
    <row r="2" spans="1:9" x14ac:dyDescent="0.35">
      <c r="A2" t="s">
        <v>221</v>
      </c>
    </row>
    <row r="3" spans="1:9" x14ac:dyDescent="0.35">
      <c r="A3" s="14"/>
    </row>
    <row r="4" spans="1:9" x14ac:dyDescent="0.35">
      <c r="A4" s="14"/>
      <c r="C4" t="s">
        <v>213</v>
      </c>
      <c r="I4" s="41"/>
    </row>
    <row r="5" spans="1:9" x14ac:dyDescent="0.35">
      <c r="A5" s="14"/>
    </row>
    <row r="6" spans="1:9" ht="21" customHeight="1" x14ac:dyDescent="0.35">
      <c r="A6" s="84"/>
      <c r="B6" s="84"/>
      <c r="C6" s="56" t="s">
        <v>214</v>
      </c>
    </row>
    <row r="7" spans="1:9" ht="21" customHeight="1" x14ac:dyDescent="0.35">
      <c r="A7" s="55"/>
      <c r="B7" s="55"/>
      <c r="C7" s="56"/>
    </row>
    <row r="8" spans="1:9" x14ac:dyDescent="0.35">
      <c r="A8" s="14" t="s">
        <v>215</v>
      </c>
    </row>
    <row r="10" spans="1:9" ht="31" x14ac:dyDescent="0.35">
      <c r="A10" s="1" t="s">
        <v>0</v>
      </c>
      <c r="B10" s="2" t="s">
        <v>1</v>
      </c>
      <c r="C10" s="2" t="s">
        <v>2</v>
      </c>
      <c r="D10" s="1" t="s">
        <v>3</v>
      </c>
      <c r="E10" s="1" t="s">
        <v>7</v>
      </c>
      <c r="F10" s="1" t="s">
        <v>4</v>
      </c>
    </row>
    <row r="11" spans="1:9" ht="29" x14ac:dyDescent="0.35">
      <c r="A11" s="12" t="s">
        <v>163</v>
      </c>
      <c r="B11" s="20">
        <f>($B$16*B17)/1000000</f>
        <v>0</v>
      </c>
      <c r="C11" s="12" t="s">
        <v>164</v>
      </c>
      <c r="D11" s="12" t="s">
        <v>165</v>
      </c>
      <c r="E11" s="12" t="s">
        <v>13</v>
      </c>
      <c r="F11" s="12" t="s">
        <v>35</v>
      </c>
    </row>
    <row r="12" spans="1:9" ht="29" x14ac:dyDescent="0.35">
      <c r="A12" s="12" t="s">
        <v>166</v>
      </c>
      <c r="B12" s="12">
        <f>($B$16*B18)/1000000</f>
        <v>0</v>
      </c>
      <c r="C12" s="12" t="s">
        <v>164</v>
      </c>
      <c r="D12" s="12" t="s">
        <v>170</v>
      </c>
      <c r="E12" s="12" t="s">
        <v>13</v>
      </c>
      <c r="F12" s="12" t="s">
        <v>35</v>
      </c>
    </row>
    <row r="13" spans="1:9" ht="29" x14ac:dyDescent="0.35">
      <c r="A13" s="12" t="s">
        <v>167</v>
      </c>
      <c r="B13" s="12">
        <f t="shared" ref="B13:B15" si="0">($B$16*B19)/1000000</f>
        <v>0</v>
      </c>
      <c r="C13" s="12" t="s">
        <v>164</v>
      </c>
      <c r="D13" s="12" t="s">
        <v>171</v>
      </c>
      <c r="E13" s="12" t="s">
        <v>13</v>
      </c>
      <c r="F13" s="12" t="s">
        <v>35</v>
      </c>
    </row>
    <row r="14" spans="1:9" ht="29" x14ac:dyDescent="0.35">
      <c r="A14" s="12" t="s">
        <v>168</v>
      </c>
      <c r="B14" s="12">
        <f t="shared" si="0"/>
        <v>0</v>
      </c>
      <c r="C14" s="12" t="s">
        <v>164</v>
      </c>
      <c r="D14" s="12" t="s">
        <v>172</v>
      </c>
      <c r="E14" s="12" t="s">
        <v>13</v>
      </c>
      <c r="F14" s="12" t="s">
        <v>35</v>
      </c>
    </row>
    <row r="15" spans="1:9" ht="29" x14ac:dyDescent="0.35">
      <c r="A15" s="12" t="s">
        <v>169</v>
      </c>
      <c r="B15" s="12">
        <f t="shared" si="0"/>
        <v>0</v>
      </c>
      <c r="C15" s="12" t="s">
        <v>164</v>
      </c>
      <c r="D15" s="12" t="s">
        <v>173</v>
      </c>
      <c r="E15" s="12" t="s">
        <v>13</v>
      </c>
      <c r="F15" s="12" t="s">
        <v>35</v>
      </c>
    </row>
    <row r="16" spans="1:9" x14ac:dyDescent="0.35">
      <c r="A16" s="12" t="s">
        <v>49</v>
      </c>
      <c r="B16" s="12">
        <v>1200</v>
      </c>
      <c r="C16" s="12" t="s">
        <v>50</v>
      </c>
      <c r="D16" s="12" t="s">
        <v>106</v>
      </c>
      <c r="E16" s="12" t="s">
        <v>52</v>
      </c>
      <c r="F16" s="12"/>
    </row>
    <row r="17" spans="1:10" ht="29" x14ac:dyDescent="0.35">
      <c r="A17" s="12" t="s">
        <v>153</v>
      </c>
      <c r="B17" s="12">
        <f>365*5*'Distribution and thermal energy'!C2</f>
        <v>0</v>
      </c>
      <c r="C17" s="12" t="s">
        <v>51</v>
      </c>
      <c r="D17" s="12" t="s">
        <v>154</v>
      </c>
      <c r="E17" s="12" t="s">
        <v>13</v>
      </c>
      <c r="F17" s="12" t="s">
        <v>196</v>
      </c>
    </row>
    <row r="18" spans="1:10" ht="29" x14ac:dyDescent="0.35">
      <c r="A18" s="12" t="s">
        <v>155</v>
      </c>
      <c r="B18" s="12">
        <f>365*5*('Distribution and thermal energy'!C2+'Distribution and thermal energy'!C3)</f>
        <v>0</v>
      </c>
      <c r="C18" s="12" t="s">
        <v>51</v>
      </c>
      <c r="D18" s="12" t="s">
        <v>159</v>
      </c>
      <c r="E18" s="12" t="s">
        <v>13</v>
      </c>
      <c r="F18" s="12" t="s">
        <v>196</v>
      </c>
    </row>
    <row r="19" spans="1:10" ht="29" x14ac:dyDescent="0.35">
      <c r="A19" s="12" t="s">
        <v>156</v>
      </c>
      <c r="B19" s="12">
        <f>365*5*('Distribution and thermal energy'!C2+'Distribution and thermal energy'!C3+'Distribution and thermal energy'!C4)</f>
        <v>0</v>
      </c>
      <c r="C19" s="12" t="s">
        <v>51</v>
      </c>
      <c r="D19" s="12" t="s">
        <v>160</v>
      </c>
      <c r="E19" s="12" t="s">
        <v>13</v>
      </c>
      <c r="F19" s="12" t="s">
        <v>196</v>
      </c>
    </row>
    <row r="20" spans="1:10" ht="29" x14ac:dyDescent="0.35">
      <c r="A20" s="12" t="s">
        <v>157</v>
      </c>
      <c r="B20" s="12">
        <f>365*5*('Distribution and thermal energy'!C2+'Distribution and thermal energy'!C3+'Distribution and thermal energy'!C4+'Distribution and thermal energy'!C5)</f>
        <v>0</v>
      </c>
      <c r="C20" s="12" t="s">
        <v>51</v>
      </c>
      <c r="D20" s="12" t="s">
        <v>161</v>
      </c>
      <c r="E20" s="12" t="s">
        <v>13</v>
      </c>
      <c r="F20" s="12" t="s">
        <v>196</v>
      </c>
    </row>
    <row r="21" spans="1:10" ht="29" x14ac:dyDescent="0.35">
      <c r="A21" s="12" t="s">
        <v>158</v>
      </c>
      <c r="B21" s="12">
        <f>365*5*('Distribution and thermal energy'!C2+'Distribution and thermal energy'!C3+'Distribution and thermal energy'!C4+'Distribution and thermal energy'!C5+'Distribution and thermal energy'!C6)</f>
        <v>0</v>
      </c>
      <c r="C21" s="12" t="s">
        <v>51</v>
      </c>
      <c r="D21" s="12" t="s">
        <v>162</v>
      </c>
      <c r="E21" s="12" t="s">
        <v>13</v>
      </c>
      <c r="F21" s="12" t="s">
        <v>196</v>
      </c>
    </row>
    <row r="22" spans="1:10" ht="29" x14ac:dyDescent="0.35">
      <c r="A22" s="15" t="s">
        <v>102</v>
      </c>
      <c r="B22" s="71">
        <v>0.1158</v>
      </c>
      <c r="C22" s="12" t="s">
        <v>210</v>
      </c>
      <c r="D22" s="12" t="s">
        <v>222</v>
      </c>
      <c r="E22" s="12" t="s">
        <v>44</v>
      </c>
      <c r="F22" s="12" t="s">
        <v>226</v>
      </c>
    </row>
    <row r="23" spans="1:10" ht="29" x14ac:dyDescent="0.35">
      <c r="A23" s="12" t="s">
        <v>104</v>
      </c>
      <c r="B23" s="16">
        <v>0.2</v>
      </c>
      <c r="C23" s="12" t="s">
        <v>54</v>
      </c>
      <c r="D23" s="12" t="s">
        <v>53</v>
      </c>
      <c r="E23" s="12" t="s">
        <v>44</v>
      </c>
      <c r="F23" s="12" t="s">
        <v>58</v>
      </c>
    </row>
    <row r="24" spans="1:10" x14ac:dyDescent="0.35">
      <c r="A24" s="12" t="s">
        <v>174</v>
      </c>
      <c r="B24" s="50">
        <f>B11*$B$22*(1+$B$23)</f>
        <v>0</v>
      </c>
      <c r="C24" s="12" t="s">
        <v>175</v>
      </c>
      <c r="D24" s="12" t="s">
        <v>176</v>
      </c>
      <c r="E24" s="12"/>
      <c r="F24" s="12"/>
      <c r="H24" s="40"/>
      <c r="I24" s="40"/>
      <c r="J24" s="41"/>
    </row>
    <row r="25" spans="1:10" x14ac:dyDescent="0.35">
      <c r="A25" s="12" t="s">
        <v>181</v>
      </c>
      <c r="B25" s="50">
        <f>B12*$B$22*(1+$B$23)</f>
        <v>0</v>
      </c>
      <c r="C25" s="12" t="s">
        <v>175</v>
      </c>
      <c r="D25" s="12" t="s">
        <v>177</v>
      </c>
      <c r="E25" s="12"/>
      <c r="F25" s="12"/>
      <c r="H25" s="40"/>
      <c r="I25" s="40"/>
      <c r="J25" s="41"/>
    </row>
    <row r="26" spans="1:10" x14ac:dyDescent="0.35">
      <c r="A26" s="12" t="s">
        <v>182</v>
      </c>
      <c r="B26" s="50">
        <f>B13*$B$22*(1+$B$23)</f>
        <v>0</v>
      </c>
      <c r="C26" s="12" t="s">
        <v>175</v>
      </c>
      <c r="D26" s="12" t="s">
        <v>178</v>
      </c>
      <c r="E26" s="12"/>
      <c r="F26" s="12"/>
      <c r="H26" s="40"/>
      <c r="I26" s="40"/>
      <c r="J26" s="41"/>
    </row>
    <row r="27" spans="1:10" x14ac:dyDescent="0.35">
      <c r="A27" s="12" t="s">
        <v>183</v>
      </c>
      <c r="B27" s="50">
        <f>B14*$B$22*(1+$B$23)</f>
        <v>0</v>
      </c>
      <c r="C27" s="12" t="s">
        <v>175</v>
      </c>
      <c r="D27" s="12" t="s">
        <v>179</v>
      </c>
      <c r="E27" s="12"/>
      <c r="F27" s="12"/>
      <c r="H27" s="40"/>
      <c r="I27" s="40"/>
      <c r="J27" s="41"/>
    </row>
    <row r="28" spans="1:10" x14ac:dyDescent="0.35">
      <c r="A28" s="12" t="s">
        <v>184</v>
      </c>
      <c r="B28" s="50">
        <f>B15*$B$22*(1+$B$23)</f>
        <v>0</v>
      </c>
      <c r="C28" s="12" t="s">
        <v>175</v>
      </c>
      <c r="D28" s="12" t="s">
        <v>180</v>
      </c>
      <c r="E28" s="12"/>
      <c r="F28" s="12"/>
      <c r="H28" s="40"/>
      <c r="I28" s="40"/>
      <c r="J28" s="41"/>
    </row>
    <row r="29" spans="1:10" ht="43.5" x14ac:dyDescent="0.35">
      <c r="A29" s="12" t="s">
        <v>147</v>
      </c>
      <c r="B29" s="20">
        <f>B38*(($B$44*$B$45)*($B$43*(1-$B$45)))</f>
        <v>0</v>
      </c>
      <c r="C29" s="12" t="s">
        <v>197</v>
      </c>
      <c r="D29" s="12" t="s">
        <v>148</v>
      </c>
      <c r="E29" s="12" t="s">
        <v>13</v>
      </c>
      <c r="F29" s="12" t="s">
        <v>98</v>
      </c>
    </row>
    <row r="30" spans="1:10" ht="43.5" x14ac:dyDescent="0.35">
      <c r="A30" s="12" t="s">
        <v>149</v>
      </c>
      <c r="B30" s="20">
        <f t="shared" ref="B30:B33" si="1">B39*(($B$44*$B$45)*($B$43*(1-$B$45)))</f>
        <v>0</v>
      </c>
      <c r="C30" s="12" t="s">
        <v>197</v>
      </c>
      <c r="D30" s="12" t="s">
        <v>187</v>
      </c>
      <c r="E30" s="12" t="s">
        <v>13</v>
      </c>
      <c r="F30" s="12" t="s">
        <v>98</v>
      </c>
    </row>
    <row r="31" spans="1:10" ht="43.5" x14ac:dyDescent="0.35">
      <c r="A31" s="12" t="s">
        <v>150</v>
      </c>
      <c r="B31" s="20">
        <f t="shared" si="1"/>
        <v>0</v>
      </c>
      <c r="C31" s="12" t="s">
        <v>197</v>
      </c>
      <c r="D31" s="12" t="s">
        <v>188</v>
      </c>
      <c r="E31" s="12" t="s">
        <v>13</v>
      </c>
      <c r="F31" s="12" t="s">
        <v>98</v>
      </c>
    </row>
    <row r="32" spans="1:10" ht="43.5" x14ac:dyDescent="0.35">
      <c r="A32" s="12" t="s">
        <v>151</v>
      </c>
      <c r="B32" s="20">
        <f t="shared" si="1"/>
        <v>0</v>
      </c>
      <c r="C32" s="12" t="s">
        <v>197</v>
      </c>
      <c r="D32" s="12" t="s">
        <v>189</v>
      </c>
      <c r="E32" s="12" t="s">
        <v>13</v>
      </c>
      <c r="F32" s="12" t="s">
        <v>98</v>
      </c>
    </row>
    <row r="33" spans="1:6" ht="43.5" x14ac:dyDescent="0.35">
      <c r="A33" s="12" t="s">
        <v>152</v>
      </c>
      <c r="B33" s="20">
        <f t="shared" si="1"/>
        <v>0</v>
      </c>
      <c r="C33" s="12" t="s">
        <v>197</v>
      </c>
      <c r="D33" s="12" t="s">
        <v>190</v>
      </c>
      <c r="E33" s="12" t="s">
        <v>13</v>
      </c>
      <c r="F33" s="12" t="s">
        <v>98</v>
      </c>
    </row>
    <row r="34" spans="1:6" ht="29" x14ac:dyDescent="0.35">
      <c r="A34" s="12" t="s">
        <v>24</v>
      </c>
      <c r="B34" s="12">
        <v>0.89</v>
      </c>
      <c r="C34" s="12" t="s">
        <v>23</v>
      </c>
      <c r="D34" s="12" t="s">
        <v>25</v>
      </c>
      <c r="E34" s="12" t="s">
        <v>44</v>
      </c>
      <c r="F34" s="12" t="s">
        <v>186</v>
      </c>
    </row>
    <row r="35" spans="1:6" ht="29" x14ac:dyDescent="0.35">
      <c r="A35" s="12" t="s">
        <v>212</v>
      </c>
      <c r="B35" s="12">
        <v>1.5599999999999999E-2</v>
      </c>
      <c r="C35" s="12" t="s">
        <v>28</v>
      </c>
      <c r="D35" s="12" t="s">
        <v>93</v>
      </c>
      <c r="E35" s="12"/>
      <c r="F35" s="12"/>
    </row>
    <row r="36" spans="1:6" s="51" customFormat="1" x14ac:dyDescent="0.35">
      <c r="A36" s="12" t="s">
        <v>37</v>
      </c>
      <c r="B36" s="20">
        <v>112</v>
      </c>
      <c r="C36" s="12" t="s">
        <v>31</v>
      </c>
      <c r="D36" s="12" t="s">
        <v>32</v>
      </c>
      <c r="E36" s="12" t="s">
        <v>44</v>
      </c>
      <c r="F36" s="12" t="s">
        <v>204</v>
      </c>
    </row>
    <row r="37" spans="1:6" s="51" customFormat="1" x14ac:dyDescent="0.35">
      <c r="A37" s="12" t="s">
        <v>36</v>
      </c>
      <c r="B37" s="13">
        <f>'Baseline emissions_ICS'!B16</f>
        <v>9.4600000000000009</v>
      </c>
      <c r="C37" s="12" t="s">
        <v>31</v>
      </c>
      <c r="D37" s="12" t="s">
        <v>33</v>
      </c>
      <c r="E37" s="12" t="s">
        <v>44</v>
      </c>
      <c r="F37" s="12" t="s">
        <v>204</v>
      </c>
    </row>
    <row r="38" spans="1:6" s="51" customFormat="1" ht="29" x14ac:dyDescent="0.35">
      <c r="A38" s="12" t="s">
        <v>107</v>
      </c>
      <c r="B38" s="12">
        <f>365*'Distribution and thermal energy'!C2</f>
        <v>0</v>
      </c>
      <c r="C38" s="12" t="s">
        <v>39</v>
      </c>
      <c r="D38" s="12" t="s">
        <v>112</v>
      </c>
      <c r="E38" s="12" t="s">
        <v>13</v>
      </c>
      <c r="F38" s="12"/>
    </row>
    <row r="39" spans="1:6" s="51" customFormat="1" ht="29" x14ac:dyDescent="0.35">
      <c r="A39" s="12" t="s">
        <v>108</v>
      </c>
      <c r="B39" s="12">
        <f>365*('Distribution and thermal energy'!C2+'Distribution and thermal energy'!C3)</f>
        <v>0</v>
      </c>
      <c r="C39" s="12" t="s">
        <v>39</v>
      </c>
      <c r="D39" s="12" t="s">
        <v>113</v>
      </c>
      <c r="E39" s="12" t="s">
        <v>13</v>
      </c>
      <c r="F39" s="12"/>
    </row>
    <row r="40" spans="1:6" s="51" customFormat="1" ht="29" x14ac:dyDescent="0.35">
      <c r="A40" s="12" t="s">
        <v>109</v>
      </c>
      <c r="B40" s="12">
        <f>365*('Distribution and thermal energy'!C2+'Distribution and thermal energy'!C3+'Distribution and thermal energy'!C4)</f>
        <v>0</v>
      </c>
      <c r="C40" s="12" t="s">
        <v>39</v>
      </c>
      <c r="D40" s="12" t="s">
        <v>114</v>
      </c>
      <c r="E40" s="12" t="s">
        <v>13</v>
      </c>
      <c r="F40" s="12"/>
    </row>
    <row r="41" spans="1:6" s="51" customFormat="1" ht="29" x14ac:dyDescent="0.35">
      <c r="A41" s="12" t="s">
        <v>110</v>
      </c>
      <c r="B41" s="12">
        <f>365*('Distribution and thermal energy'!C2+'Distribution and thermal energy'!C3+'Distribution and thermal energy'!C4+'Distribution and thermal energy'!C5)</f>
        <v>0</v>
      </c>
      <c r="C41" s="12" t="s">
        <v>39</v>
      </c>
      <c r="D41" s="12" t="s">
        <v>115</v>
      </c>
      <c r="E41" s="12" t="s">
        <v>13</v>
      </c>
      <c r="F41" s="12"/>
    </row>
    <row r="42" spans="1:6" s="51" customFormat="1" ht="29" x14ac:dyDescent="0.35">
      <c r="A42" s="12" t="s">
        <v>111</v>
      </c>
      <c r="B42" s="12">
        <f>365*('Distribution and thermal energy'!C2+'Distribution and thermal energy'!C3+'Distribution and thermal energy'!C4+'Distribution and thermal energy'!C5+'Distribution and thermal energy'!C6)</f>
        <v>0</v>
      </c>
      <c r="C42" s="12" t="s">
        <v>39</v>
      </c>
      <c r="D42" s="12" t="s">
        <v>116</v>
      </c>
      <c r="E42" s="12" t="s">
        <v>13</v>
      </c>
      <c r="F42" s="12"/>
    </row>
    <row r="43" spans="1:6" ht="32" customHeight="1" x14ac:dyDescent="0.35">
      <c r="A43" s="12" t="s">
        <v>40</v>
      </c>
      <c r="B43" s="63">
        <f>'Baseline emissions_EPC'!B22</f>
        <v>1.5910000000000001E-2</v>
      </c>
      <c r="C43" s="12" t="s">
        <v>41</v>
      </c>
      <c r="D43" s="12" t="s">
        <v>42</v>
      </c>
      <c r="E43" s="12" t="s">
        <v>43</v>
      </c>
      <c r="F43" s="12"/>
    </row>
    <row r="44" spans="1:6" ht="43.5" customHeight="1" x14ac:dyDescent="0.35">
      <c r="A44" s="12" t="s">
        <v>47</v>
      </c>
      <c r="B44" s="63">
        <f>(B43*(5/(5+14)))</f>
        <v>4.1868421052631581E-3</v>
      </c>
      <c r="C44" s="12" t="s">
        <v>41</v>
      </c>
      <c r="D44" s="12" t="s">
        <v>211</v>
      </c>
      <c r="E44" s="12" t="s">
        <v>13</v>
      </c>
      <c r="F44" s="60" t="s">
        <v>219</v>
      </c>
    </row>
    <row r="45" spans="1:6" ht="43.5" customHeight="1" x14ac:dyDescent="0.35">
      <c r="A45" s="12" t="s">
        <v>45</v>
      </c>
      <c r="B45" s="12">
        <v>0.9</v>
      </c>
      <c r="C45" s="12" t="s">
        <v>23</v>
      </c>
      <c r="D45" s="12" t="s">
        <v>46</v>
      </c>
      <c r="E45" s="12" t="s">
        <v>13</v>
      </c>
      <c r="F45" s="12" t="s">
        <v>35</v>
      </c>
    </row>
    <row r="46" spans="1:6" x14ac:dyDescent="0.35">
      <c r="A46" s="12" t="s">
        <v>174</v>
      </c>
      <c r="B46" s="13">
        <f>B29*(($B$34*$B$36)+$B$37)*$B$35</f>
        <v>0</v>
      </c>
      <c r="C46" s="12" t="s">
        <v>56</v>
      </c>
      <c r="D46" s="12" t="s">
        <v>198</v>
      </c>
      <c r="E46" s="12"/>
      <c r="F46" s="12"/>
    </row>
    <row r="47" spans="1:6" x14ac:dyDescent="0.35">
      <c r="A47" s="12" t="s">
        <v>181</v>
      </c>
      <c r="B47" s="13">
        <f t="shared" ref="B47:B50" si="2">B30*(($B$34*$B$36)+$B$37)*$B$35</f>
        <v>0</v>
      </c>
      <c r="C47" s="12" t="s">
        <v>56</v>
      </c>
      <c r="D47" s="12" t="s">
        <v>198</v>
      </c>
      <c r="E47" s="12"/>
      <c r="F47" s="12"/>
    </row>
    <row r="48" spans="1:6" x14ac:dyDescent="0.35">
      <c r="A48" s="12" t="s">
        <v>182</v>
      </c>
      <c r="B48" s="13">
        <f t="shared" si="2"/>
        <v>0</v>
      </c>
      <c r="C48" s="12" t="s">
        <v>56</v>
      </c>
      <c r="D48" s="12" t="s">
        <v>198</v>
      </c>
      <c r="E48" s="12"/>
      <c r="F48" s="12"/>
    </row>
    <row r="49" spans="1:6" x14ac:dyDescent="0.35">
      <c r="A49" s="12" t="s">
        <v>183</v>
      </c>
      <c r="B49" s="13">
        <f t="shared" si="2"/>
        <v>0</v>
      </c>
      <c r="C49" s="12" t="s">
        <v>56</v>
      </c>
      <c r="D49" s="12" t="s">
        <v>198</v>
      </c>
      <c r="E49" s="12"/>
      <c r="F49" s="12"/>
    </row>
    <row r="50" spans="1:6" x14ac:dyDescent="0.35">
      <c r="A50" s="12" t="s">
        <v>184</v>
      </c>
      <c r="B50" s="13">
        <f t="shared" si="2"/>
        <v>0</v>
      </c>
      <c r="C50" s="12" t="s">
        <v>56</v>
      </c>
      <c r="D50" s="12" t="s">
        <v>198</v>
      </c>
      <c r="E50" s="12"/>
      <c r="F50" s="12"/>
    </row>
    <row r="53" spans="1:6" x14ac:dyDescent="0.35">
      <c r="A53" s="14" t="s">
        <v>99</v>
      </c>
    </row>
    <row r="54" spans="1:6" x14ac:dyDescent="0.35">
      <c r="A54" s="14" t="s">
        <v>100</v>
      </c>
      <c r="B54" t="s">
        <v>101</v>
      </c>
    </row>
    <row r="55" spans="1:6" x14ac:dyDescent="0.35">
      <c r="A55" s="14" t="s">
        <v>102</v>
      </c>
      <c r="B55" t="s">
        <v>103</v>
      </c>
    </row>
    <row r="56" spans="1:6" x14ac:dyDescent="0.35">
      <c r="A56" s="14" t="s">
        <v>104</v>
      </c>
      <c r="B56" t="s">
        <v>53</v>
      </c>
    </row>
    <row r="57" spans="1:6" ht="15" thickBot="1" x14ac:dyDescent="0.4"/>
    <row r="58" spans="1:6" ht="15" thickBot="1" x14ac:dyDescent="0.4">
      <c r="A58" s="39" t="s">
        <v>105</v>
      </c>
    </row>
    <row r="61" spans="1:6" ht="15" thickBot="1" x14ac:dyDescent="0.4"/>
    <row r="62" spans="1:6" x14ac:dyDescent="0.35">
      <c r="A62" s="36" t="s">
        <v>191</v>
      </c>
    </row>
    <row r="63" spans="1:6" ht="15" thickBot="1" x14ac:dyDescent="0.4">
      <c r="A63" s="37">
        <v>0</v>
      </c>
    </row>
  </sheetData>
  <mergeCells count="1">
    <mergeCell ref="A6:B6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EAAC-82A8-4CB2-8F86-D218212289D9}">
  <sheetPr codeName="Sheet5"/>
  <dimension ref="A1:L34"/>
  <sheetViews>
    <sheetView topLeftCell="A25" workbookViewId="0">
      <selection activeCell="D16" sqref="D16"/>
    </sheetView>
  </sheetViews>
  <sheetFormatPr defaultColWidth="8.90625" defaultRowHeight="14.5" x14ac:dyDescent="0.35"/>
  <cols>
    <col min="1" max="1" width="22" customWidth="1"/>
    <col min="2" max="2" width="25.90625" customWidth="1"/>
    <col min="3" max="3" width="19.453125" customWidth="1"/>
    <col min="4" max="4" width="62.36328125" customWidth="1"/>
    <col min="5" max="5" width="14.6328125" customWidth="1"/>
    <col min="6" max="6" width="96.453125" customWidth="1"/>
    <col min="9" max="9" width="16" customWidth="1"/>
    <col min="12" max="12" width="16.54296875" customWidth="1"/>
  </cols>
  <sheetData>
    <row r="1" spans="1:6" ht="15" thickBot="1" x14ac:dyDescent="0.4">
      <c r="A1" s="25" t="s">
        <v>22</v>
      </c>
      <c r="B1" s="24" t="s">
        <v>203</v>
      </c>
    </row>
    <row r="3" spans="1:6" x14ac:dyDescent="0.35">
      <c r="A3" t="s">
        <v>97</v>
      </c>
    </row>
    <row r="11" spans="1:6" ht="46.5" x14ac:dyDescent="0.35">
      <c r="A11" s="1" t="s">
        <v>0</v>
      </c>
      <c r="B11" s="2" t="s">
        <v>1</v>
      </c>
      <c r="C11" s="2" t="s">
        <v>2</v>
      </c>
      <c r="D11" s="1" t="s">
        <v>3</v>
      </c>
      <c r="E11" s="1" t="s">
        <v>7</v>
      </c>
      <c r="F11" s="1" t="s">
        <v>4</v>
      </c>
    </row>
    <row r="12" spans="1:6" ht="43.5" x14ac:dyDescent="0.35">
      <c r="A12" s="12" t="s">
        <v>147</v>
      </c>
      <c r="B12" s="20">
        <f>B21*(($B$27*$B$28)+($B$26*(1-$B$28)))</f>
        <v>147377.875</v>
      </c>
      <c r="C12" s="12" t="s">
        <v>26</v>
      </c>
      <c r="D12" s="12" t="s">
        <v>148</v>
      </c>
      <c r="E12" s="12" t="s">
        <v>13</v>
      </c>
      <c r="F12" s="12" t="s">
        <v>98</v>
      </c>
    </row>
    <row r="13" spans="1:6" ht="43.5" x14ac:dyDescent="0.35">
      <c r="A13" s="12" t="s">
        <v>149</v>
      </c>
      <c r="B13" s="20">
        <f>B22*(($B$27*$B$28)+($B$26*(1-$B$28)))</f>
        <v>442133.62499999994</v>
      </c>
      <c r="C13" s="12" t="s">
        <v>26</v>
      </c>
      <c r="D13" s="12" t="s">
        <v>187</v>
      </c>
      <c r="E13" s="12" t="s">
        <v>13</v>
      </c>
      <c r="F13" s="12" t="s">
        <v>98</v>
      </c>
    </row>
    <row r="14" spans="1:6" ht="43.5" x14ac:dyDescent="0.35">
      <c r="A14" s="12" t="s">
        <v>150</v>
      </c>
      <c r="B14" s="20">
        <f t="shared" ref="B14:B15" si="0">B23*(($B$27*$B$28)+($B$26*(1-$B$28)))</f>
        <v>442133.62499999994</v>
      </c>
      <c r="C14" s="12" t="s">
        <v>26</v>
      </c>
      <c r="D14" s="12" t="s">
        <v>188</v>
      </c>
      <c r="E14" s="12" t="s">
        <v>13</v>
      </c>
      <c r="F14" s="12" t="s">
        <v>98</v>
      </c>
    </row>
    <row r="15" spans="1:6" ht="43.5" x14ac:dyDescent="0.35">
      <c r="A15" s="12" t="s">
        <v>151</v>
      </c>
      <c r="B15" s="20">
        <f t="shared" si="0"/>
        <v>442133.62499999994</v>
      </c>
      <c r="C15" s="12" t="s">
        <v>26</v>
      </c>
      <c r="D15" s="12" t="s">
        <v>189</v>
      </c>
      <c r="E15" s="12" t="s">
        <v>13</v>
      </c>
      <c r="F15" s="12" t="s">
        <v>98</v>
      </c>
    </row>
    <row r="16" spans="1:6" ht="43.5" x14ac:dyDescent="0.35">
      <c r="A16" s="12" t="s">
        <v>152</v>
      </c>
      <c r="B16" s="20">
        <f>B25*(($B$27*$B$28)+($B$26*(1-$B$28)))</f>
        <v>442133.62499999994</v>
      </c>
      <c r="C16" s="12" t="s">
        <v>26</v>
      </c>
      <c r="D16" s="12" t="s">
        <v>190</v>
      </c>
      <c r="E16" s="12" t="s">
        <v>13</v>
      </c>
      <c r="F16" s="12" t="s">
        <v>98</v>
      </c>
    </row>
    <row r="17" spans="1:12" ht="29" x14ac:dyDescent="0.35">
      <c r="A17" s="12" t="s">
        <v>24</v>
      </c>
      <c r="B17" s="12">
        <v>0.89</v>
      </c>
      <c r="C17" s="12" t="s">
        <v>23</v>
      </c>
      <c r="D17" s="12" t="s">
        <v>25</v>
      </c>
      <c r="E17" s="12" t="s">
        <v>44</v>
      </c>
      <c r="F17" s="12" t="s">
        <v>186</v>
      </c>
    </row>
    <row r="18" spans="1:12" ht="29" x14ac:dyDescent="0.35">
      <c r="A18" s="12" t="s">
        <v>38</v>
      </c>
      <c r="B18" s="12">
        <v>1.5599999999999999E-2</v>
      </c>
      <c r="C18" s="12" t="s">
        <v>28</v>
      </c>
      <c r="D18" s="12" t="s">
        <v>93</v>
      </c>
      <c r="E18" s="12" t="s">
        <v>44</v>
      </c>
      <c r="F18" s="12"/>
    </row>
    <row r="19" spans="1:12" x14ac:dyDescent="0.35">
      <c r="A19" s="12" t="s">
        <v>37</v>
      </c>
      <c r="B19" s="20">
        <v>112</v>
      </c>
      <c r="C19" s="12" t="s">
        <v>31</v>
      </c>
      <c r="D19" s="12" t="s">
        <v>32</v>
      </c>
      <c r="E19" s="12" t="s">
        <v>44</v>
      </c>
      <c r="F19" s="12" t="s">
        <v>204</v>
      </c>
    </row>
    <row r="20" spans="1:12" x14ac:dyDescent="0.35">
      <c r="A20" s="12" t="s">
        <v>36</v>
      </c>
      <c r="B20" s="13">
        <f>'Project Emissions_EPC'!B37</f>
        <v>9.4600000000000009</v>
      </c>
      <c r="C20" s="12" t="s">
        <v>31</v>
      </c>
      <c r="D20" s="12" t="s">
        <v>33</v>
      </c>
      <c r="E20" s="12" t="s">
        <v>44</v>
      </c>
      <c r="F20" s="12" t="s">
        <v>204</v>
      </c>
    </row>
    <row r="21" spans="1:12" ht="29" x14ac:dyDescent="0.35">
      <c r="A21" s="12" t="s">
        <v>107</v>
      </c>
      <c r="B21" s="12">
        <f>365*'Distribution and thermal energy'!B2</f>
        <v>18250000</v>
      </c>
      <c r="C21" s="12" t="s">
        <v>39</v>
      </c>
      <c r="D21" s="12" t="s">
        <v>112</v>
      </c>
      <c r="E21" s="12" t="s">
        <v>13</v>
      </c>
      <c r="F21" s="12"/>
    </row>
    <row r="22" spans="1:12" ht="29" x14ac:dyDescent="0.35">
      <c r="A22" s="12" t="s">
        <v>108</v>
      </c>
      <c r="B22" s="12">
        <f>365*('Distribution and thermal energy'!B2+'Distribution and thermal energy'!B3)</f>
        <v>54750000</v>
      </c>
      <c r="C22" s="12" t="s">
        <v>39</v>
      </c>
      <c r="D22" s="12" t="s">
        <v>113</v>
      </c>
      <c r="E22" s="12" t="s">
        <v>13</v>
      </c>
      <c r="F22" s="12"/>
    </row>
    <row r="23" spans="1:12" ht="29" x14ac:dyDescent="0.35">
      <c r="A23" s="12" t="s">
        <v>109</v>
      </c>
      <c r="B23" s="12">
        <f>365*('Distribution and thermal energy'!B2+'Distribution and thermal energy'!B3+'Distribution and thermal energy'!B4)</f>
        <v>54750000</v>
      </c>
      <c r="C23" s="12" t="s">
        <v>39</v>
      </c>
      <c r="D23" s="12" t="s">
        <v>114</v>
      </c>
      <c r="E23" s="12" t="s">
        <v>13</v>
      </c>
      <c r="F23" s="12"/>
    </row>
    <row r="24" spans="1:12" ht="29" x14ac:dyDescent="0.35">
      <c r="A24" s="12" t="s">
        <v>110</v>
      </c>
      <c r="B24" s="12">
        <f>365*('Distribution and thermal energy'!B2+'Distribution and thermal energy'!B3+'Distribution and thermal energy'!B4+'Distribution and thermal energy'!B5)</f>
        <v>54750000</v>
      </c>
      <c r="C24" s="12" t="s">
        <v>39</v>
      </c>
      <c r="D24" s="12" t="s">
        <v>115</v>
      </c>
      <c r="E24" s="12" t="s">
        <v>13</v>
      </c>
      <c r="F24" s="12"/>
    </row>
    <row r="25" spans="1:12" ht="29" x14ac:dyDescent="0.35">
      <c r="A25" s="12" t="s">
        <v>111</v>
      </c>
      <c r="B25" s="12">
        <f>365*('Distribution and thermal energy'!B2+'Distribution and thermal energy'!B3+'Distribution and thermal energy'!B4+'Distribution and thermal energy'!B5+'Distribution and thermal energy'!B6)</f>
        <v>54750000</v>
      </c>
      <c r="C25" s="12" t="s">
        <v>39</v>
      </c>
      <c r="D25" s="12" t="s">
        <v>116</v>
      </c>
      <c r="E25" s="12" t="s">
        <v>13</v>
      </c>
      <c r="F25" s="12"/>
    </row>
    <row r="26" spans="1:12" ht="43.5" x14ac:dyDescent="0.35">
      <c r="A26" s="12" t="s">
        <v>40</v>
      </c>
      <c r="B26" s="12">
        <f>'Baseline emissions_EPC'!B22</f>
        <v>1.5910000000000001E-2</v>
      </c>
      <c r="C26" s="12" t="s">
        <v>41</v>
      </c>
      <c r="D26" s="12" t="s">
        <v>42</v>
      </c>
      <c r="E26" s="12" t="s">
        <v>43</v>
      </c>
      <c r="F26" s="12"/>
    </row>
    <row r="27" spans="1:12" ht="29" x14ac:dyDescent="0.35">
      <c r="A27" s="12" t="s">
        <v>47</v>
      </c>
      <c r="B27" s="12">
        <v>7.2049999999999996E-3</v>
      </c>
      <c r="C27" s="12" t="s">
        <v>41</v>
      </c>
      <c r="D27" s="12" t="s">
        <v>48</v>
      </c>
      <c r="E27" s="12" t="s">
        <v>13</v>
      </c>
      <c r="F27" s="12" t="s">
        <v>217</v>
      </c>
    </row>
    <row r="28" spans="1:12" ht="29" x14ac:dyDescent="0.35">
      <c r="A28" s="12" t="s">
        <v>45</v>
      </c>
      <c r="B28" s="12">
        <v>0.9</v>
      </c>
      <c r="C28" s="12" t="s">
        <v>23</v>
      </c>
      <c r="D28" s="12" t="s">
        <v>46</v>
      </c>
      <c r="E28" s="12" t="s">
        <v>13</v>
      </c>
      <c r="F28" s="12" t="s">
        <v>35</v>
      </c>
    </row>
    <row r="29" spans="1:12" x14ac:dyDescent="0.35">
      <c r="A29" s="12" t="s">
        <v>137</v>
      </c>
      <c r="B29" s="20">
        <f>B12*(($B$17*$B$19)+$B$20)*$B$18</f>
        <v>250923.21192900001</v>
      </c>
      <c r="C29" s="12" t="s">
        <v>56</v>
      </c>
      <c r="D29" s="12" t="s">
        <v>138</v>
      </c>
      <c r="E29" s="12"/>
      <c r="F29" s="12"/>
      <c r="H29" s="14"/>
      <c r="I29" s="14"/>
      <c r="J29" s="14"/>
      <c r="K29" s="41"/>
      <c r="L29" s="41"/>
    </row>
    <row r="30" spans="1:12" x14ac:dyDescent="0.35">
      <c r="A30" s="12" t="s">
        <v>139</v>
      </c>
      <c r="B30" s="20">
        <f t="shared" ref="B30:B33" si="1">B13*(($B$17*$B$19)+$B$20)*$B$18</f>
        <v>752769.63578700006</v>
      </c>
      <c r="C30" s="12" t="s">
        <v>56</v>
      </c>
      <c r="D30" s="12" t="s">
        <v>143</v>
      </c>
      <c r="E30" s="12"/>
      <c r="F30" s="12"/>
      <c r="H30" s="14"/>
      <c r="I30" s="14"/>
      <c r="J30" s="14"/>
      <c r="L30" s="41"/>
    </row>
    <row r="31" spans="1:12" x14ac:dyDescent="0.35">
      <c r="A31" s="12" t="s">
        <v>140</v>
      </c>
      <c r="B31" s="20">
        <f t="shared" si="1"/>
        <v>752769.63578700006</v>
      </c>
      <c r="C31" s="12" t="s">
        <v>56</v>
      </c>
      <c r="D31" s="12" t="s">
        <v>144</v>
      </c>
      <c r="E31" s="12"/>
      <c r="F31" s="12"/>
      <c r="H31" s="14"/>
      <c r="I31" s="14"/>
      <c r="J31" s="14"/>
      <c r="L31" s="41"/>
    </row>
    <row r="32" spans="1:12" x14ac:dyDescent="0.35">
      <c r="A32" s="12" t="s">
        <v>141</v>
      </c>
      <c r="B32" s="20">
        <f t="shared" si="1"/>
        <v>752769.63578700006</v>
      </c>
      <c r="C32" s="12" t="s">
        <v>56</v>
      </c>
      <c r="D32" s="12" t="s">
        <v>145</v>
      </c>
      <c r="E32" s="12"/>
      <c r="F32" s="12"/>
      <c r="H32" s="14"/>
      <c r="I32" s="14"/>
      <c r="J32" s="14"/>
      <c r="L32" s="41"/>
    </row>
    <row r="33" spans="1:12" x14ac:dyDescent="0.35">
      <c r="A33" s="12" t="s">
        <v>142</v>
      </c>
      <c r="B33" s="20">
        <f t="shared" si="1"/>
        <v>752769.63578700006</v>
      </c>
      <c r="C33" s="12" t="s">
        <v>56</v>
      </c>
      <c r="D33" s="12" t="s">
        <v>146</v>
      </c>
      <c r="E33" s="12"/>
      <c r="F33" s="12"/>
      <c r="H33" s="14"/>
      <c r="I33" s="14"/>
      <c r="J33" s="14"/>
      <c r="L33" s="41"/>
    </row>
    <row r="34" spans="1:12" x14ac:dyDescent="0.35">
      <c r="H34" s="41"/>
      <c r="I34" s="41"/>
      <c r="J34" s="4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1817-B8A0-4901-8A3A-64E7AFCA8535}">
  <sheetPr codeName="Sheet6"/>
  <dimension ref="A1:H20"/>
  <sheetViews>
    <sheetView zoomScaleNormal="100" workbookViewId="0">
      <selection activeCell="E15" sqref="E15"/>
    </sheetView>
  </sheetViews>
  <sheetFormatPr defaultColWidth="8.90625" defaultRowHeight="14.5" x14ac:dyDescent="0.35"/>
  <cols>
    <col min="1" max="1" width="31.1796875" customWidth="1"/>
    <col min="2" max="2" width="18.36328125" customWidth="1"/>
    <col min="3" max="3" width="16.453125" customWidth="1"/>
    <col min="4" max="4" width="17.54296875" customWidth="1"/>
    <col min="5" max="5" width="21.08984375" customWidth="1"/>
  </cols>
  <sheetData>
    <row r="1" spans="1:8" ht="39" customHeight="1" x14ac:dyDescent="0.35">
      <c r="A1" s="22" t="s">
        <v>5</v>
      </c>
      <c r="B1" s="23" t="s">
        <v>55</v>
      </c>
      <c r="C1" s="23" t="s">
        <v>89</v>
      </c>
      <c r="D1" s="23" t="s">
        <v>227</v>
      </c>
      <c r="E1" s="23" t="s">
        <v>229</v>
      </c>
    </row>
    <row r="2" spans="1:8" x14ac:dyDescent="0.35">
      <c r="A2" s="53" t="s">
        <v>205</v>
      </c>
      <c r="B2" s="54">
        <v>50000</v>
      </c>
      <c r="C2" s="54">
        <v>0</v>
      </c>
      <c r="D2" s="72">
        <f>SUM(B2:C2)</f>
        <v>50000</v>
      </c>
      <c r="E2" s="54">
        <f>SUM(B2,C2)</f>
        <v>50000</v>
      </c>
    </row>
    <row r="3" spans="1:8" x14ac:dyDescent="0.35">
      <c r="A3" s="53" t="s">
        <v>206</v>
      </c>
      <c r="B3" s="54">
        <v>100000</v>
      </c>
      <c r="C3" s="54">
        <v>0</v>
      </c>
      <c r="D3" s="72">
        <f t="shared" ref="D3:D6" si="0">SUM(B3:C3)</f>
        <v>100000</v>
      </c>
      <c r="E3" s="54">
        <f>E2+D3</f>
        <v>150000</v>
      </c>
      <c r="G3" s="4"/>
      <c r="H3" s="4"/>
    </row>
    <row r="4" spans="1:8" x14ac:dyDescent="0.35">
      <c r="A4" s="53" t="s">
        <v>207</v>
      </c>
      <c r="B4" s="54">
        <v>0</v>
      </c>
      <c r="C4" s="54">
        <v>0</v>
      </c>
      <c r="D4" s="72">
        <f t="shared" si="0"/>
        <v>0</v>
      </c>
      <c r="E4" s="54">
        <f t="shared" ref="E4:E6" si="1">E3+D4</f>
        <v>150000</v>
      </c>
      <c r="G4" s="4"/>
      <c r="H4" s="4"/>
    </row>
    <row r="5" spans="1:8" x14ac:dyDescent="0.35">
      <c r="A5" s="53" t="s">
        <v>208</v>
      </c>
      <c r="B5" s="54">
        <v>0</v>
      </c>
      <c r="C5" s="54">
        <v>0</v>
      </c>
      <c r="D5" s="72">
        <f t="shared" si="0"/>
        <v>0</v>
      </c>
      <c r="E5" s="54">
        <f t="shared" si="1"/>
        <v>150000</v>
      </c>
    </row>
    <row r="6" spans="1:8" x14ac:dyDescent="0.35">
      <c r="A6" s="53" t="s">
        <v>209</v>
      </c>
      <c r="B6" s="54">
        <v>0</v>
      </c>
      <c r="C6" s="54">
        <v>0</v>
      </c>
      <c r="D6" s="72">
        <f t="shared" si="0"/>
        <v>0</v>
      </c>
      <c r="E6" s="54">
        <f t="shared" si="1"/>
        <v>150000</v>
      </c>
    </row>
    <row r="7" spans="1:8" x14ac:dyDescent="0.35">
      <c r="A7" s="9"/>
      <c r="D7" t="s">
        <v>59</v>
      </c>
      <c r="E7" s="59">
        <f>AVERAGE(E2:E6)</f>
        <v>130000</v>
      </c>
    </row>
    <row r="8" spans="1:8" x14ac:dyDescent="0.35">
      <c r="C8" s="10" t="s">
        <v>59</v>
      </c>
      <c r="D8" s="5">
        <f>AVERAGE(D2:D6)</f>
        <v>30000</v>
      </c>
    </row>
    <row r="11" spans="1:8" x14ac:dyDescent="0.35">
      <c r="A11" s="17" t="s">
        <v>60</v>
      </c>
    </row>
    <row r="14" spans="1:8" x14ac:dyDescent="0.35">
      <c r="A14" s="10" t="s">
        <v>71</v>
      </c>
      <c r="B14" s="10" t="s">
        <v>61</v>
      </c>
      <c r="C14" s="44">
        <f>('Project Emissions_ICS'!B26-'Project Emissions_ICS'!B27)*365</f>
        <v>3.1773250000000002</v>
      </c>
      <c r="D14" s="10" t="s">
        <v>62</v>
      </c>
    </row>
    <row r="15" spans="1:8" x14ac:dyDescent="0.35">
      <c r="A15" s="10" t="s">
        <v>72</v>
      </c>
      <c r="B15" s="10" t="s">
        <v>63</v>
      </c>
      <c r="C15" s="45">
        <f>'Project Emissions_ICS'!B18</f>
        <v>1.5599999999999999E-2</v>
      </c>
      <c r="D15" s="46" t="s">
        <v>192</v>
      </c>
    </row>
    <row r="16" spans="1:8" x14ac:dyDescent="0.35">
      <c r="A16" s="10" t="s">
        <v>64</v>
      </c>
      <c r="B16" s="10" t="s">
        <v>65</v>
      </c>
      <c r="C16" s="44">
        <f>(C14*C15)</f>
        <v>4.9566270000000003E-2</v>
      </c>
      <c r="D16" s="10" t="s">
        <v>62</v>
      </c>
    </row>
    <row r="17" spans="1:4" x14ac:dyDescent="0.35">
      <c r="A17" s="10"/>
      <c r="B17" s="10"/>
      <c r="C17" s="44"/>
      <c r="D17" s="10"/>
    </row>
    <row r="18" spans="1:4" x14ac:dyDescent="0.35">
      <c r="A18" s="10" t="s">
        <v>66</v>
      </c>
      <c r="B18" s="10" t="s">
        <v>67</v>
      </c>
      <c r="C18" s="47">
        <v>3.6</v>
      </c>
      <c r="D18" s="10" t="s">
        <v>68</v>
      </c>
    </row>
    <row r="19" spans="1:4" ht="29" x14ac:dyDescent="0.35">
      <c r="A19" s="12" t="s">
        <v>69</v>
      </c>
      <c r="B19" s="10" t="s">
        <v>70</v>
      </c>
      <c r="C19" s="44">
        <f>C16/C18</f>
        <v>1.3768408333333334E-2</v>
      </c>
      <c r="D19" s="10" t="s">
        <v>62</v>
      </c>
    </row>
    <row r="20" spans="1:4" ht="29" x14ac:dyDescent="0.35">
      <c r="A20" s="48" t="s">
        <v>69</v>
      </c>
      <c r="B20" s="19" t="s">
        <v>73</v>
      </c>
      <c r="C20" s="49">
        <f>C19*1000</f>
        <v>13.768408333333333</v>
      </c>
      <c r="D20" s="19" t="s">
        <v>62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9873-D4C3-4CFC-8D5F-A189EE9F7A26}">
  <sheetPr codeName="Sheet7"/>
  <dimension ref="A2:F26"/>
  <sheetViews>
    <sheetView topLeftCell="A13" zoomScaleNormal="100" workbookViewId="0">
      <selection activeCell="C20" sqref="C20"/>
    </sheetView>
  </sheetViews>
  <sheetFormatPr defaultColWidth="8.90625" defaultRowHeight="14.5" x14ac:dyDescent="0.35"/>
  <cols>
    <col min="1" max="1" width="41" customWidth="1"/>
    <col min="2" max="2" width="18.6328125" customWidth="1"/>
    <col min="3" max="3" width="15.54296875" customWidth="1"/>
    <col min="4" max="4" width="17.453125" customWidth="1"/>
    <col min="5" max="5" width="14.36328125" customWidth="1"/>
    <col min="6" max="6" width="13.36328125" customWidth="1"/>
    <col min="7" max="7" width="12.453125" customWidth="1"/>
  </cols>
  <sheetData>
    <row r="2" spans="1:6" x14ac:dyDescent="0.35">
      <c r="A2" s="17" t="s">
        <v>185</v>
      </c>
    </row>
    <row r="3" spans="1:6" x14ac:dyDescent="0.35">
      <c r="A3" s="86"/>
      <c r="B3" s="86"/>
    </row>
    <row r="4" spans="1:6" x14ac:dyDescent="0.35">
      <c r="A4" s="87" t="s">
        <v>14</v>
      </c>
      <c r="B4" s="87"/>
    </row>
    <row r="5" spans="1:6" x14ac:dyDescent="0.35">
      <c r="A5" s="6"/>
    </row>
    <row r="6" spans="1:6" x14ac:dyDescent="0.35">
      <c r="A6" s="85" t="s">
        <v>5</v>
      </c>
      <c r="B6" s="7" t="s">
        <v>200</v>
      </c>
      <c r="C6" s="7" t="s">
        <v>201</v>
      </c>
      <c r="D6" s="7" t="s">
        <v>202</v>
      </c>
    </row>
    <row r="7" spans="1:6" x14ac:dyDescent="0.35">
      <c r="A7" s="85"/>
      <c r="B7" s="8"/>
      <c r="C7" s="8"/>
      <c r="D7" s="8"/>
    </row>
    <row r="8" spans="1:6" x14ac:dyDescent="0.35">
      <c r="A8" s="3" t="str">
        <f>'Distribution and thermal energy'!A2</f>
        <v>Year-1</v>
      </c>
      <c r="B8" s="5">
        <f>'Baseline emissions_ICS'!$B23-'Project Emissions_ICS'!$B29</f>
        <v>243434.82185100004</v>
      </c>
      <c r="C8" s="5">
        <f>'Baseline emissions_EPC'!B23-('Project Emissions_EPC'!B24+'Project Emissions_EPC'!B46)</f>
        <v>0</v>
      </c>
      <c r="D8" s="5">
        <f>B8+C8</f>
        <v>243434.82185100004</v>
      </c>
      <c r="E8" s="57"/>
      <c r="F8" s="58"/>
    </row>
    <row r="9" spans="1:6" x14ac:dyDescent="0.35">
      <c r="A9" s="3" t="str">
        <f>'Distribution and thermal energy'!A3</f>
        <v>Year-2</v>
      </c>
      <c r="B9" s="5">
        <f>'Baseline emissions_ICS'!$B24-'Project Emissions_ICS'!$B30</f>
        <v>730304.46555299999</v>
      </c>
      <c r="C9" s="5">
        <f>'Baseline emissions_EPC'!B24-('Project Emissions_EPC'!B25+'Project Emissions_EPC'!B47)</f>
        <v>0</v>
      </c>
      <c r="D9" s="5">
        <f t="shared" ref="D9:D12" si="0">B9+C9</f>
        <v>730304.46555299999</v>
      </c>
      <c r="E9" s="57"/>
      <c r="F9" s="58"/>
    </row>
    <row r="10" spans="1:6" x14ac:dyDescent="0.35">
      <c r="A10" s="3" t="str">
        <f>'Distribution and thermal energy'!A4</f>
        <v>Year-3</v>
      </c>
      <c r="B10" s="5">
        <f>'Baseline emissions_ICS'!$B25-'Project Emissions_ICS'!$B31</f>
        <v>730304.46555299999</v>
      </c>
      <c r="C10" s="5">
        <f>'Baseline emissions_EPC'!B25-('Project Emissions_EPC'!B26+'Project Emissions_EPC'!B48)</f>
        <v>0</v>
      </c>
      <c r="D10" s="5">
        <f t="shared" si="0"/>
        <v>730304.46555299999</v>
      </c>
      <c r="E10" s="57"/>
      <c r="F10" s="58"/>
    </row>
    <row r="11" spans="1:6" x14ac:dyDescent="0.35">
      <c r="A11" s="3" t="str">
        <f>'Distribution and thermal energy'!A5</f>
        <v>Year-4</v>
      </c>
      <c r="B11" s="5">
        <f>'Baseline emissions_ICS'!$B26-'Project Emissions_ICS'!$B32</f>
        <v>730304.46555299999</v>
      </c>
      <c r="C11" s="5">
        <f>'Baseline emissions_EPC'!B26-('Project Emissions_EPC'!B27+'Project Emissions_EPC'!B49)</f>
        <v>0</v>
      </c>
      <c r="D11" s="5">
        <f t="shared" si="0"/>
        <v>730304.46555299999</v>
      </c>
      <c r="E11" s="57"/>
      <c r="F11" s="58"/>
    </row>
    <row r="12" spans="1:6" x14ac:dyDescent="0.35">
      <c r="A12" s="3" t="str">
        <f>'Distribution and thermal energy'!A6</f>
        <v>Year-5</v>
      </c>
      <c r="B12" s="5">
        <f>'Baseline emissions_ICS'!$B27-'Project Emissions_ICS'!$B33</f>
        <v>730304.46555299999</v>
      </c>
      <c r="C12" s="5">
        <f>'Baseline emissions_EPC'!B27-('Project Emissions_EPC'!B28+'Project Emissions_EPC'!B50)</f>
        <v>0</v>
      </c>
      <c r="D12" s="5">
        <f t="shared" si="0"/>
        <v>730304.46555299999</v>
      </c>
      <c r="E12" s="57"/>
      <c r="F12" s="58"/>
    </row>
    <row r="13" spans="1:6" ht="15" thickBot="1" x14ac:dyDescent="0.4">
      <c r="A13" s="38" t="s">
        <v>6</v>
      </c>
      <c r="B13" s="29">
        <f>SUM(B8:B12)</f>
        <v>3164652.6840630001</v>
      </c>
      <c r="C13" s="29">
        <f>SUM(C8:C12)</f>
        <v>0</v>
      </c>
      <c r="D13" s="29">
        <f>SUM(D8:D12)</f>
        <v>3164652.6840630001</v>
      </c>
    </row>
    <row r="14" spans="1:6" ht="15" thickBot="1" x14ac:dyDescent="0.4">
      <c r="A14" s="30" t="s">
        <v>15</v>
      </c>
      <c r="B14" s="52">
        <f>B13/5</f>
        <v>632930.53681259998</v>
      </c>
      <c r="C14" s="52">
        <f>C13/5</f>
        <v>0</v>
      </c>
      <c r="D14" s="31">
        <f>D13/5</f>
        <v>632930.53681259998</v>
      </c>
    </row>
    <row r="16" spans="1:6" x14ac:dyDescent="0.35">
      <c r="B16" s="59"/>
      <c r="C16" s="59"/>
      <c r="D16" s="59"/>
    </row>
    <row r="17" spans="2:4" x14ac:dyDescent="0.35">
      <c r="B17" s="59"/>
      <c r="C17" s="59"/>
      <c r="D17" s="59"/>
    </row>
    <row r="18" spans="2:4" x14ac:dyDescent="0.35">
      <c r="B18" s="59"/>
      <c r="C18" s="59"/>
      <c r="D18" s="59"/>
    </row>
    <row r="19" spans="2:4" x14ac:dyDescent="0.35">
      <c r="B19" s="82" t="s">
        <v>83</v>
      </c>
      <c r="C19" s="82" t="s">
        <v>232</v>
      </c>
      <c r="D19" s="82" t="s">
        <v>234</v>
      </c>
    </row>
    <row r="20" spans="2:4" x14ac:dyDescent="0.35">
      <c r="B20" s="59">
        <f>+SUM('Baseline emissions_ICS'!B23,'Baseline emissions_EPC'!B23)</f>
        <v>494358.03378000006</v>
      </c>
      <c r="C20" s="59">
        <f>+SUM('Project Emissions_ICS'!B29,'Project Emissions_EPC'!B46,'Project Emissions_EPC'!B24)</f>
        <v>250923.21192900001</v>
      </c>
      <c r="D20" s="59">
        <f>+(B20-C20)</f>
        <v>243434.82185100004</v>
      </c>
    </row>
    <row r="21" spans="2:4" x14ac:dyDescent="0.35">
      <c r="B21" s="59">
        <f>+SUM('Baseline emissions_ICS'!B24,'Baseline emissions_EPC'!B24)</f>
        <v>1483074.1013400001</v>
      </c>
      <c r="C21" s="59">
        <f>+SUM('Project Emissions_ICS'!B30,'Project Emissions_EPC'!B47,'Project Emissions_EPC'!B25)</f>
        <v>752769.63578700006</v>
      </c>
      <c r="D21" s="59">
        <f t="shared" ref="D21:D24" si="1">+(B21-C21)</f>
        <v>730304.46555299999</v>
      </c>
    </row>
    <row r="22" spans="2:4" x14ac:dyDescent="0.35">
      <c r="B22" s="59">
        <f>+SUM('Baseline emissions_ICS'!B25,'Baseline emissions_EPC'!B25)</f>
        <v>1483074.1013400001</v>
      </c>
      <c r="C22" s="59">
        <f>+SUM('Project Emissions_ICS'!B31,'Project Emissions_EPC'!B48,'Project Emissions_EPC'!B26)</f>
        <v>752769.63578700006</v>
      </c>
      <c r="D22" s="59">
        <f t="shared" si="1"/>
        <v>730304.46555299999</v>
      </c>
    </row>
    <row r="23" spans="2:4" x14ac:dyDescent="0.35">
      <c r="B23" s="59">
        <f>+SUM('Baseline emissions_ICS'!B26,'Baseline emissions_EPC'!B26)</f>
        <v>1483074.1013400001</v>
      </c>
      <c r="C23" s="59">
        <f>+SUM('Project Emissions_ICS'!B32,'Project Emissions_EPC'!B49,'Project Emissions_EPC'!B27)</f>
        <v>752769.63578700006</v>
      </c>
      <c r="D23" s="59">
        <f t="shared" si="1"/>
        <v>730304.46555299999</v>
      </c>
    </row>
    <row r="24" spans="2:4" x14ac:dyDescent="0.35">
      <c r="B24" s="59">
        <f>+SUM('Baseline emissions_ICS'!B27,'Baseline emissions_EPC'!B27)</f>
        <v>1483074.1013400001</v>
      </c>
      <c r="C24" s="59">
        <f>+SUM('Project Emissions_ICS'!B33,'Project Emissions_EPC'!B50,'Project Emissions_EPC'!B28)</f>
        <v>752769.63578700006</v>
      </c>
      <c r="D24" s="59">
        <f t="shared" si="1"/>
        <v>730304.46555299999</v>
      </c>
    </row>
    <row r="25" spans="2:4" x14ac:dyDescent="0.35">
      <c r="B25" s="82">
        <f>+SUM(B20:B24)</f>
        <v>6426654.4391399994</v>
      </c>
      <c r="C25" s="82">
        <f t="shared" ref="C25:D25" si="2">+SUM(C20:C24)</f>
        <v>3262001.7550770002</v>
      </c>
      <c r="D25" s="82">
        <f t="shared" si="2"/>
        <v>3164652.6840630001</v>
      </c>
    </row>
    <row r="26" spans="2:4" x14ac:dyDescent="0.35">
      <c r="B26" s="83">
        <f>B25/5</f>
        <v>1285330.8878279999</v>
      </c>
      <c r="C26" s="83">
        <f t="shared" ref="C26:D26" si="3">C25/5</f>
        <v>652400.35101540003</v>
      </c>
      <c r="D26" s="83">
        <f t="shared" si="3"/>
        <v>632930.53681259998</v>
      </c>
    </row>
  </sheetData>
  <mergeCells count="3">
    <mergeCell ref="A6:A7"/>
    <mergeCell ref="A3:B3"/>
    <mergeCell ref="A4:B4"/>
  </mergeCells>
  <pageMargins left="0.7" right="0.7" top="0.75" bottom="0.75" header="0.3" footer="0.3"/>
  <pageSetup paperSize="9" orientation="portrait" r:id="rId1"/>
  <ignoredErrors>
    <ignoredError sqref="B13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D63-A06D-464F-9C84-41A8671A3CA9}">
  <sheetPr codeName="Sheet8"/>
  <dimension ref="B4:G71"/>
  <sheetViews>
    <sheetView tabSelected="1" zoomScaleNormal="100" workbookViewId="0">
      <selection activeCell="J18" sqref="J18"/>
    </sheetView>
  </sheetViews>
  <sheetFormatPr defaultColWidth="8.90625" defaultRowHeight="14.5" x14ac:dyDescent="0.35"/>
  <cols>
    <col min="2" max="2" width="29.81640625" customWidth="1"/>
    <col min="3" max="3" width="17" bestFit="1" customWidth="1"/>
    <col min="4" max="4" width="15.6328125" bestFit="1" customWidth="1"/>
    <col min="5" max="5" width="11.81640625" bestFit="1" customWidth="1"/>
  </cols>
  <sheetData>
    <row r="4" spans="2:7" x14ac:dyDescent="0.35">
      <c r="B4" s="6" t="s">
        <v>223</v>
      </c>
      <c r="C4" s="6"/>
      <c r="D4" s="6"/>
      <c r="E4" s="6"/>
      <c r="G4" s="6"/>
    </row>
    <row r="5" spans="2:7" x14ac:dyDescent="0.35">
      <c r="B5" s="61" t="s">
        <v>5</v>
      </c>
      <c r="C5" s="61" t="s">
        <v>16</v>
      </c>
      <c r="D5" s="61" t="s">
        <v>17</v>
      </c>
      <c r="E5" s="61" t="s">
        <v>18</v>
      </c>
    </row>
    <row r="6" spans="2:7" x14ac:dyDescent="0.35">
      <c r="B6" s="3" t="s">
        <v>205</v>
      </c>
      <c r="C6" s="11">
        <v>0</v>
      </c>
      <c r="D6" s="42">
        <v>1</v>
      </c>
      <c r="E6" s="43">
        <f>D6-C6</f>
        <v>1</v>
      </c>
    </row>
    <row r="7" spans="2:7" x14ac:dyDescent="0.35">
      <c r="B7" s="3" t="s">
        <v>206</v>
      </c>
      <c r="C7" s="11">
        <v>0</v>
      </c>
      <c r="D7" s="42">
        <v>1</v>
      </c>
      <c r="E7" s="43">
        <f t="shared" ref="E7:E10" si="0">D7-C7</f>
        <v>1</v>
      </c>
    </row>
    <row r="8" spans="2:7" x14ac:dyDescent="0.35">
      <c r="B8" s="3" t="s">
        <v>207</v>
      </c>
      <c r="C8" s="11">
        <v>0</v>
      </c>
      <c r="D8" s="42">
        <v>1</v>
      </c>
      <c r="E8" s="43">
        <f t="shared" si="0"/>
        <v>1</v>
      </c>
    </row>
    <row r="9" spans="2:7" x14ac:dyDescent="0.35">
      <c r="B9" s="3" t="s">
        <v>208</v>
      </c>
      <c r="C9" s="11">
        <v>0</v>
      </c>
      <c r="D9" s="42">
        <v>1</v>
      </c>
      <c r="E9" s="43">
        <f t="shared" si="0"/>
        <v>1</v>
      </c>
    </row>
    <row r="10" spans="2:7" x14ac:dyDescent="0.35">
      <c r="B10" s="3" t="s">
        <v>209</v>
      </c>
      <c r="C10" s="11">
        <v>0</v>
      </c>
      <c r="D10" s="42">
        <v>1</v>
      </c>
      <c r="E10" s="43">
        <f t="shared" si="0"/>
        <v>1</v>
      </c>
    </row>
    <row r="11" spans="2:7" x14ac:dyDescent="0.35">
      <c r="B11" s="73" t="s">
        <v>228</v>
      </c>
      <c r="C11" s="11">
        <f>C10</f>
        <v>0</v>
      </c>
      <c r="D11" s="11">
        <f>D10</f>
        <v>1</v>
      </c>
      <c r="E11" s="11">
        <f>E10</f>
        <v>1</v>
      </c>
    </row>
    <row r="12" spans="2:7" x14ac:dyDescent="0.35">
      <c r="B12" s="68" t="s">
        <v>15</v>
      </c>
      <c r="C12" s="69">
        <f>AVERAGE(C6:C10)</f>
        <v>0</v>
      </c>
      <c r="D12" s="69">
        <f>AVERAGE(D6:D10)</f>
        <v>1</v>
      </c>
      <c r="E12" s="69">
        <f>AVERAGE(E6:E10)</f>
        <v>1</v>
      </c>
    </row>
    <row r="14" spans="2:7" x14ac:dyDescent="0.35">
      <c r="B14" s="6" t="s">
        <v>224</v>
      </c>
      <c r="C14" s="6"/>
      <c r="D14" s="6"/>
      <c r="E14" s="6"/>
    </row>
    <row r="15" spans="2:7" x14ac:dyDescent="0.35">
      <c r="B15" s="61" t="s">
        <v>5</v>
      </c>
      <c r="C15" s="61" t="s">
        <v>16</v>
      </c>
      <c r="D15" s="61" t="s">
        <v>17</v>
      </c>
      <c r="E15" s="61" t="s">
        <v>18</v>
      </c>
    </row>
    <row r="16" spans="2:7" x14ac:dyDescent="0.35">
      <c r="B16" s="3" t="s">
        <v>205</v>
      </c>
      <c r="C16" s="11">
        <v>0</v>
      </c>
      <c r="D16" s="42">
        <v>1</v>
      </c>
      <c r="E16" s="43">
        <f>D16-C16</f>
        <v>1</v>
      </c>
    </row>
    <row r="17" spans="2:5" x14ac:dyDescent="0.35">
      <c r="B17" s="3" t="s">
        <v>206</v>
      </c>
      <c r="C17" s="11">
        <v>0</v>
      </c>
      <c r="D17" s="42">
        <v>1</v>
      </c>
      <c r="E17" s="43">
        <f t="shared" ref="E17:E20" si="1">D17-C17</f>
        <v>1</v>
      </c>
    </row>
    <row r="18" spans="2:5" x14ac:dyDescent="0.35">
      <c r="B18" s="3" t="s">
        <v>207</v>
      </c>
      <c r="C18" s="11">
        <v>0</v>
      </c>
      <c r="D18" s="42">
        <v>1</v>
      </c>
      <c r="E18" s="43">
        <f t="shared" si="1"/>
        <v>1</v>
      </c>
    </row>
    <row r="19" spans="2:5" x14ac:dyDescent="0.35">
      <c r="B19" s="3" t="s">
        <v>208</v>
      </c>
      <c r="C19" s="11">
        <v>0</v>
      </c>
      <c r="D19" s="42">
        <v>1</v>
      </c>
      <c r="E19" s="43">
        <f t="shared" si="1"/>
        <v>1</v>
      </c>
    </row>
    <row r="20" spans="2:5" x14ac:dyDescent="0.35">
      <c r="B20" s="3" t="s">
        <v>209</v>
      </c>
      <c r="C20" s="11">
        <v>0</v>
      </c>
      <c r="D20" s="42">
        <v>1</v>
      </c>
      <c r="E20" s="43">
        <f t="shared" si="1"/>
        <v>1</v>
      </c>
    </row>
    <row r="21" spans="2:5" x14ac:dyDescent="0.35">
      <c r="B21" s="73" t="s">
        <v>228</v>
      </c>
      <c r="C21" s="69">
        <f>C20</f>
        <v>0</v>
      </c>
      <c r="D21" s="69">
        <f>D20</f>
        <v>1</v>
      </c>
      <c r="E21" s="69">
        <f>E20</f>
        <v>1</v>
      </c>
    </row>
    <row r="22" spans="2:5" x14ac:dyDescent="0.35">
      <c r="B22" s="68" t="s">
        <v>15</v>
      </c>
      <c r="C22" s="69">
        <f>AVERAGE(C16:C20)</f>
        <v>0</v>
      </c>
      <c r="D22" s="69">
        <f>AVERAGE(D16:D20)</f>
        <v>1</v>
      </c>
      <c r="E22" s="69">
        <f>AVERAGE(E16:E20)</f>
        <v>1</v>
      </c>
    </row>
    <row r="24" spans="2:5" x14ac:dyDescent="0.35">
      <c r="B24" s="6" t="s">
        <v>225</v>
      </c>
      <c r="C24" s="6"/>
      <c r="D24" s="6"/>
      <c r="E24" s="6"/>
    </row>
    <row r="25" spans="2:5" x14ac:dyDescent="0.35">
      <c r="B25" s="61" t="s">
        <v>5</v>
      </c>
      <c r="C25" s="61" t="s">
        <v>16</v>
      </c>
      <c r="D25" s="61" t="s">
        <v>17</v>
      </c>
      <c r="E25" s="61" t="s">
        <v>18</v>
      </c>
    </row>
    <row r="26" spans="2:5" x14ac:dyDescent="0.35">
      <c r="B26" s="3" t="s">
        <v>205</v>
      </c>
      <c r="C26" s="11">
        <v>0</v>
      </c>
      <c r="D26" s="42">
        <v>0.95</v>
      </c>
      <c r="E26" s="43">
        <f>D26-C26</f>
        <v>0.95</v>
      </c>
    </row>
    <row r="27" spans="2:5" x14ac:dyDescent="0.35">
      <c r="B27" s="3" t="s">
        <v>206</v>
      </c>
      <c r="C27" s="11">
        <v>0</v>
      </c>
      <c r="D27" s="42">
        <v>0.95</v>
      </c>
      <c r="E27" s="43">
        <f t="shared" ref="E27:E30" si="2">D27-C27</f>
        <v>0.95</v>
      </c>
    </row>
    <row r="28" spans="2:5" x14ac:dyDescent="0.35">
      <c r="B28" s="3" t="s">
        <v>207</v>
      </c>
      <c r="C28" s="11">
        <v>0</v>
      </c>
      <c r="D28" s="42">
        <v>0.95</v>
      </c>
      <c r="E28" s="43">
        <f t="shared" si="2"/>
        <v>0.95</v>
      </c>
    </row>
    <row r="29" spans="2:5" x14ac:dyDescent="0.35">
      <c r="B29" s="3" t="s">
        <v>208</v>
      </c>
      <c r="C29" s="11">
        <v>0</v>
      </c>
      <c r="D29" s="42">
        <v>0.95</v>
      </c>
      <c r="E29" s="43">
        <f t="shared" si="2"/>
        <v>0.95</v>
      </c>
    </row>
    <row r="30" spans="2:5" x14ac:dyDescent="0.35">
      <c r="B30" s="3" t="s">
        <v>209</v>
      </c>
      <c r="C30" s="11">
        <v>0</v>
      </c>
      <c r="D30" s="42">
        <v>0.95</v>
      </c>
      <c r="E30" s="43">
        <f t="shared" si="2"/>
        <v>0.95</v>
      </c>
    </row>
    <row r="31" spans="2:5" x14ac:dyDescent="0.35">
      <c r="B31" s="73" t="s">
        <v>228</v>
      </c>
      <c r="C31" s="69">
        <f>C30</f>
        <v>0</v>
      </c>
      <c r="D31" s="69">
        <f>D30</f>
        <v>0.95</v>
      </c>
      <c r="E31" s="69">
        <f>E30</f>
        <v>0.95</v>
      </c>
    </row>
    <row r="32" spans="2:5" x14ac:dyDescent="0.35">
      <c r="B32" s="68" t="s">
        <v>15</v>
      </c>
      <c r="C32" s="69">
        <f>C31/5</f>
        <v>0</v>
      </c>
      <c r="D32" s="69">
        <f>AVERAGE(D26:D30)</f>
        <v>0.95</v>
      </c>
      <c r="E32" s="69">
        <f>AVERAGE(E26:E30)</f>
        <v>0.95</v>
      </c>
    </row>
    <row r="33" spans="2:5" x14ac:dyDescent="0.35">
      <c r="B33" s="64"/>
      <c r="C33" s="65"/>
      <c r="D33" s="66"/>
      <c r="E33" s="67"/>
    </row>
    <row r="34" spans="2:5" x14ac:dyDescent="0.35">
      <c r="B34" s="6" t="s">
        <v>193</v>
      </c>
      <c r="C34" s="65"/>
      <c r="D34" s="66"/>
      <c r="E34" s="67"/>
    </row>
    <row r="35" spans="2:5" x14ac:dyDescent="0.35">
      <c r="B35" s="61" t="s">
        <v>5</v>
      </c>
      <c r="C35" s="61" t="s">
        <v>16</v>
      </c>
      <c r="D35" s="61" t="s">
        <v>17</v>
      </c>
      <c r="E35" s="61" t="s">
        <v>18</v>
      </c>
    </row>
    <row r="36" spans="2:5" x14ac:dyDescent="0.35">
      <c r="B36" s="3" t="s">
        <v>205</v>
      </c>
      <c r="C36" s="10">
        <v>0</v>
      </c>
      <c r="D36" s="75">
        <f>+'Distribution and thermal energy'!E2</f>
        <v>50000</v>
      </c>
      <c r="E36" s="70">
        <f>D36-C36</f>
        <v>50000</v>
      </c>
    </row>
    <row r="37" spans="2:5" x14ac:dyDescent="0.35">
      <c r="B37" s="3" t="s">
        <v>206</v>
      </c>
      <c r="C37" s="10">
        <v>0</v>
      </c>
      <c r="D37" s="75">
        <f>+'Distribution and thermal energy'!E3</f>
        <v>150000</v>
      </c>
      <c r="E37" s="70">
        <f t="shared" ref="E37:E40" si="3">D37-C37</f>
        <v>150000</v>
      </c>
    </row>
    <row r="38" spans="2:5" x14ac:dyDescent="0.35">
      <c r="B38" s="3" t="s">
        <v>207</v>
      </c>
      <c r="C38" s="10">
        <v>0</v>
      </c>
      <c r="D38" s="75">
        <f>+'Distribution and thermal energy'!E4</f>
        <v>150000</v>
      </c>
      <c r="E38" s="70">
        <f t="shared" si="3"/>
        <v>150000</v>
      </c>
    </row>
    <row r="39" spans="2:5" x14ac:dyDescent="0.35">
      <c r="B39" s="3" t="s">
        <v>208</v>
      </c>
      <c r="C39" s="10">
        <v>0</v>
      </c>
      <c r="D39" s="75">
        <f>+'Distribution and thermal energy'!E5</f>
        <v>150000</v>
      </c>
      <c r="E39" s="70">
        <f t="shared" si="3"/>
        <v>150000</v>
      </c>
    </row>
    <row r="40" spans="2:5" x14ac:dyDescent="0.35">
      <c r="B40" s="3" t="s">
        <v>209</v>
      </c>
      <c r="C40" s="10">
        <v>0</v>
      </c>
      <c r="D40" s="75">
        <f>+'Distribution and thermal energy'!E6</f>
        <v>150000</v>
      </c>
      <c r="E40" s="70">
        <f t="shared" si="3"/>
        <v>150000</v>
      </c>
    </row>
    <row r="41" spans="2:5" x14ac:dyDescent="0.35">
      <c r="B41" s="73" t="s">
        <v>228</v>
      </c>
      <c r="C41" s="61">
        <f>C40</f>
        <v>0</v>
      </c>
      <c r="D41" s="61">
        <f t="shared" ref="D41:E41" si="4">D40</f>
        <v>150000</v>
      </c>
      <c r="E41" s="61">
        <f t="shared" si="4"/>
        <v>150000</v>
      </c>
    </row>
    <row r="42" spans="2:5" x14ac:dyDescent="0.35">
      <c r="B42" s="68" t="s">
        <v>15</v>
      </c>
      <c r="C42" s="61">
        <f>C41/5</f>
        <v>0</v>
      </c>
      <c r="D42" s="76">
        <f>+AVERAGE(D36:D40)</f>
        <v>130000</v>
      </c>
      <c r="E42" s="76">
        <f>+AVERAGE(E36:E40)</f>
        <v>130000</v>
      </c>
    </row>
    <row r="43" spans="2:5" x14ac:dyDescent="0.35">
      <c r="B43" s="64"/>
      <c r="C43" s="65"/>
      <c r="D43" s="66"/>
      <c r="E43" s="67"/>
    </row>
    <row r="44" spans="2:5" x14ac:dyDescent="0.35">
      <c r="B44" s="6" t="s">
        <v>57</v>
      </c>
      <c r="C44" s="6"/>
      <c r="D44" s="6"/>
      <c r="E44" s="6"/>
    </row>
    <row r="45" spans="2:5" x14ac:dyDescent="0.35">
      <c r="B45" s="61" t="s">
        <v>5</v>
      </c>
      <c r="C45" s="61" t="s">
        <v>16</v>
      </c>
      <c r="D45" s="61" t="s">
        <v>17</v>
      </c>
      <c r="E45" s="61" t="s">
        <v>18</v>
      </c>
    </row>
    <row r="46" spans="2:5" x14ac:dyDescent="0.35">
      <c r="B46" s="3" t="s">
        <v>205</v>
      </c>
      <c r="C46" s="10">
        <v>0</v>
      </c>
      <c r="D46" s="10">
        <v>17</v>
      </c>
      <c r="E46" s="10">
        <f>D46-C46</f>
        <v>17</v>
      </c>
    </row>
    <row r="47" spans="2:5" x14ac:dyDescent="0.35">
      <c r="B47" s="3" t="s">
        <v>206</v>
      </c>
      <c r="C47" s="10">
        <v>0</v>
      </c>
      <c r="D47" s="10">
        <v>17</v>
      </c>
      <c r="E47" s="10">
        <f t="shared" ref="E47:E50" si="5">D47-C47</f>
        <v>17</v>
      </c>
    </row>
    <row r="48" spans="2:5" x14ac:dyDescent="0.35">
      <c r="B48" s="3" t="s">
        <v>207</v>
      </c>
      <c r="C48" s="10">
        <v>0</v>
      </c>
      <c r="D48" s="10">
        <v>17</v>
      </c>
      <c r="E48" s="10">
        <f t="shared" si="5"/>
        <v>17</v>
      </c>
    </row>
    <row r="49" spans="2:7" x14ac:dyDescent="0.35">
      <c r="B49" s="3" t="s">
        <v>208</v>
      </c>
      <c r="C49" s="10">
        <v>0</v>
      </c>
      <c r="D49" s="10">
        <v>17</v>
      </c>
      <c r="E49" s="10">
        <f t="shared" si="5"/>
        <v>17</v>
      </c>
    </row>
    <row r="50" spans="2:7" x14ac:dyDescent="0.35">
      <c r="B50" s="3" t="s">
        <v>209</v>
      </c>
      <c r="C50" s="10">
        <v>0</v>
      </c>
      <c r="D50" s="10">
        <v>17</v>
      </c>
      <c r="E50" s="10">
        <f t="shared" si="5"/>
        <v>17</v>
      </c>
    </row>
    <row r="51" spans="2:7" x14ac:dyDescent="0.35">
      <c r="B51" s="73" t="s">
        <v>228</v>
      </c>
      <c r="C51" s="61">
        <f>C50</f>
        <v>0</v>
      </c>
      <c r="D51" s="61">
        <f t="shared" ref="D51:E51" si="6">D50</f>
        <v>17</v>
      </c>
      <c r="E51" s="61">
        <f t="shared" si="6"/>
        <v>17</v>
      </c>
    </row>
    <row r="52" spans="2:7" x14ac:dyDescent="0.35">
      <c r="B52" s="68" t="s">
        <v>15</v>
      </c>
      <c r="C52" s="61">
        <f>AVERAGE(C46:C51)</f>
        <v>0</v>
      </c>
      <c r="D52" s="61">
        <f>AVERAGE(D46:D50)</f>
        <v>17</v>
      </c>
      <c r="E52" s="61">
        <f>AVERAGE(E46:E50)</f>
        <v>17</v>
      </c>
    </row>
    <row r="53" spans="2:7" x14ac:dyDescent="0.35">
      <c r="B53" s="64"/>
      <c r="C53" s="65"/>
      <c r="D53" s="66"/>
      <c r="E53" s="67"/>
    </row>
    <row r="54" spans="2:7" x14ac:dyDescent="0.35">
      <c r="B54" s="64"/>
      <c r="C54" s="65"/>
      <c r="D54" s="66"/>
      <c r="E54" s="67"/>
    </row>
    <row r="55" spans="2:7" x14ac:dyDescent="0.35">
      <c r="B55" s="6" t="s">
        <v>195</v>
      </c>
      <c r="C55" s="6"/>
      <c r="E55" s="6"/>
      <c r="G55" s="6"/>
    </row>
    <row r="56" spans="2:7" x14ac:dyDescent="0.35">
      <c r="B56" s="61" t="s">
        <v>5</v>
      </c>
      <c r="C56" s="61" t="s">
        <v>16</v>
      </c>
      <c r="D56" s="61" t="s">
        <v>17</v>
      </c>
      <c r="E56" s="61" t="s">
        <v>18</v>
      </c>
    </row>
    <row r="57" spans="2:7" x14ac:dyDescent="0.35">
      <c r="B57" s="3" t="s">
        <v>205</v>
      </c>
      <c r="C57" s="44">
        <f>'Project Emissions_ICS'!$B$26*365</f>
        <v>5.80715</v>
      </c>
      <c r="D57" s="44">
        <v>2.63</v>
      </c>
      <c r="E57" s="42">
        <f>(1-D57/C57)</f>
        <v>0.54711002815494691</v>
      </c>
    </row>
    <row r="58" spans="2:7" x14ac:dyDescent="0.35">
      <c r="B58" s="3" t="s">
        <v>206</v>
      </c>
      <c r="C58" s="44">
        <f>'Project Emissions_ICS'!$B$26*365</f>
        <v>5.80715</v>
      </c>
      <c r="D58" s="44">
        <v>2.63</v>
      </c>
      <c r="E58" s="42">
        <f t="shared" ref="E58:E61" si="7">(1-D58/C58)</f>
        <v>0.54711002815494691</v>
      </c>
    </row>
    <row r="59" spans="2:7" x14ac:dyDescent="0.35">
      <c r="B59" s="3" t="s">
        <v>207</v>
      </c>
      <c r="C59" s="44">
        <f>'Project Emissions_ICS'!$B$26*365</f>
        <v>5.80715</v>
      </c>
      <c r="D59" s="44">
        <v>2.63</v>
      </c>
      <c r="E59" s="42">
        <f t="shared" si="7"/>
        <v>0.54711002815494691</v>
      </c>
    </row>
    <row r="60" spans="2:7" x14ac:dyDescent="0.35">
      <c r="B60" s="3" t="s">
        <v>208</v>
      </c>
      <c r="C60" s="44">
        <f>'Project Emissions_ICS'!$B$26*365</f>
        <v>5.80715</v>
      </c>
      <c r="D60" s="44">
        <v>2.63</v>
      </c>
      <c r="E60" s="42">
        <f t="shared" si="7"/>
        <v>0.54711002815494691</v>
      </c>
    </row>
    <row r="61" spans="2:7" x14ac:dyDescent="0.35">
      <c r="B61" s="3" t="s">
        <v>209</v>
      </c>
      <c r="C61" s="44">
        <f>'Project Emissions_ICS'!$B$26*365</f>
        <v>5.80715</v>
      </c>
      <c r="D61" s="44">
        <v>2.63</v>
      </c>
      <c r="E61" s="42">
        <f t="shared" si="7"/>
        <v>0.54711002815494691</v>
      </c>
    </row>
    <row r="62" spans="2:7" x14ac:dyDescent="0.35">
      <c r="B62" s="68" t="s">
        <v>15</v>
      </c>
      <c r="C62" s="62">
        <f>AVERAGE(C57:C61)</f>
        <v>5.80715</v>
      </c>
      <c r="D62" s="62">
        <f>AVERAGE(D57:D61)</f>
        <v>2.63</v>
      </c>
      <c r="E62" s="69">
        <f>AVERAGE(E57:E61)</f>
        <v>0.54711002815494691</v>
      </c>
    </row>
    <row r="64" spans="2:7" x14ac:dyDescent="0.35">
      <c r="B64" s="6" t="s">
        <v>194</v>
      </c>
    </row>
    <row r="65" spans="2:6" x14ac:dyDescent="0.35">
      <c r="B65" s="61" t="s">
        <v>5</v>
      </c>
      <c r="C65" s="61" t="s">
        <v>16</v>
      </c>
      <c r="D65" s="61" t="s">
        <v>17</v>
      </c>
      <c r="E65" s="61" t="s">
        <v>18</v>
      </c>
    </row>
    <row r="66" spans="2:6" x14ac:dyDescent="0.35">
      <c r="B66" s="3" t="s">
        <v>205</v>
      </c>
      <c r="C66" s="78">
        <f>C57/365*E36</f>
        <v>795.5</v>
      </c>
      <c r="D66" s="78">
        <f>D57/365*E36</f>
        <v>360.27397260273972</v>
      </c>
      <c r="E66" s="78">
        <f>(C66-D66)</f>
        <v>435.22602739726028</v>
      </c>
    </row>
    <row r="67" spans="2:6" x14ac:dyDescent="0.35">
      <c r="B67" s="3" t="s">
        <v>206</v>
      </c>
      <c r="C67" s="78">
        <f>C58/365*E37</f>
        <v>2386.5</v>
      </c>
      <c r="D67" s="78">
        <f t="shared" ref="D67:D70" si="8">D58/365*E37</f>
        <v>1080.8219178082193</v>
      </c>
      <c r="E67" s="78">
        <f t="shared" ref="E67:E70" si="9">(C67-D67)</f>
        <v>1305.6780821917807</v>
      </c>
    </row>
    <row r="68" spans="2:6" x14ac:dyDescent="0.35">
      <c r="B68" s="3" t="s">
        <v>207</v>
      </c>
      <c r="C68" s="78">
        <f t="shared" ref="C68:C70" si="10">C59/365*E38</f>
        <v>2386.5</v>
      </c>
      <c r="D68" s="78">
        <f t="shared" si="8"/>
        <v>1080.8219178082193</v>
      </c>
      <c r="E68" s="78">
        <f t="shared" si="9"/>
        <v>1305.6780821917807</v>
      </c>
    </row>
    <row r="69" spans="2:6" x14ac:dyDescent="0.35">
      <c r="B69" s="3" t="s">
        <v>208</v>
      </c>
      <c r="C69" s="78">
        <f t="shared" si="10"/>
        <v>2386.5</v>
      </c>
      <c r="D69" s="78">
        <f t="shared" si="8"/>
        <v>1080.8219178082193</v>
      </c>
      <c r="E69" s="78">
        <f t="shared" si="9"/>
        <v>1305.6780821917807</v>
      </c>
    </row>
    <row r="70" spans="2:6" x14ac:dyDescent="0.35">
      <c r="B70" s="3" t="s">
        <v>209</v>
      </c>
      <c r="C70" s="78">
        <f t="shared" si="10"/>
        <v>2386.5</v>
      </c>
      <c r="D70" s="78">
        <f t="shared" si="8"/>
        <v>1080.8219178082193</v>
      </c>
      <c r="E70" s="78">
        <f t="shared" si="9"/>
        <v>1305.6780821917807</v>
      </c>
      <c r="F70" s="58"/>
    </row>
    <row r="71" spans="2:6" x14ac:dyDescent="0.35">
      <c r="B71" s="61" t="s">
        <v>15</v>
      </c>
      <c r="C71" s="79">
        <f>AVERAGE(C66:C70)</f>
        <v>2068.3000000000002</v>
      </c>
      <c r="D71" s="79">
        <f>AVERAGE(D66:D70)</f>
        <v>936.71232876712327</v>
      </c>
      <c r="E71" s="79">
        <f>AVERAGE(E66:E70)</f>
        <v>1131.5876712328768</v>
      </c>
      <c r="F71" s="58"/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B5F068D79AC640BE3528811841450E" ma:contentTypeVersion="12" ma:contentTypeDescription="Creare un nuovo documento." ma:contentTypeScope="" ma:versionID="10808cbb3afd763fcde49af1ca349d77">
  <xsd:schema xmlns:xsd="http://www.w3.org/2001/XMLSchema" xmlns:xs="http://www.w3.org/2001/XMLSchema" xmlns:p="http://schemas.microsoft.com/office/2006/metadata/properties" xmlns:ns2="414925e9-62f9-4c0f-8da0-decd32304526" xmlns:ns3="9c4a530c-780c-40fc-8e25-601909665c79" targetNamespace="http://schemas.microsoft.com/office/2006/metadata/properties" ma:root="true" ma:fieldsID="411f44562d8500a88d6a44609339e335" ns2:_="" ns3:_="">
    <xsd:import namespace="414925e9-62f9-4c0f-8da0-decd32304526"/>
    <xsd:import namespace="9c4a530c-780c-40fc-8e25-601909665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925e9-62f9-4c0f-8da0-decd32304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530c-780c-40fc-8e25-601909665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651797-FC1C-4FEE-B7C5-864F1B7FE63B}">
  <ds:schemaRefs>
    <ds:schemaRef ds:uri="http://purl.org/dc/terms/"/>
    <ds:schemaRef ds:uri="http://schemas.microsoft.com/office/2006/documentManagement/types"/>
    <ds:schemaRef ds:uri="9c4a530c-780c-40fc-8e25-601909665c79"/>
    <ds:schemaRef ds:uri="414925e9-62f9-4c0f-8da0-decd32304526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E3B192-40E3-4F5F-B24D-DC1CDCBE8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925e9-62f9-4c0f-8da0-decd32304526"/>
    <ds:schemaRef ds:uri="9c4a530c-780c-40fc-8e25-601909665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E3FCB-C808-4F5E-993F-CCE10A74E9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Overview</vt:lpstr>
      <vt:lpstr>Baseline emissions_EPC</vt:lpstr>
      <vt:lpstr>Baseline emissions_ICS</vt:lpstr>
      <vt:lpstr>Project Emissions_EPC</vt:lpstr>
      <vt:lpstr>Project Emissions_ICS</vt:lpstr>
      <vt:lpstr>Distribution and thermal energy</vt:lpstr>
      <vt:lpstr>SDG 13 (ERs)</vt:lpstr>
      <vt:lpstr>Other SDGs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2023-08-18T14:20:56Z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0x01010079B5F068D79AC640BE3528811841450E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