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scje.sharepoint.com/Carbon/TASC GS PoA/PoA + VPA 1 certification/GS Reviews/Design review round II/"/>
    </mc:Choice>
  </mc:AlternateContent>
  <xr:revisionPtr revIDLastSave="4" documentId="14_{14142337-8565-4F2D-B754-04404DA3E369}" xr6:coauthVersionLast="47" xr6:coauthVersionMax="47" xr10:uidLastSave="{E787CC41-E828-46FD-A634-DA2DA413E5CC}"/>
  <bookViews>
    <workbookView xWindow="-98" yWindow="-98" windowWidth="20715" windowHeight="13155" xr2:uid="{00000000-000D-0000-FFFF-FFFF00000000}"/>
  </bookViews>
  <sheets>
    <sheet name="Ex-Ante" sheetId="1" r:id="rId1"/>
    <sheet name="Ex-Post" sheetId="2" r:id="rId2"/>
    <sheet name="Threshold assessment" sheetId="4" r:id="rId3"/>
    <sheet name="Bold,HH calc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3" i="1"/>
  <c r="E13" i="1"/>
  <c r="E12" i="1"/>
  <c r="E11" i="1"/>
  <c r="E10" i="1"/>
  <c r="D5" i="3" l="1"/>
  <c r="L18" i="2"/>
  <c r="H18" i="2"/>
  <c r="M17" i="2"/>
  <c r="L17" i="2"/>
  <c r="K17" i="2"/>
  <c r="I17" i="2"/>
  <c r="H17" i="2"/>
  <c r="G17" i="2"/>
  <c r="M15" i="2"/>
  <c r="L15" i="2"/>
  <c r="K15" i="2"/>
  <c r="I15" i="2"/>
  <c r="H15" i="2"/>
  <c r="G15" i="2"/>
  <c r="L14" i="2"/>
  <c r="K14" i="2"/>
  <c r="H14" i="2"/>
  <c r="G14" i="2"/>
  <c r="L9" i="2"/>
  <c r="K9" i="2"/>
  <c r="H9" i="2"/>
  <c r="G9" i="2"/>
  <c r="L8" i="2"/>
  <c r="K8" i="2"/>
  <c r="H8" i="2"/>
  <c r="G8" i="2"/>
  <c r="L7" i="2"/>
  <c r="K7" i="2"/>
  <c r="H7" i="2"/>
  <c r="G7" i="2"/>
  <c r="L6" i="2"/>
  <c r="K6" i="2"/>
  <c r="H6" i="2"/>
  <c r="G6" i="2"/>
  <c r="L5" i="2"/>
  <c r="K5" i="2"/>
  <c r="H5" i="2"/>
  <c r="G5" i="2"/>
  <c r="M3" i="2"/>
  <c r="L4" i="2"/>
  <c r="K4" i="2"/>
  <c r="H4" i="2"/>
  <c r="G4" i="2"/>
  <c r="L3" i="2"/>
  <c r="K3" i="2"/>
  <c r="H3" i="2"/>
  <c r="G3" i="2"/>
  <c r="E7" i="2"/>
  <c r="E8" i="2"/>
  <c r="M6" i="2" l="1"/>
  <c r="I6" i="2"/>
  <c r="M5" i="2"/>
  <c r="I5" i="2"/>
  <c r="E9" i="2"/>
  <c r="C32" i="1"/>
  <c r="D21" i="1"/>
  <c r="E14" i="2"/>
  <c r="D8" i="3"/>
  <c r="E6" i="2"/>
  <c r="I7" i="2" l="1"/>
  <c r="M7" i="2"/>
  <c r="M14" i="2"/>
  <c r="I14" i="2"/>
  <c r="D9" i="3"/>
  <c r="D11" i="3" s="1"/>
  <c r="I3" i="2" s="1"/>
  <c r="M4" i="2"/>
  <c r="I4" i="2"/>
  <c r="I8" i="2" l="1"/>
  <c r="M8" i="2"/>
  <c r="M9" i="2"/>
  <c r="E6" i="1"/>
  <c r="E14" i="1" s="1"/>
  <c r="E5" i="2"/>
  <c r="E11" i="2" s="1"/>
  <c r="I9" i="2"/>
  <c r="I13" i="2" s="1"/>
  <c r="C31" i="1"/>
  <c r="M13" i="2" l="1"/>
  <c r="M16" i="2" s="1"/>
  <c r="M18" i="2" s="1"/>
  <c r="E10" i="2"/>
  <c r="E13" i="2" s="1"/>
  <c r="E16" i="2" s="1"/>
  <c r="E18" i="2" s="1"/>
  <c r="I16" i="2"/>
  <c r="I18" i="2" s="1"/>
  <c r="C5" i="4"/>
  <c r="I19" i="2" l="1"/>
  <c r="C6" i="4"/>
  <c r="C7" i="4"/>
  <c r="D18" i="1"/>
  <c r="E15" i="1"/>
  <c r="D19" i="1" s="1"/>
  <c r="D27" i="1" l="1"/>
  <c r="E27" i="1" s="1"/>
  <c r="F27" i="1" s="1"/>
  <c r="D26" i="1"/>
  <c r="D28" i="1"/>
  <c r="E28" i="1" s="1"/>
  <c r="F28" i="1" s="1"/>
  <c r="D29" i="1"/>
  <c r="D30" i="1"/>
  <c r="E30" i="1" s="1"/>
  <c r="F30" i="1" s="1"/>
  <c r="D32" i="1" l="1"/>
  <c r="D31" i="1"/>
  <c r="E26" i="1"/>
  <c r="E29" i="1"/>
  <c r="F29" i="1" s="1"/>
  <c r="F26" i="1" l="1"/>
  <c r="F32" i="1" s="1"/>
  <c r="E32" i="1"/>
  <c r="E31" i="1"/>
  <c r="F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tc={6768E1CA-9EFF-484F-901E-590F614D350D}</author>
  </authors>
  <commentList>
    <comment ref="D8" authorId="0" shapeId="0" xr:uid="{6768E1CA-9EFF-484F-901E-590F614D350D}">
      <text>
        <t>[Threaded comment]
Your version of Excel allows you to read this threaded comment; however, any edits to it will get removed if the file is opened in a newer version of Excel. Learn more: https://go.microsoft.com/fwlink/?linkid=870924
Comment:
    2006 IPCC Guidelines for National Greenhouse Gas Inventories, Chapter 2: Stationary Combustion, Table 2.5 - Default emission factors for stationary combustion in the residential and agriculture/forestry/fishing/fishing farms categories - Refer Solid biofuels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tc={695B672A-3B00-4E02-BEAF-CC5676003ECC}</author>
  </authors>
  <commentList>
    <comment ref="C5" authorId="0" shapeId="0" xr:uid="{695B672A-3B00-4E02-BEAF-CC5676003ECC}">
      <text>
        <t>[Threaded comment]
Your version of Excel allows you to read this threaded comment; however, any edits to it will get removed if the file is opened in a newer version of Excel. Learn more: https://go.microsoft.com/fwlink/?linkid=870924
Comment:
    0.15TJ/t = 4,167KWh/t (IPCC default)</t>
      </text>
    </comment>
  </commentList>
</comments>
</file>

<file path=xl/sharedStrings.xml><?xml version="1.0" encoding="utf-8"?>
<sst xmlns="http://schemas.openxmlformats.org/spreadsheetml/2006/main" count="160" uniqueCount="120">
  <si>
    <t>Ex-ante VPA emissions calculation</t>
  </si>
  <si>
    <r>
      <t>B</t>
    </r>
    <r>
      <rPr>
        <i/>
        <sz val="8"/>
        <color indexed="8"/>
        <rFont val="Calibri"/>
        <family val="2"/>
        <scheme val="minor"/>
      </rPr>
      <t>old.i</t>
    </r>
  </si>
  <si>
    <t>t/annum</t>
  </si>
  <si>
    <t>Baseline study calc</t>
  </si>
  <si>
    <r>
      <t>η</t>
    </r>
    <r>
      <rPr>
        <i/>
        <sz val="8"/>
        <color theme="1"/>
        <rFont val="Arial"/>
        <family val="2"/>
      </rPr>
      <t>old,i.j</t>
    </r>
  </si>
  <si>
    <t>fraction</t>
  </si>
  <si>
    <t>Methodology default</t>
  </si>
  <si>
    <r>
      <t>η</t>
    </r>
    <r>
      <rPr>
        <vertAlign val="subscript"/>
        <sz val="11"/>
        <color indexed="8"/>
        <rFont val="Calibri"/>
        <family val="2"/>
        <scheme val="minor"/>
      </rPr>
      <t>new</t>
    </r>
  </si>
  <si>
    <t>Sample efficiency test</t>
  </si>
  <si>
    <r>
      <t>B</t>
    </r>
    <r>
      <rPr>
        <vertAlign val="subscript"/>
        <sz val="11"/>
        <color indexed="8"/>
        <rFont val="Calibri"/>
        <family val="2"/>
        <scheme val="minor"/>
      </rPr>
      <t>y,savings</t>
    </r>
  </si>
  <si>
    <t>Calculated</t>
  </si>
  <si>
    <r>
      <t>ƒ</t>
    </r>
    <r>
      <rPr>
        <vertAlign val="subscript"/>
        <sz val="11"/>
        <color indexed="8"/>
        <rFont val="Calibri"/>
        <family val="2"/>
        <scheme val="minor"/>
      </rPr>
      <t xml:space="preserve">NRB, y </t>
    </r>
  </si>
  <si>
    <t>C4 Ecosolutions study</t>
  </si>
  <si>
    <r>
      <t>NCV</t>
    </r>
    <r>
      <rPr>
        <vertAlign val="subscript"/>
        <sz val="11"/>
        <color indexed="8"/>
        <rFont val="Calibri"/>
        <family val="2"/>
        <scheme val="minor"/>
      </rPr>
      <t>biomass (TJ/t)</t>
    </r>
  </si>
  <si>
    <t>TJ/t</t>
  </si>
  <si>
    <r>
      <t>EF</t>
    </r>
    <r>
      <rPr>
        <vertAlign val="sub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,</t>
    </r>
    <r>
      <rPr>
        <vertAlign val="subscript"/>
        <sz val="12"/>
        <color theme="1"/>
        <rFont val="Calibri"/>
        <family val="2"/>
        <scheme val="minor"/>
      </rPr>
      <t>fuel,CO2</t>
    </r>
  </si>
  <si>
    <r>
      <t>tCO</t>
    </r>
    <r>
      <rPr>
        <vertAlign val="subscript"/>
        <sz val="12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/TJ</t>
    </r>
  </si>
  <si>
    <t>IPCC default</t>
  </si>
  <si>
    <r>
      <t>EF</t>
    </r>
    <r>
      <rPr>
        <vertAlign val="sub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,</t>
    </r>
    <r>
      <rPr>
        <vertAlign val="subscript"/>
        <sz val="12"/>
        <color theme="1"/>
        <rFont val="Calibri"/>
        <family val="2"/>
        <scheme val="minor"/>
      </rPr>
      <t>fuel,nonCO2</t>
    </r>
  </si>
  <si>
    <r>
      <t>tCO</t>
    </r>
    <r>
      <rPr>
        <vertAlign val="subscript"/>
        <sz val="11"/>
        <color indexed="8"/>
        <rFont val="Calibri"/>
        <family val="2"/>
        <scheme val="minor"/>
      </rPr>
      <t>2</t>
    </r>
    <r>
      <rPr>
        <sz val="11"/>
        <color indexed="8"/>
        <rFont val="Calibri"/>
        <family val="2"/>
        <scheme val="minor"/>
      </rPr>
      <t>/tonnes of wood</t>
    </r>
  </si>
  <si>
    <t>calculated</t>
  </si>
  <si>
    <r>
      <t>ER</t>
    </r>
    <r>
      <rPr>
        <vertAlign val="subscript"/>
        <sz val="11"/>
        <color theme="1"/>
        <rFont val="Avenir Book"/>
      </rPr>
      <t>b,p,y,CO2</t>
    </r>
  </si>
  <si>
    <t>t CO2 / annum</t>
  </si>
  <si>
    <r>
      <t>ER</t>
    </r>
    <r>
      <rPr>
        <vertAlign val="subscript"/>
        <sz val="11"/>
        <color theme="1"/>
        <rFont val="Avenir Book"/>
      </rPr>
      <t>b,p,y,nonCO2</t>
    </r>
  </si>
  <si>
    <t>Ex-ante ERs</t>
  </si>
  <si>
    <t>t CO2 / day</t>
  </si>
  <si>
    <t>per VPA</t>
  </si>
  <si>
    <t>example from PoA-DD</t>
  </si>
  <si>
    <r>
      <t>N</t>
    </r>
    <r>
      <rPr>
        <vertAlign val="subscript"/>
        <sz val="11"/>
        <color theme="1"/>
        <rFont val="Avenir Book"/>
      </rPr>
      <t>p,y</t>
    </r>
  </si>
  <si>
    <t>number of ICS days</t>
  </si>
  <si>
    <r>
      <t>LE</t>
    </r>
    <r>
      <rPr>
        <sz val="9"/>
        <color rgb="FF000000"/>
        <rFont val="Calibri"/>
        <family val="2"/>
        <scheme val="minor"/>
      </rPr>
      <t>p,y</t>
    </r>
  </si>
  <si>
    <t>estimated</t>
  </si>
  <si>
    <t>Years</t>
  </si>
  <si>
    <t>Project Emissions (PEy)</t>
  </si>
  <si>
    <t>Baseline Emissions (BEy)</t>
  </si>
  <si>
    <t>Leakage Emissions (LEy)</t>
  </si>
  <si>
    <t>Emisions Reductions (ERy)</t>
  </si>
  <si>
    <t>Total</t>
  </si>
  <si>
    <t>Average</t>
  </si>
  <si>
    <t>Threshold Assessment</t>
  </si>
  <si>
    <t>Threshold (GWh)</t>
  </si>
  <si>
    <t>GWh output (per ICS)</t>
  </si>
  <si>
    <t>Stove % of threshold</t>
  </si>
  <si>
    <t>(By Savings * NCVBiomass)</t>
  </si>
  <si>
    <t>Total energy savings for the VPA (GWh)</t>
  </si>
  <si>
    <t>Ex-post ER calculation</t>
  </si>
  <si>
    <t>Baseline ERs</t>
  </si>
  <si>
    <t>Project ERs</t>
  </si>
  <si>
    <r>
      <t>B</t>
    </r>
    <r>
      <rPr>
        <sz val="8"/>
        <color indexed="8"/>
        <rFont val="Calibri"/>
        <family val="2"/>
      </rPr>
      <t xml:space="preserve">old,I </t>
    </r>
  </si>
  <si>
    <t>tonnes</t>
  </si>
  <si>
    <t>PoA-DD value</t>
  </si>
  <si>
    <r>
      <t>B</t>
    </r>
    <r>
      <rPr>
        <vertAlign val="subscript"/>
        <sz val="11"/>
        <color theme="1"/>
        <rFont val="Avenir Book"/>
      </rPr>
      <t>p,y,i</t>
    </r>
  </si>
  <si>
    <t>Monitored KPT value</t>
  </si>
  <si>
    <r>
      <t>B</t>
    </r>
    <r>
      <rPr>
        <vertAlign val="subscript"/>
        <sz val="11"/>
        <color indexed="8"/>
        <rFont val="Calibri"/>
        <family val="2"/>
      </rPr>
      <t>y,savings,i,j</t>
    </r>
  </si>
  <si>
    <t>t/a</t>
  </si>
  <si>
    <r>
      <t>ƒ</t>
    </r>
    <r>
      <rPr>
        <vertAlign val="subscript"/>
        <sz val="11"/>
        <color indexed="8"/>
        <rFont val="Calibri"/>
        <family val="2"/>
      </rPr>
      <t xml:space="preserve">NRB, y </t>
    </r>
  </si>
  <si>
    <r>
      <t>NCV</t>
    </r>
    <r>
      <rPr>
        <vertAlign val="subscript"/>
        <sz val="11"/>
        <color indexed="8"/>
        <rFont val="Calibri"/>
        <family val="2"/>
      </rPr>
      <t>biomass (TJ/t)</t>
    </r>
  </si>
  <si>
    <r>
      <t>tCO</t>
    </r>
    <r>
      <rPr>
        <vertAlign val="sub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>/tonnes of wood</t>
    </r>
  </si>
  <si>
    <t>t CO2</t>
  </si>
  <si>
    <r>
      <t>ER</t>
    </r>
    <r>
      <rPr>
        <sz val="8"/>
        <color theme="1"/>
        <rFont val="Calibri"/>
        <family val="2"/>
        <scheme val="minor"/>
      </rPr>
      <t>day</t>
    </r>
  </si>
  <si>
    <t>per ICS</t>
  </si>
  <si>
    <t xml:space="preserve">Baseline emissions </t>
  </si>
  <si>
    <t>per ICS per day</t>
  </si>
  <si>
    <t>Project emissions</t>
  </si>
  <si>
    <t>days</t>
  </si>
  <si>
    <t>monitored number of ICS days</t>
  </si>
  <si>
    <r>
      <t>U</t>
    </r>
    <r>
      <rPr>
        <vertAlign val="subscript"/>
        <sz val="10"/>
        <color theme="1"/>
        <rFont val="Avenir Book"/>
      </rPr>
      <t>p,y</t>
    </r>
  </si>
  <si>
    <t>monitored stove usage</t>
  </si>
  <si>
    <t>GS max</t>
  </si>
  <si>
    <r>
      <t>ER</t>
    </r>
    <r>
      <rPr>
        <b/>
        <vertAlign val="subscript"/>
        <sz val="11"/>
        <color indexed="8"/>
        <rFont val="Calibri"/>
        <family val="2"/>
      </rPr>
      <t>y,i,j  gross</t>
    </r>
  </si>
  <si>
    <t>BEgross</t>
  </si>
  <si>
    <t>PEgross</t>
  </si>
  <si>
    <r>
      <t>L</t>
    </r>
    <r>
      <rPr>
        <sz val="8"/>
        <color indexed="8"/>
        <rFont val="Calibri"/>
        <family val="2"/>
      </rPr>
      <t>y</t>
    </r>
  </si>
  <si>
    <t>Assumption</t>
  </si>
  <si>
    <r>
      <t>ER</t>
    </r>
    <r>
      <rPr>
        <b/>
        <vertAlign val="subscript"/>
        <sz val="11"/>
        <color indexed="8"/>
        <rFont val="Calibri"/>
        <family val="2"/>
      </rPr>
      <t>y,i,j  net</t>
    </r>
  </si>
  <si>
    <t>BEnet</t>
  </si>
  <si>
    <t>PEnet</t>
  </si>
  <si>
    <t>Net ERs</t>
  </si>
  <si>
    <t>Data Label</t>
  </si>
  <si>
    <t>Description</t>
  </si>
  <si>
    <t>Data</t>
  </si>
  <si>
    <t>Unit</t>
  </si>
  <si>
    <t>Source</t>
  </si>
  <si>
    <t>Year</t>
  </si>
  <si>
    <t>A</t>
  </si>
  <si>
    <t xml:space="preserve">Household fuelwood consumption </t>
  </si>
  <si>
    <t>m3</t>
  </si>
  <si>
    <t>UN data</t>
  </si>
  <si>
    <t>http://data.un.org/Data.aspx?d=EDATA&amp;f=cmID%3aFW%3btrID%3a1231#f_1</t>
  </si>
  <si>
    <t>B</t>
  </si>
  <si>
    <t>Density of fuelwood</t>
  </si>
  <si>
    <t>t/m3</t>
  </si>
  <si>
    <t>FAO</t>
  </si>
  <si>
    <t>http://www.fao.org/3/a-i6935e.pdf</t>
  </si>
  <si>
    <t>C</t>
  </si>
  <si>
    <t>Household fuelwood consumption</t>
  </si>
  <si>
    <t>t</t>
  </si>
  <si>
    <t>calculated (AxB)</t>
  </si>
  <si>
    <t>D</t>
  </si>
  <si>
    <t>Population of Zambia</t>
  </si>
  <si>
    <t>World Bank</t>
  </si>
  <si>
    <t>https://data.worldbank.org/country/zambia</t>
  </si>
  <si>
    <t>E</t>
  </si>
  <si>
    <t>% using wood fuel</t>
  </si>
  <si>
    <t>Zambia CSO</t>
  </si>
  <si>
    <t xml:space="preserve">https://www.zamstats.gov.zm/phocadownload/Living_Conditions/2015%20Living%20Conditions%20Monitoring%20Survey%20Report.pdf </t>
  </si>
  <si>
    <t>F</t>
  </si>
  <si>
    <t>Population using wood</t>
  </si>
  <si>
    <t>calculated (DxE)</t>
  </si>
  <si>
    <t>G</t>
  </si>
  <si>
    <t>Average annual consumption per capita</t>
  </si>
  <si>
    <t>calculated (C/F)</t>
  </si>
  <si>
    <t>H</t>
  </si>
  <si>
    <t>Average household size in Zambia</t>
  </si>
  <si>
    <t>https://www.un.org/en/development/desa/population/publications/pdf/ageing/household_size_and_composition_around_the_world_2017_data_booklet.pdf</t>
  </si>
  <si>
    <t>Bold,HH</t>
  </si>
  <si>
    <t>calculated (GxH)</t>
  </si>
  <si>
    <t>IPCC defaults (CH4)</t>
  </si>
  <si>
    <t>IPCC defaults (N2O)</t>
  </si>
  <si>
    <t>ex-post illustration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</si>
</sst>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%"/>
    <numFmt numFmtId="166" formatCode="0.0%"/>
    <numFmt numFmtId="167" formatCode="0.00000"/>
    <numFmt numFmtId="168" formatCode="_-* #,##0_-;\-* #,##0_-;_-* &quot;-&quot;??_-;_-@_-"/>
  </numFmts>
  <fonts count="29">
    <font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indexed="8"/>
      <name val="Calibri"/>
      <family val="2"/>
      <scheme val="minor"/>
    </font>
    <font>
      <vertAlign val="subscript"/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2"/>
      <color theme="1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venir Book"/>
    </font>
    <font>
      <vertAlign val="subscript"/>
      <sz val="11"/>
      <color theme="1"/>
      <name val="Avenir Book"/>
    </font>
    <font>
      <sz val="10"/>
      <color theme="1"/>
      <name val="Avenir Book"/>
    </font>
    <font>
      <vertAlign val="subscript"/>
      <sz val="10"/>
      <color theme="1"/>
      <name val="Avenir Book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2">
    <xf numFmtId="0" fontId="0" fillId="0" borderId="0" xfId="0"/>
    <xf numFmtId="3" fontId="0" fillId="0" borderId="0" xfId="0" applyNumberFormat="1"/>
    <xf numFmtId="0" fontId="5" fillId="0" borderId="0" xfId="0" applyFont="1"/>
    <xf numFmtId="4" fontId="6" fillId="0" borderId="0" xfId="0" applyNumberFormat="1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9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7" xfId="0" applyBorder="1"/>
    <xf numFmtId="0" fontId="0" fillId="0" borderId="9" xfId="0" applyBorder="1" applyAlignment="1">
      <alignment horizontal="left"/>
    </xf>
    <xf numFmtId="0" fontId="15" fillId="0" borderId="0" xfId="1"/>
    <xf numFmtId="0" fontId="0" fillId="0" borderId="10" xfId="0" applyBorder="1"/>
    <xf numFmtId="0" fontId="0" fillId="0" borderId="11" xfId="0" applyBorder="1" applyAlignment="1">
      <alignment horizontal="left"/>
    </xf>
    <xf numFmtId="3" fontId="0" fillId="0" borderId="5" xfId="0" applyNumberFormat="1" applyBorder="1"/>
    <xf numFmtId="0" fontId="9" fillId="0" borderId="5" xfId="0" applyFont="1" applyBorder="1"/>
    <xf numFmtId="166" fontId="0" fillId="0" borderId="5" xfId="0" applyNumberFormat="1" applyBorder="1"/>
    <xf numFmtId="166" fontId="0" fillId="0" borderId="0" xfId="0" applyNumberFormat="1"/>
    <xf numFmtId="2" fontId="0" fillId="0" borderId="5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left"/>
    </xf>
    <xf numFmtId="0" fontId="0" fillId="0" borderId="1" xfId="0" applyBorder="1"/>
    <xf numFmtId="0" fontId="16" fillId="0" borderId="2" xfId="0" applyFont="1" applyBorder="1"/>
    <xf numFmtId="2" fontId="4" fillId="0" borderId="1" xfId="0" applyNumberFormat="1" applyFont="1" applyBorder="1"/>
    <xf numFmtId="0" fontId="0" fillId="0" borderId="3" xfId="0" applyBorder="1"/>
    <xf numFmtId="0" fontId="9" fillId="0" borderId="1" xfId="0" applyFont="1" applyBorder="1"/>
    <xf numFmtId="0" fontId="0" fillId="0" borderId="4" xfId="0" applyBorder="1"/>
    <xf numFmtId="0" fontId="0" fillId="0" borderId="0" xfId="0" applyAlignment="1">
      <alignment horizontal="left"/>
    </xf>
    <xf numFmtId="0" fontId="15" fillId="0" borderId="0" xfId="1" applyBorder="1"/>
    <xf numFmtId="2" fontId="0" fillId="0" borderId="0" xfId="0" applyNumberFormat="1"/>
    <xf numFmtId="0" fontId="16" fillId="0" borderId="0" xfId="0" applyFont="1"/>
    <xf numFmtId="2" fontId="4" fillId="0" borderId="0" xfId="0" applyNumberFormat="1" applyFont="1"/>
    <xf numFmtId="0" fontId="17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3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left" wrapText="1"/>
    </xf>
    <xf numFmtId="0" fontId="20" fillId="0" borderId="0" xfId="0" applyFont="1"/>
    <xf numFmtId="0" fontId="22" fillId="0" borderId="0" xfId="0" applyFont="1"/>
    <xf numFmtId="167" fontId="0" fillId="0" borderId="0" xfId="0" applyNumberFormat="1"/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0" fontId="28" fillId="0" borderId="0" xfId="0" applyFont="1"/>
    <xf numFmtId="0" fontId="28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 applyAlignment="1">
      <alignment vertical="top" wrapText="1"/>
    </xf>
    <xf numFmtId="0" fontId="6" fillId="0" borderId="20" xfId="0" applyFont="1" applyBorder="1" applyAlignment="1">
      <alignment horizontal="center"/>
    </xf>
    <xf numFmtId="0" fontId="6" fillId="0" borderId="19" xfId="0" applyFont="1" applyBorder="1"/>
    <xf numFmtId="166" fontId="0" fillId="0" borderId="2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0" xfId="0" applyBorder="1"/>
    <xf numFmtId="0" fontId="0" fillId="2" borderId="19" xfId="0" applyFill="1" applyBorder="1"/>
    <xf numFmtId="0" fontId="0" fillId="2" borderId="0" xfId="0" applyFill="1"/>
    <xf numFmtId="0" fontId="0" fillId="0" borderId="21" xfId="0" applyBorder="1"/>
    <xf numFmtId="0" fontId="0" fillId="0" borderId="22" xfId="0" applyBorder="1"/>
    <xf numFmtId="0" fontId="0" fillId="0" borderId="23" xfId="0" applyBorder="1"/>
    <xf numFmtId="4" fontId="0" fillId="0" borderId="0" xfId="0" applyNumberFormat="1"/>
    <xf numFmtId="168" fontId="0" fillId="0" borderId="0" xfId="0" applyNumberFormat="1"/>
    <xf numFmtId="168" fontId="4" fillId="0" borderId="0" xfId="0" applyNumberFormat="1" applyFont="1"/>
    <xf numFmtId="164" fontId="0" fillId="0" borderId="0" xfId="0" applyNumberFormat="1" applyAlignment="1">
      <alignment horizontal="center"/>
    </xf>
    <xf numFmtId="164" fontId="9" fillId="0" borderId="0" xfId="0" applyNumberFormat="1" applyFont="1"/>
    <xf numFmtId="0" fontId="0" fillId="0" borderId="10" xfId="0" applyFill="1" applyBorder="1"/>
    <xf numFmtId="2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ck Marshall" id="{7106104A-EE28-4FB3-83E0-7A06E60A9762}" userId="Nick Marshall" providerId="None"/>
  <person displayName="Nick Marshall" id="{D991A473-21A0-4CC2-869C-9E1A501375C2}" userId="50d0f83790907cdd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21-03-30T13:13:21.18" personId="{7106104A-EE28-4FB3-83E0-7A06E60A9762}" id="{6768E1CA-9EFF-484F-901E-590F614D350D}">
    <text>2006 IPCC Guidelines for National Greenhouse Gas Inventories, Chapter 2: Stationary Combustion, Table 2.5 - Default emission factors for stationary combustion in the residential and agriculture/forestry/fishing/fishing farms categories - Refer Solid biofuels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19-09-25T10:21:16.73" personId="{D991A473-21A0-4CC2-869C-9E1A501375C2}" id="{695B672A-3B00-4E02-BEAF-CC5676003ECC}">
    <text>0.15TJ/t = 4,167KWh/t (IPCC default)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un.org/Data.aspx?d=EDATA&amp;f=cmID%3aFW%3btrID%3a1231" TargetMode="External"/><Relationship Id="rId2" Type="http://schemas.openxmlformats.org/officeDocument/2006/relationships/hyperlink" Target="https://www.zamstats.gov.zm/phocadownload/Living_Conditions/2015%20Living%20Conditions%20Monitoring%20Survey%20Report.pdf" TargetMode="External"/><Relationship Id="rId1" Type="http://schemas.openxmlformats.org/officeDocument/2006/relationships/hyperlink" Target="https://data.worldbank.org/country/zambia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un.org/en/development/desa/population/publications/pdf/ageing/household_size_and_composition_around_the_world_2017_data_booklet.pdf" TargetMode="External"/><Relationship Id="rId4" Type="http://schemas.openxmlformats.org/officeDocument/2006/relationships/hyperlink" Target="http://www.fao.org/3/a-i6935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2"/>
  <sheetViews>
    <sheetView tabSelected="1" workbookViewId="0">
      <selection activeCell="I14" sqref="I14"/>
    </sheetView>
  </sheetViews>
  <sheetFormatPr defaultColWidth="9.1328125" defaultRowHeight="14.25"/>
  <cols>
    <col min="1" max="1" width="3.1328125" customWidth="1"/>
    <col min="2" max="2" width="16" customWidth="1"/>
    <col min="3" max="3" width="20.265625" customWidth="1"/>
    <col min="4" max="4" width="20.86328125" bestFit="1" customWidth="1"/>
    <col min="5" max="5" width="16.59765625" customWidth="1"/>
    <col min="6" max="6" width="15.86328125" customWidth="1"/>
    <col min="7" max="7" width="12" bestFit="1" customWidth="1"/>
    <col min="8" max="8" width="7.1328125" bestFit="1" customWidth="1"/>
    <col min="9" max="9" width="5.59765625" bestFit="1" customWidth="1"/>
    <col min="10" max="10" width="25.86328125" bestFit="1" customWidth="1"/>
    <col min="11" max="11" width="15.86328125" customWidth="1"/>
    <col min="12" max="12" width="17.59765625" customWidth="1"/>
  </cols>
  <sheetData>
    <row r="1" spans="2:6">
      <c r="B1" s="69" t="s">
        <v>0</v>
      </c>
    </row>
    <row r="2" spans="2:6">
      <c r="E2" s="8"/>
    </row>
    <row r="3" spans="2:6">
      <c r="B3" s="10" t="s">
        <v>1</v>
      </c>
      <c r="C3" s="3" t="s">
        <v>2</v>
      </c>
      <c r="D3" s="4" t="s">
        <v>3</v>
      </c>
      <c r="E3" s="57">
        <f>'Bold,HH calc'!D11</f>
        <v>6.3704789769905199</v>
      </c>
      <c r="F3" s="10" t="s">
        <v>119</v>
      </c>
    </row>
    <row r="4" spans="2:6" ht="15.4">
      <c r="B4" s="58" t="s">
        <v>4</v>
      </c>
      <c r="C4" s="2" t="s">
        <v>5</v>
      </c>
      <c r="D4" s="4" t="s">
        <v>6</v>
      </c>
      <c r="E4" s="22">
        <v>0.1</v>
      </c>
      <c r="F4" s="10"/>
    </row>
    <row r="5" spans="2:6" ht="15.75">
      <c r="B5" s="2" t="s">
        <v>7</v>
      </c>
      <c r="C5" s="2" t="s">
        <v>5</v>
      </c>
      <c r="D5" s="4" t="s">
        <v>8</v>
      </c>
      <c r="E5" s="22">
        <v>0.41599999999999998</v>
      </c>
      <c r="F5" s="10"/>
    </row>
    <row r="6" spans="2:6" ht="15.75">
      <c r="B6" s="2" t="s">
        <v>9</v>
      </c>
      <c r="C6" s="3" t="s">
        <v>2</v>
      </c>
      <c r="D6" s="4" t="s">
        <v>10</v>
      </c>
      <c r="E6" s="88">
        <f>E3*(1-E4/E5)</f>
        <v>4.8391138382908752</v>
      </c>
      <c r="F6" s="89"/>
    </row>
    <row r="7" spans="2:6" ht="15.75">
      <c r="B7" s="2" t="s">
        <v>11</v>
      </c>
      <c r="C7" s="2" t="s">
        <v>5</v>
      </c>
      <c r="D7" s="4" t="s">
        <v>12</v>
      </c>
      <c r="E7" s="22">
        <v>0.89</v>
      </c>
      <c r="F7" s="10"/>
    </row>
    <row r="8" spans="2:6" ht="15.75">
      <c r="B8" s="2" t="s">
        <v>13</v>
      </c>
      <c r="C8" s="4" t="s">
        <v>14</v>
      </c>
      <c r="D8" s="4" t="s">
        <v>6</v>
      </c>
      <c r="E8" s="22">
        <v>1.4999999999999999E-2</v>
      </c>
      <c r="F8" s="10"/>
    </row>
    <row r="9" spans="2:6" ht="18">
      <c r="B9" s="56" t="s">
        <v>15</v>
      </c>
      <c r="C9" s="59" t="s">
        <v>16</v>
      </c>
      <c r="D9" s="4" t="s">
        <v>17</v>
      </c>
      <c r="E9" s="22">
        <v>112</v>
      </c>
      <c r="F9" s="10"/>
    </row>
    <row r="10" spans="2:6" ht="18">
      <c r="B10" s="56" t="s">
        <v>18</v>
      </c>
      <c r="C10" s="59" t="s">
        <v>16</v>
      </c>
      <c r="D10" s="4" t="s">
        <v>117</v>
      </c>
      <c r="E10" s="57">
        <f>(258+2190)/2/1000*25</f>
        <v>30.599999999999998</v>
      </c>
      <c r="F10" s="10"/>
    </row>
    <row r="11" spans="2:6" ht="18">
      <c r="B11" s="56" t="s">
        <v>18</v>
      </c>
      <c r="C11" s="59" t="s">
        <v>16</v>
      </c>
      <c r="D11" s="4" t="s">
        <v>118</v>
      </c>
      <c r="E11" s="22">
        <f>298*(4+18.5)/2/1000</f>
        <v>3.3525</v>
      </c>
      <c r="F11" s="10"/>
    </row>
    <row r="12" spans="2:6" ht="18">
      <c r="B12" s="56" t="s">
        <v>15</v>
      </c>
      <c r="C12" s="59" t="s">
        <v>19</v>
      </c>
      <c r="D12" s="4" t="s">
        <v>20</v>
      </c>
      <c r="E12" s="60">
        <f>E9*E8</f>
        <v>1.68</v>
      </c>
      <c r="F12" s="10"/>
    </row>
    <row r="13" spans="2:6" ht="18">
      <c r="B13" s="56" t="s">
        <v>18</v>
      </c>
      <c r="C13" s="59" t="s">
        <v>19</v>
      </c>
      <c r="D13" s="4" t="s">
        <v>20</v>
      </c>
      <c r="E13" s="91">
        <f>(E10+E11)*E8</f>
        <v>0.5092875</v>
      </c>
      <c r="F13" s="10"/>
    </row>
    <row r="14" spans="2:6" ht="15.75">
      <c r="B14" s="6" t="s">
        <v>21</v>
      </c>
      <c r="C14" s="7" t="s">
        <v>22</v>
      </c>
      <c r="D14" s="4"/>
      <c r="E14" s="61">
        <f>E6*(E7*E12)</f>
        <v>7.2354430110125163</v>
      </c>
    </row>
    <row r="15" spans="2:6" ht="15.75">
      <c r="B15" s="6" t="s">
        <v>23</v>
      </c>
      <c r="C15" s="7" t="s">
        <v>22</v>
      </c>
      <c r="D15" s="5"/>
      <c r="E15" s="61">
        <f>E6*(E7*E13)</f>
        <v>2.193405168137522</v>
      </c>
    </row>
    <row r="16" spans="2:6">
      <c r="E16" s="53"/>
    </row>
    <row r="17" spans="2:12">
      <c r="B17" s="5" t="s">
        <v>24</v>
      </c>
    </row>
    <row r="18" spans="2:12" ht="15.75">
      <c r="B18" s="2" t="s">
        <v>21</v>
      </c>
      <c r="C18" s="4" t="s">
        <v>25</v>
      </c>
      <c r="D18" s="65">
        <f>E14/365</f>
        <v>1.9823131537020592E-2</v>
      </c>
      <c r="E18" s="10"/>
    </row>
    <row r="19" spans="2:12" ht="15.75">
      <c r="B19" s="2" t="s">
        <v>23</v>
      </c>
      <c r="C19" s="4" t="s">
        <v>25</v>
      </c>
      <c r="D19" s="65">
        <f>E15/365</f>
        <v>6.009329227774033E-3</v>
      </c>
      <c r="E19" s="10"/>
    </row>
    <row r="20" spans="2:12" ht="15.75">
      <c r="B20" s="63" t="s">
        <v>28</v>
      </c>
      <c r="C20" t="s">
        <v>26</v>
      </c>
      <c r="D20" s="14">
        <v>45000</v>
      </c>
      <c r="E20" s="10" t="s">
        <v>27</v>
      </c>
      <c r="K20" s="13"/>
      <c r="L20" s="13"/>
    </row>
    <row r="21" spans="2:12">
      <c r="C21" t="s">
        <v>29</v>
      </c>
      <c r="D21" s="1">
        <f>D20*365</f>
        <v>16425000</v>
      </c>
    </row>
    <row r="22" spans="2:12">
      <c r="B22" s="2" t="s">
        <v>30</v>
      </c>
      <c r="D22" s="11">
        <v>0.01</v>
      </c>
      <c r="E22" s="10" t="s">
        <v>31</v>
      </c>
    </row>
    <row r="24" spans="2:12" ht="30" customHeight="1">
      <c r="B24" s="15" t="s">
        <v>32</v>
      </c>
      <c r="C24" s="62" t="s">
        <v>33</v>
      </c>
      <c r="D24" s="62" t="s">
        <v>34</v>
      </c>
      <c r="E24" s="62" t="s">
        <v>35</v>
      </c>
      <c r="F24" s="62" t="s">
        <v>36</v>
      </c>
    </row>
    <row r="25" spans="2:12">
      <c r="B25" s="16"/>
      <c r="C25" s="16"/>
      <c r="D25" s="16"/>
      <c r="F25" s="16"/>
    </row>
    <row r="26" spans="2:12">
      <c r="B26" s="17">
        <v>1</v>
      </c>
      <c r="C26" s="18">
        <v>0</v>
      </c>
      <c r="D26" s="19">
        <f>$D$21*($D$18+$D$19)</f>
        <v>424298.1680617517</v>
      </c>
      <c r="E26" s="19">
        <f>ROUND((D26*$D$22),0)</f>
        <v>4243</v>
      </c>
      <c r="F26" s="19">
        <f>D26-E26</f>
        <v>420055.1680617517</v>
      </c>
    </row>
    <row r="27" spans="2:12">
      <c r="B27" s="17">
        <v>2</v>
      </c>
      <c r="C27" s="18">
        <v>0</v>
      </c>
      <c r="D27" s="19">
        <f t="shared" ref="D27:D30" si="0">$D$21*($D$18+$D$19)</f>
        <v>424298.1680617517</v>
      </c>
      <c r="E27" s="19">
        <f>ROUND((D27*$D$22),0)</f>
        <v>4243</v>
      </c>
      <c r="F27" s="19">
        <f t="shared" ref="F27:F30" si="1">D27-E27</f>
        <v>420055.1680617517</v>
      </c>
    </row>
    <row r="28" spans="2:12">
      <c r="B28" s="17">
        <v>3</v>
      </c>
      <c r="C28" s="18">
        <v>0</v>
      </c>
      <c r="D28" s="19">
        <f t="shared" si="0"/>
        <v>424298.1680617517</v>
      </c>
      <c r="E28" s="19">
        <f>ROUND((D28*$D$22),0)</f>
        <v>4243</v>
      </c>
      <c r="F28" s="19">
        <f t="shared" si="1"/>
        <v>420055.1680617517</v>
      </c>
    </row>
    <row r="29" spans="2:12">
      <c r="B29" s="17">
        <v>4</v>
      </c>
      <c r="C29" s="18">
        <v>0</v>
      </c>
      <c r="D29" s="19">
        <f t="shared" si="0"/>
        <v>424298.1680617517</v>
      </c>
      <c r="E29" s="19">
        <f>ROUND((D29*$D$22),0)</f>
        <v>4243</v>
      </c>
      <c r="F29" s="19">
        <f t="shared" si="1"/>
        <v>420055.1680617517</v>
      </c>
    </row>
    <row r="30" spans="2:12">
      <c r="B30" s="17">
        <v>5</v>
      </c>
      <c r="C30" s="18">
        <v>0</v>
      </c>
      <c r="D30" s="19">
        <f t="shared" si="0"/>
        <v>424298.1680617517</v>
      </c>
      <c r="E30" s="19">
        <f>ROUND((D30*$D$22),0)</f>
        <v>4243</v>
      </c>
      <c r="F30" s="19">
        <f t="shared" si="1"/>
        <v>420055.1680617517</v>
      </c>
    </row>
    <row r="31" spans="2:12">
      <c r="B31" s="20" t="s">
        <v>37</v>
      </c>
      <c r="C31" s="21">
        <f>SUM(C26:C30)</f>
        <v>0</v>
      </c>
      <c r="D31" s="21">
        <f>SUM(D26:D30)</f>
        <v>2121490.8403087584</v>
      </c>
      <c r="E31" s="21">
        <f>SUM(E26:E30)</f>
        <v>21215</v>
      </c>
      <c r="F31" s="21">
        <f>SUM(F26:F30)</f>
        <v>2100275.8403087584</v>
      </c>
    </row>
    <row r="32" spans="2:12">
      <c r="B32" s="5" t="s">
        <v>38</v>
      </c>
      <c r="C32" s="21">
        <f>AVERAGE(C26:C30)</f>
        <v>0</v>
      </c>
      <c r="D32" s="21">
        <f t="shared" ref="D32:F32" si="2">AVERAGE(D26:D30)</f>
        <v>424298.1680617517</v>
      </c>
      <c r="E32" s="21">
        <f t="shared" si="2"/>
        <v>4243</v>
      </c>
      <c r="F32" s="21">
        <f t="shared" si="2"/>
        <v>420055.1680617517</v>
      </c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9"/>
  <sheetViews>
    <sheetView topLeftCell="D1" workbookViewId="0">
      <selection activeCell="E4" sqref="E4"/>
    </sheetView>
  </sheetViews>
  <sheetFormatPr defaultRowHeight="14.25"/>
  <cols>
    <col min="1" max="1" width="2.73046875" customWidth="1"/>
    <col min="2" max="2" width="18.59765625" bestFit="1" customWidth="1"/>
    <col min="3" max="3" width="17.3984375" bestFit="1" customWidth="1"/>
    <col min="4" max="4" width="28.265625" bestFit="1" customWidth="1"/>
    <col min="5" max="5" width="12" bestFit="1" customWidth="1"/>
    <col min="6" max="6" width="9.265625" bestFit="1" customWidth="1"/>
    <col min="7" max="7" width="16.265625" customWidth="1"/>
    <col min="8" max="8" width="20.265625" bestFit="1" customWidth="1"/>
    <col min="9" max="9" width="11.73046875" bestFit="1" customWidth="1"/>
    <col min="10" max="10" width="6.86328125" customWidth="1"/>
    <col min="11" max="11" width="16.59765625" customWidth="1"/>
    <col min="12" max="12" width="20.265625" bestFit="1" customWidth="1"/>
    <col min="13" max="13" width="11.73046875" bestFit="1" customWidth="1"/>
  </cols>
  <sheetData>
    <row r="1" spans="2:13">
      <c r="B1" s="69" t="s">
        <v>45</v>
      </c>
      <c r="G1" s="69" t="s">
        <v>46</v>
      </c>
      <c r="J1" s="69"/>
      <c r="K1" s="69" t="s">
        <v>47</v>
      </c>
    </row>
    <row r="3" spans="2:13">
      <c r="B3" s="2" t="s">
        <v>48</v>
      </c>
      <c r="C3" s="3" t="s">
        <v>49</v>
      </c>
      <c r="D3" s="4" t="s">
        <v>50</v>
      </c>
      <c r="E3" s="57">
        <f>'Bold,HH calc'!D11</f>
        <v>6.3704789769905199</v>
      </c>
      <c r="F3" s="10"/>
      <c r="G3" t="str">
        <f>B3</f>
        <v xml:space="preserve">Bold,I </v>
      </c>
      <c r="H3" s="85" t="str">
        <f>C3</f>
        <v>tonnes</v>
      </c>
      <c r="I3" s="57">
        <f>E3</f>
        <v>6.3704789769905199</v>
      </c>
      <c r="J3" s="53"/>
      <c r="K3" t="str">
        <f>B4</f>
        <v>Bp,y,i</v>
      </c>
      <c r="L3" t="str">
        <f>C4</f>
        <v>tonnes</v>
      </c>
      <c r="M3">
        <f>E4</f>
        <v>1.54</v>
      </c>
    </row>
    <row r="4" spans="2:13" ht="15.75">
      <c r="B4" s="63" t="s">
        <v>51</v>
      </c>
      <c r="C4" s="2" t="s">
        <v>49</v>
      </c>
      <c r="D4" t="s">
        <v>52</v>
      </c>
      <c r="E4" s="22">
        <v>1.54</v>
      </c>
      <c r="F4" s="10" t="s">
        <v>31</v>
      </c>
      <c r="G4" t="str">
        <f t="shared" ref="G4:H9" si="0">B6</f>
        <v xml:space="preserve">ƒNRB, y </v>
      </c>
      <c r="H4" t="str">
        <f t="shared" si="0"/>
        <v>fraction</v>
      </c>
      <c r="I4" s="22">
        <f>E6</f>
        <v>0.89</v>
      </c>
      <c r="K4" t="str">
        <f t="shared" ref="K4:L9" si="1">B6</f>
        <v xml:space="preserve">ƒNRB, y </v>
      </c>
      <c r="L4" t="str">
        <f t="shared" si="1"/>
        <v>fraction</v>
      </c>
      <c r="M4">
        <f>E6</f>
        <v>0.89</v>
      </c>
    </row>
    <row r="5" spans="2:13" ht="15.75">
      <c r="B5" s="2" t="s">
        <v>53</v>
      </c>
      <c r="C5" s="3" t="s">
        <v>54</v>
      </c>
      <c r="D5" s="4" t="s">
        <v>10</v>
      </c>
      <c r="E5" s="57">
        <f>E3-E4</f>
        <v>4.8304789769905199</v>
      </c>
      <c r="G5" t="str">
        <f t="shared" si="0"/>
        <v>NCVbiomass (TJ/t)</v>
      </c>
      <c r="H5" t="str">
        <f t="shared" si="0"/>
        <v>TJ/t</v>
      </c>
      <c r="I5" s="22">
        <f>E7</f>
        <v>1.4999999999999999E-2</v>
      </c>
      <c r="K5" t="str">
        <f t="shared" si="1"/>
        <v>NCVbiomass (TJ/t)</v>
      </c>
      <c r="L5" t="str">
        <f t="shared" si="1"/>
        <v>TJ/t</v>
      </c>
      <c r="M5">
        <f>E7</f>
        <v>1.4999999999999999E-2</v>
      </c>
    </row>
    <row r="6" spans="2:13" ht="15.75">
      <c r="B6" s="2" t="s">
        <v>55</v>
      </c>
      <c r="C6" s="2" t="s">
        <v>5</v>
      </c>
      <c r="D6" s="4" t="s">
        <v>50</v>
      </c>
      <c r="E6" s="22">
        <f>'Ex-Ante'!E7</f>
        <v>0.89</v>
      </c>
      <c r="G6" t="str">
        <f t="shared" si="0"/>
        <v>EFb,fuel,CO2</v>
      </c>
      <c r="H6" t="str">
        <f t="shared" si="0"/>
        <v>tCO2/tonnes of wood</v>
      </c>
      <c r="I6" s="91">
        <f>E8</f>
        <v>1.68</v>
      </c>
      <c r="K6" t="str">
        <f t="shared" si="1"/>
        <v>EFb,fuel,CO2</v>
      </c>
      <c r="L6" t="str">
        <f t="shared" si="1"/>
        <v>tCO2/tonnes of wood</v>
      </c>
      <c r="M6">
        <f>E8</f>
        <v>1.68</v>
      </c>
    </row>
    <row r="7" spans="2:13" ht="15.75">
      <c r="B7" s="2" t="s">
        <v>56</v>
      </c>
      <c r="C7" s="4" t="s">
        <v>14</v>
      </c>
      <c r="D7" t="s">
        <v>6</v>
      </c>
      <c r="E7" s="22">
        <f>'Ex-Ante'!E8</f>
        <v>1.4999999999999999E-2</v>
      </c>
      <c r="G7" t="str">
        <f t="shared" si="0"/>
        <v>EFb,fuel,nonCO2</v>
      </c>
      <c r="H7" t="str">
        <f t="shared" si="0"/>
        <v>tCO2/tonnes of wood</v>
      </c>
      <c r="I7" s="91">
        <f>E9</f>
        <v>0.5092875</v>
      </c>
      <c r="K7" t="str">
        <f t="shared" si="1"/>
        <v>EFb,fuel,nonCO2</v>
      </c>
      <c r="L7" t="str">
        <f t="shared" si="1"/>
        <v>tCO2/tonnes of wood</v>
      </c>
      <c r="M7">
        <f>E9</f>
        <v>0.5092875</v>
      </c>
    </row>
    <row r="8" spans="2:13" ht="15.75" customHeight="1">
      <c r="B8" s="56" t="s">
        <v>15</v>
      </c>
      <c r="C8" s="59" t="s">
        <v>57</v>
      </c>
      <c r="D8" s="4" t="s">
        <v>17</v>
      </c>
      <c r="E8" s="60">
        <f>'Ex-Ante'!E12</f>
        <v>1.68</v>
      </c>
      <c r="G8" t="str">
        <f t="shared" si="0"/>
        <v>ERb,p,y,CO2</v>
      </c>
      <c r="H8" t="str">
        <f t="shared" si="0"/>
        <v>t CO2</v>
      </c>
      <c r="I8" s="91">
        <f>I3*I4*I6</f>
        <v>9.5251401663962252</v>
      </c>
      <c r="K8" t="str">
        <f t="shared" si="1"/>
        <v>ERb,p,y,CO2</v>
      </c>
      <c r="L8" t="str">
        <f t="shared" si="1"/>
        <v>t CO2</v>
      </c>
      <c r="M8">
        <f>M3*M4*M6</f>
        <v>2.3026079999999998</v>
      </c>
    </row>
    <row r="9" spans="2:13" ht="15.75" customHeight="1">
      <c r="B9" s="56" t="s">
        <v>18</v>
      </c>
      <c r="C9" s="59" t="s">
        <v>57</v>
      </c>
      <c r="D9" s="4" t="s">
        <v>17</v>
      </c>
      <c r="E9" s="91">
        <f>'Ex-Ante'!E13</f>
        <v>0.5092875</v>
      </c>
      <c r="G9" t="str">
        <f t="shared" si="0"/>
        <v>ERb,p,y,nonCO2</v>
      </c>
      <c r="H9" t="str">
        <f t="shared" si="0"/>
        <v>t CO2</v>
      </c>
      <c r="I9" s="91">
        <f>I3*I4*I7</f>
        <v>2.8875207276747132</v>
      </c>
      <c r="K9" t="str">
        <f t="shared" si="1"/>
        <v>ERb,p,y,nonCO2</v>
      </c>
      <c r="L9" t="str">
        <f t="shared" si="1"/>
        <v>t CO2</v>
      </c>
      <c r="M9">
        <f>M3*M4*M7</f>
        <v>0.69802944750000007</v>
      </c>
    </row>
    <row r="10" spans="2:13" ht="15.75">
      <c r="B10" s="6" t="s">
        <v>21</v>
      </c>
      <c r="C10" s="7" t="s">
        <v>58</v>
      </c>
      <c r="D10" s="4"/>
      <c r="E10" s="61">
        <f>E5*(E6*E8)</f>
        <v>7.222532166396225</v>
      </c>
    </row>
    <row r="11" spans="2:13" ht="15.75">
      <c r="B11" s="6" t="s">
        <v>23</v>
      </c>
      <c r="C11" s="7" t="s">
        <v>58</v>
      </c>
      <c r="D11" s="5"/>
      <c r="E11" s="61">
        <f>E5*(E6*E9)</f>
        <v>2.1894912801747126</v>
      </c>
    </row>
    <row r="12" spans="2:13">
      <c r="B12" s="6"/>
      <c r="C12" s="7"/>
      <c r="D12" s="5"/>
      <c r="E12" s="61"/>
    </row>
    <row r="13" spans="2:13">
      <c r="B13" t="s">
        <v>59</v>
      </c>
      <c r="C13" t="s">
        <v>60</v>
      </c>
      <c r="E13" s="66">
        <f>(E10+E11)/365</f>
        <v>2.5786365607043667E-2</v>
      </c>
      <c r="G13" t="s">
        <v>61</v>
      </c>
      <c r="H13" t="s">
        <v>62</v>
      </c>
      <c r="I13">
        <f>(I8+I9)/365</f>
        <v>3.4007290120742301E-2</v>
      </c>
      <c r="K13" t="s">
        <v>63</v>
      </c>
      <c r="L13" t="s">
        <v>62</v>
      </c>
      <c r="M13">
        <f>(M8+M9)/365</f>
        <v>8.2209245136986298E-3</v>
      </c>
    </row>
    <row r="14" spans="2:13" ht="15.75">
      <c r="B14" s="63" t="s">
        <v>28</v>
      </c>
      <c r="C14" t="s">
        <v>64</v>
      </c>
      <c r="D14" t="s">
        <v>65</v>
      </c>
      <c r="E14" s="67">
        <f>'Ex-Ante'!D20*365</f>
        <v>16425000</v>
      </c>
      <c r="F14" s="10"/>
      <c r="G14" t="str">
        <f>B14</f>
        <v>Np,y</v>
      </c>
      <c r="H14" t="str">
        <f>C14</f>
        <v>days</v>
      </c>
      <c r="I14" s="1">
        <f>E14</f>
        <v>16425000</v>
      </c>
      <c r="K14" t="str">
        <f>B14</f>
        <v>Np,y</v>
      </c>
      <c r="L14" t="str">
        <f>C14</f>
        <v>days</v>
      </c>
      <c r="M14" s="1">
        <f>E14</f>
        <v>16425000</v>
      </c>
    </row>
    <row r="15" spans="2:13" ht="15">
      <c r="B15" s="64" t="s">
        <v>66</v>
      </c>
      <c r="C15" t="s">
        <v>5</v>
      </c>
      <c r="D15" t="s">
        <v>67</v>
      </c>
      <c r="E15" s="57">
        <v>0.9</v>
      </c>
      <c r="F15" s="10" t="s">
        <v>68</v>
      </c>
      <c r="G15" t="str">
        <f>B15</f>
        <v>Up,y</v>
      </c>
      <c r="H15" t="str">
        <f>C15</f>
        <v>fraction</v>
      </c>
      <c r="I15" s="53">
        <f>E15</f>
        <v>0.9</v>
      </c>
      <c r="K15" t="str">
        <f>B15</f>
        <v>Up,y</v>
      </c>
      <c r="L15" t="str">
        <f>C15</f>
        <v>fraction</v>
      </c>
      <c r="M15" s="53">
        <f>E15</f>
        <v>0.9</v>
      </c>
    </row>
    <row r="16" spans="2:13" ht="15.75">
      <c r="B16" s="6" t="s">
        <v>69</v>
      </c>
      <c r="C16" s="7" t="s">
        <v>58</v>
      </c>
      <c r="E16" s="68">
        <f>E14*E13*E15</f>
        <v>381186.949586123</v>
      </c>
      <c r="G16" t="s">
        <v>70</v>
      </c>
      <c r="I16" s="86">
        <f>I13*I14*I15</f>
        <v>502712.76620987314</v>
      </c>
      <c r="K16" t="s">
        <v>71</v>
      </c>
      <c r="M16" s="86">
        <f>M13*M14*M15</f>
        <v>121525.81662375</v>
      </c>
    </row>
    <row r="17" spans="2:13">
      <c r="B17" t="s">
        <v>72</v>
      </c>
      <c r="C17" t="s">
        <v>54</v>
      </c>
      <c r="D17" t="s">
        <v>73</v>
      </c>
      <c r="E17" s="22">
        <v>0.01</v>
      </c>
      <c r="G17" t="str">
        <f>B17</f>
        <v>Ly</v>
      </c>
      <c r="H17" t="str">
        <f>C17</f>
        <v>t/a</v>
      </c>
      <c r="I17">
        <f>E17</f>
        <v>0.01</v>
      </c>
      <c r="K17" t="str">
        <f>B17</f>
        <v>Ly</v>
      </c>
      <c r="L17" t="str">
        <f>C17</f>
        <v>t/a</v>
      </c>
      <c r="M17">
        <f>E17</f>
        <v>0.01</v>
      </c>
    </row>
    <row r="18" spans="2:13" ht="15.75">
      <c r="B18" s="6" t="s">
        <v>74</v>
      </c>
      <c r="C18" s="7" t="s">
        <v>58</v>
      </c>
      <c r="E18" s="68">
        <f>E16*(1-E17)</f>
        <v>377375.08009026176</v>
      </c>
      <c r="G18" t="s">
        <v>75</v>
      </c>
      <c r="H18" t="str">
        <f>C18</f>
        <v>t CO2</v>
      </c>
      <c r="I18" s="86">
        <f>I16*(1-I17)</f>
        <v>497685.6385477744</v>
      </c>
      <c r="K18" t="s">
        <v>76</v>
      </c>
      <c r="L18" t="str">
        <f>C18</f>
        <v>t CO2</v>
      </c>
      <c r="M18" s="86">
        <f>M16*(1-M17)</f>
        <v>120310.5584575125</v>
      </c>
    </row>
    <row r="19" spans="2:13">
      <c r="G19" s="5" t="s">
        <v>77</v>
      </c>
      <c r="H19" t="s">
        <v>58</v>
      </c>
      <c r="I19" s="87">
        <f>I18-M18</f>
        <v>377375.08009026188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181E-EA14-401C-BCD2-94B71A675A90}">
  <dimension ref="B2:E8"/>
  <sheetViews>
    <sheetView workbookViewId="0">
      <selection activeCell="B7" sqref="B7"/>
    </sheetView>
  </sheetViews>
  <sheetFormatPr defaultRowHeight="14.25"/>
  <cols>
    <col min="2" max="2" width="36.3984375" bestFit="1" customWidth="1"/>
    <col min="5" max="5" width="16.86328125" customWidth="1"/>
  </cols>
  <sheetData>
    <row r="2" spans="2:5">
      <c r="B2" s="70" t="s">
        <v>39</v>
      </c>
      <c r="C2" s="71"/>
      <c r="D2" s="71"/>
      <c r="E2" s="72"/>
    </row>
    <row r="3" spans="2:5">
      <c r="B3" s="73"/>
      <c r="C3" s="9"/>
      <c r="E3" s="74"/>
    </row>
    <row r="4" spans="2:5">
      <c r="B4" s="73" t="s">
        <v>40</v>
      </c>
      <c r="C4" s="22">
        <v>180</v>
      </c>
      <c r="E4" s="75"/>
    </row>
    <row r="5" spans="2:5">
      <c r="B5" s="76" t="s">
        <v>41</v>
      </c>
      <c r="C5" s="12">
        <f>('Ex-Ante'!E6*0.004167)</f>
        <v>2.0164587364158076E-2</v>
      </c>
      <c r="E5" s="77"/>
    </row>
    <row r="6" spans="2:5">
      <c r="B6" s="73" t="s">
        <v>42</v>
      </c>
      <c r="C6" s="78">
        <f>C5/C4</f>
        <v>1.1202548535643375E-4</v>
      </c>
      <c r="D6" s="10" t="s">
        <v>43</v>
      </c>
      <c r="E6" s="79"/>
    </row>
    <row r="7" spans="2:5">
      <c r="B7" s="80" t="s">
        <v>44</v>
      </c>
      <c r="C7" s="81">
        <f>C5*'Ex-Ante'!D20</f>
        <v>907.40643138711346</v>
      </c>
      <c r="E7" s="79"/>
    </row>
    <row r="8" spans="2:5">
      <c r="B8" s="82"/>
      <c r="C8" s="83"/>
      <c r="D8" s="83"/>
      <c r="E8" s="84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4944-B847-41E6-A61F-AE41088D6D9B}">
  <dimension ref="B2:H23"/>
  <sheetViews>
    <sheetView workbookViewId="0">
      <selection activeCell="D18" sqref="D18"/>
    </sheetView>
  </sheetViews>
  <sheetFormatPr defaultRowHeight="14.25"/>
  <cols>
    <col min="2" max="2" width="10.1328125" bestFit="1" customWidth="1"/>
    <col min="3" max="3" width="36.73046875" bestFit="1" customWidth="1"/>
    <col min="4" max="4" width="13" customWidth="1"/>
    <col min="5" max="5" width="7.73046875" customWidth="1"/>
    <col min="6" max="6" width="16" bestFit="1" customWidth="1"/>
    <col min="7" max="7" width="10.265625" customWidth="1"/>
    <col min="8" max="8" width="147.1328125" bestFit="1" customWidth="1"/>
  </cols>
  <sheetData>
    <row r="2" spans="2:8">
      <c r="B2" s="23" t="s">
        <v>78</v>
      </c>
      <c r="C2" s="24" t="s">
        <v>79</v>
      </c>
      <c r="D2" s="23" t="s">
        <v>80</v>
      </c>
      <c r="E2" s="25" t="s">
        <v>81</v>
      </c>
      <c r="F2" s="23" t="s">
        <v>82</v>
      </c>
      <c r="G2" s="26" t="s">
        <v>83</v>
      </c>
    </row>
    <row r="3" spans="2:8">
      <c r="B3" s="27" t="s">
        <v>84</v>
      </c>
      <c r="C3" s="28" t="s">
        <v>85</v>
      </c>
      <c r="D3" s="29">
        <v>14722000</v>
      </c>
      <c r="E3" s="30" t="s">
        <v>86</v>
      </c>
      <c r="F3" s="31" t="s">
        <v>87</v>
      </c>
      <c r="G3" s="32">
        <v>2017</v>
      </c>
      <c r="H3" s="33" t="s">
        <v>88</v>
      </c>
    </row>
    <row r="4" spans="2:8">
      <c r="B4" s="27" t="s">
        <v>89</v>
      </c>
      <c r="C4" s="34" t="s">
        <v>90</v>
      </c>
      <c r="D4" s="27">
        <v>0.72499999999999998</v>
      </c>
      <c r="E4" t="s">
        <v>91</v>
      </c>
      <c r="F4" s="27" t="s">
        <v>92</v>
      </c>
      <c r="G4" s="35">
        <v>2017</v>
      </c>
      <c r="H4" s="33" t="s">
        <v>93</v>
      </c>
    </row>
    <row r="5" spans="2:8">
      <c r="B5" s="27" t="s">
        <v>94</v>
      </c>
      <c r="C5" s="34" t="s">
        <v>95</v>
      </c>
      <c r="D5" s="36">
        <f>D3*D4</f>
        <v>10673450</v>
      </c>
      <c r="E5" s="1" t="s">
        <v>96</v>
      </c>
      <c r="F5" s="37" t="s">
        <v>97</v>
      </c>
      <c r="G5" s="35"/>
    </row>
    <row r="6" spans="2:8">
      <c r="B6" s="27" t="s">
        <v>98</v>
      </c>
      <c r="C6" s="34" t="s">
        <v>99</v>
      </c>
      <c r="D6" s="36">
        <v>16853688</v>
      </c>
      <c r="E6" s="1"/>
      <c r="F6" s="27" t="s">
        <v>100</v>
      </c>
      <c r="G6" s="35">
        <v>2017</v>
      </c>
      <c r="H6" s="33" t="s">
        <v>101</v>
      </c>
    </row>
    <row r="7" spans="2:8">
      <c r="B7" s="27" t="s">
        <v>102</v>
      </c>
      <c r="C7" s="34" t="s">
        <v>103</v>
      </c>
      <c r="D7" s="38">
        <v>0.50700000000000001</v>
      </c>
      <c r="E7" s="39"/>
      <c r="F7" s="27" t="s">
        <v>104</v>
      </c>
      <c r="G7" s="35">
        <v>2015</v>
      </c>
      <c r="H7" s="33" t="s">
        <v>105</v>
      </c>
    </row>
    <row r="8" spans="2:8">
      <c r="B8" s="27" t="s">
        <v>106</v>
      </c>
      <c r="C8" s="34" t="s">
        <v>107</v>
      </c>
      <c r="D8" s="36">
        <f>D6*D7</f>
        <v>8544819.8159999996</v>
      </c>
      <c r="E8" s="1"/>
      <c r="F8" s="37" t="s">
        <v>108</v>
      </c>
      <c r="G8" s="35"/>
    </row>
    <row r="9" spans="2:8">
      <c r="B9" s="27" t="s">
        <v>109</v>
      </c>
      <c r="C9" s="34" t="s">
        <v>110</v>
      </c>
      <c r="D9" s="40">
        <f>D5/D8</f>
        <v>1.249113524900102</v>
      </c>
      <c r="E9" t="s">
        <v>96</v>
      </c>
      <c r="F9" s="37" t="s">
        <v>111</v>
      </c>
      <c r="G9" s="35"/>
    </row>
    <row r="10" spans="2:8">
      <c r="B10" s="27" t="s">
        <v>112</v>
      </c>
      <c r="C10" s="41" t="s">
        <v>113</v>
      </c>
      <c r="D10" s="42">
        <v>5.0999999999999996</v>
      </c>
      <c r="E10" s="43"/>
      <c r="F10" s="42" t="s">
        <v>104</v>
      </c>
      <c r="G10" s="44">
        <v>2017</v>
      </c>
      <c r="H10" s="33" t="s">
        <v>114</v>
      </c>
    </row>
    <row r="11" spans="2:8">
      <c r="B11" s="45"/>
      <c r="C11" s="46" t="s">
        <v>115</v>
      </c>
      <c r="D11" s="47">
        <f>D10*D9</f>
        <v>6.3704789769905199</v>
      </c>
      <c r="E11" s="48" t="s">
        <v>96</v>
      </c>
      <c r="F11" s="49" t="s">
        <v>116</v>
      </c>
      <c r="G11" s="50"/>
    </row>
    <row r="12" spans="2:8">
      <c r="C12" s="90"/>
    </row>
    <row r="14" spans="2:8">
      <c r="B14" s="5"/>
      <c r="C14" s="5"/>
      <c r="D14" s="5"/>
      <c r="E14" s="5"/>
      <c r="F14" s="5"/>
      <c r="G14" s="5"/>
    </row>
    <row r="15" spans="2:8">
      <c r="D15" s="1"/>
      <c r="E15" s="1"/>
      <c r="G15" s="51"/>
      <c r="H15" s="52"/>
    </row>
    <row r="16" spans="2:8">
      <c r="G16" s="51"/>
      <c r="H16" s="52"/>
    </row>
    <row r="17" spans="3:8">
      <c r="D17" s="1"/>
      <c r="E17" s="1"/>
      <c r="F17" s="10"/>
      <c r="G17" s="51"/>
    </row>
    <row r="18" spans="3:8">
      <c r="D18" s="1"/>
      <c r="E18" s="1"/>
      <c r="G18" s="51"/>
      <c r="H18" s="52"/>
    </row>
    <row r="19" spans="3:8">
      <c r="D19" s="39"/>
      <c r="E19" s="39"/>
      <c r="G19" s="51"/>
      <c r="H19" s="52"/>
    </row>
    <row r="20" spans="3:8">
      <c r="D20" s="1"/>
      <c r="E20" s="1"/>
      <c r="F20" s="10"/>
      <c r="G20" s="51"/>
    </row>
    <row r="21" spans="3:8">
      <c r="D21" s="53"/>
      <c r="F21" s="10"/>
      <c r="G21" s="51"/>
    </row>
    <row r="22" spans="3:8">
      <c r="G22" s="51"/>
      <c r="H22" s="52"/>
    </row>
    <row r="23" spans="3:8">
      <c r="C23" s="54"/>
      <c r="D23" s="55"/>
      <c r="F23" s="10"/>
    </row>
  </sheetData>
  <hyperlinks>
    <hyperlink ref="H6" r:id="rId1" xr:uid="{BC89590E-203B-4921-BEF3-1C69037E05D7}"/>
    <hyperlink ref="H7" r:id="rId2" xr:uid="{D1F463E1-9B82-406D-B0AB-9C6A31ACEF97}"/>
    <hyperlink ref="H3" r:id="rId3" location="f_1" xr:uid="{9367F6DC-94A7-4A5C-B1EB-1395C806348C}"/>
    <hyperlink ref="H4" r:id="rId4" xr:uid="{91F617E5-A64F-4FDC-9496-D169FA92040B}"/>
    <hyperlink ref="H10" r:id="rId5" xr:uid="{2F78AB3B-AB85-406D-ACED-E942308073B2}"/>
  </hyperlinks>
  <pageMargins left="0.7" right="0.7" top="0.75" bottom="0.75" header="0.3" footer="0.3"/>
  <pageSetup paperSize="9" orientation="portrait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rkbookStorage xmlns:xsd="http://www.w3.org/2001/XMLSchema" xmlns:xsi="http://www.w3.org/2001/XMLSchema-instance" xmlns="WorkbookStorage">
  <StorageDictionary/>
</WorkbookStorage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F8A24BDA156408750DD73BBCB35FD" ma:contentTypeVersion="13" ma:contentTypeDescription="Create a new document." ma:contentTypeScope="" ma:versionID="9fc4a248195ee5ae5a6100ae3962ae63">
  <xsd:schema xmlns:xsd="http://www.w3.org/2001/XMLSchema" xmlns:xs="http://www.w3.org/2001/XMLSchema" xmlns:p="http://schemas.microsoft.com/office/2006/metadata/properties" xmlns:ns2="269cd23b-b011-4b0e-8b15-579f85438ccf" xmlns:ns3="4cf0473a-18b3-4c49-a73d-d56e1aebdd8d" targetNamespace="http://schemas.microsoft.com/office/2006/metadata/properties" ma:root="true" ma:fieldsID="c53330fa83ac2668cd85b819594321fd" ns2:_="" ns3:_="">
    <xsd:import namespace="269cd23b-b011-4b0e-8b15-579f85438ccf"/>
    <xsd:import namespace="4cf0473a-18b3-4c49-a73d-d56e1aebd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cd23b-b011-4b0e-8b15-579f85438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473a-18b3-4c49-a73d-d56e1aebdd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cf0473a-18b3-4c49-a73d-d56e1aebdd8d">
      <UserInfo>
        <DisplayName>Sriskandh Subramanian</DisplayName>
        <AccountId>87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B2F477-4175-4ECD-81F3-CFB5C591171C}">
  <ds:schemaRefs>
    <ds:schemaRef ds:uri="http://www.w3.org/2001/XMLSchema"/>
    <ds:schemaRef ds:uri="WorkbookStorage"/>
  </ds:schemaRefs>
</ds:datastoreItem>
</file>

<file path=customXml/itemProps2.xml><?xml version="1.0" encoding="utf-8"?>
<ds:datastoreItem xmlns:ds="http://schemas.openxmlformats.org/officeDocument/2006/customXml" ds:itemID="{C5A130EA-19DF-42C8-BD55-072749794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9cd23b-b011-4b0e-8b15-579f85438ccf"/>
    <ds:schemaRef ds:uri="4cf0473a-18b3-4c49-a73d-d56e1aebdd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8152A-6FB7-4C61-A15D-8AB12C44D264}">
  <ds:schemaRefs>
    <ds:schemaRef ds:uri="http://schemas.microsoft.com/office/2006/metadata/properties"/>
    <ds:schemaRef ds:uri="http://schemas.microsoft.com/office/infopath/2007/PartnerControls"/>
    <ds:schemaRef ds:uri="4cf0473a-18b3-4c49-a73d-d56e1aebdd8d"/>
  </ds:schemaRefs>
</ds:datastoreItem>
</file>

<file path=customXml/itemProps4.xml><?xml version="1.0" encoding="utf-8"?>
<ds:datastoreItem xmlns:ds="http://schemas.openxmlformats.org/officeDocument/2006/customXml" ds:itemID="{AA7DD9E6-1226-428A-8088-DDF216009C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Ex-Ante</vt:lpstr>
      <vt:lpstr>Ex-Post</vt:lpstr>
      <vt:lpstr>Threshold assessment</vt:lpstr>
      <vt:lpstr>Bold,HH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Nick Marshall</cp:lastModifiedBy>
  <cp:revision/>
  <dcterms:created xsi:type="dcterms:W3CDTF">2011-01-19T14:29:30Z</dcterms:created>
  <dcterms:modified xsi:type="dcterms:W3CDTF">2022-02-18T16:17:27Z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0x010100B00F8A24BDA156408750DD73BBCB35FD</vt:lpwstr>
  </property>
</Properties>
</file>