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scje.sharepoint.com/Carbon/TASC GS PoA/VPA 2 Zimbabwe Rift Valley/VVB validation/Findings/"/>
    </mc:Choice>
  </mc:AlternateContent>
  <xr:revisionPtr revIDLastSave="21" documentId="13_ncr:1_{FD7393F8-C2F8-4919-8ED2-415D8E864C81}" xr6:coauthVersionLast="47" xr6:coauthVersionMax="47" xr10:uidLastSave="{417B57D8-BA63-41D3-91FE-ACF997DAE5CD}"/>
  <bookViews>
    <workbookView xWindow="-120" yWindow="-120" windowWidth="29040" windowHeight="17640" xr2:uid="{00000000-000D-0000-FFFF-FFFF00000000}"/>
  </bookViews>
  <sheets>
    <sheet name="Ex-Ante" sheetId="1" r:id="rId1"/>
    <sheet name="Threshold assessment" sheetId="4" r:id="rId2"/>
    <sheet name="Bold,HH calc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4" i="1"/>
  <c r="E13" i="1"/>
  <c r="E3" i="1"/>
  <c r="D5" i="3" l="1"/>
  <c r="C33" i="1" l="1"/>
  <c r="D22" i="1"/>
  <c r="D8" i="3"/>
  <c r="D9" i="3" l="1"/>
  <c r="D11" i="3" s="1"/>
  <c r="C32" i="1" l="1"/>
  <c r="E6" i="1" l="1"/>
  <c r="E7" i="1" s="1"/>
  <c r="C5" i="4" l="1"/>
  <c r="C6" i="4" s="1"/>
  <c r="E15" i="1"/>
  <c r="D19" i="1" s="1"/>
  <c r="E16" i="1"/>
  <c r="D20" i="1" s="1"/>
  <c r="C7" i="4" l="1"/>
  <c r="D27" i="1"/>
  <c r="D28" i="1"/>
  <c r="E28" i="1" s="1"/>
  <c r="F28" i="1" s="1"/>
  <c r="D29" i="1"/>
  <c r="E29" i="1" s="1"/>
  <c r="F29" i="1" s="1"/>
  <c r="D30" i="1"/>
  <c r="D31" i="1"/>
  <c r="E31" i="1" s="1"/>
  <c r="F31" i="1" s="1"/>
  <c r="D33" i="1" l="1"/>
  <c r="D32" i="1"/>
  <c r="E27" i="1"/>
  <c r="E30" i="1"/>
  <c r="F30" i="1" s="1"/>
  <c r="F27" i="1" l="1"/>
  <c r="F33" i="1" s="1"/>
  <c r="G33" i="1" s="1"/>
  <c r="E33" i="1"/>
  <c r="E32" i="1"/>
  <c r="F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tc={695B672A-3B00-4E02-BEAF-CC5676003ECC}</author>
  </authors>
  <commentList>
    <comment ref="C5" authorId="0" shapeId="0" xr:uid="{695B672A-3B00-4E02-BEAF-CC5676003ECC}">
      <text>
        <t>[Threaded comment]
Your version of Excel allows you to read this threaded comment; however, any edits to it will get removed if the file is opened in a newer version of Excel. Learn more: https://go.microsoft.com/fwlink/?linkid=870924
Comment:
    0.15TJ/t = 4,167KWh/t (IPCC default)</t>
      </text>
    </comment>
  </commentList>
</comments>
</file>

<file path=xl/sharedStrings.xml><?xml version="1.0" encoding="utf-8"?>
<sst xmlns="http://schemas.openxmlformats.org/spreadsheetml/2006/main" count="110" uniqueCount="90">
  <si>
    <t>Ex-ante VPA emissions calculation</t>
  </si>
  <si>
    <r>
      <t>B</t>
    </r>
    <r>
      <rPr>
        <i/>
        <sz val="8"/>
        <color theme="1"/>
        <rFont val="Calibri"/>
        <family val="2"/>
        <scheme val="minor"/>
      </rPr>
      <t>b,y</t>
    </r>
  </si>
  <si>
    <t>t/annum</t>
  </si>
  <si>
    <t>Calculated</t>
  </si>
  <si>
    <t>Bold, HH calc</t>
  </si>
  <si>
    <r>
      <t>η</t>
    </r>
    <r>
      <rPr>
        <i/>
        <sz val="8"/>
        <color theme="1"/>
        <rFont val="Arial"/>
        <family val="2"/>
      </rPr>
      <t>old,i.j</t>
    </r>
  </si>
  <si>
    <t>fraction</t>
  </si>
  <si>
    <t>Methodology default</t>
  </si>
  <si>
    <r>
      <t>η</t>
    </r>
    <r>
      <rPr>
        <vertAlign val="subscript"/>
        <sz val="11"/>
        <color indexed="8"/>
        <rFont val="Calibri"/>
        <family val="2"/>
        <scheme val="minor"/>
      </rPr>
      <t>new</t>
    </r>
  </si>
  <si>
    <t>Sample efficiency test</t>
  </si>
  <si>
    <r>
      <t>B</t>
    </r>
    <r>
      <rPr>
        <vertAlign val="subscript"/>
        <sz val="11"/>
        <color indexed="8"/>
        <rFont val="Calibri"/>
        <family val="2"/>
        <scheme val="minor"/>
      </rPr>
      <t>y,savings</t>
    </r>
  </si>
  <si>
    <t>Calculated Ex-Ante</t>
  </si>
  <si>
    <r>
      <t>B</t>
    </r>
    <r>
      <rPr>
        <vertAlign val="subscript"/>
        <sz val="11"/>
        <color theme="1"/>
        <rFont val="Avenir Book"/>
      </rPr>
      <t>p,y,i</t>
    </r>
  </si>
  <si>
    <t>tonnes</t>
  </si>
  <si>
    <t>Monitored KPT value</t>
  </si>
  <si>
    <t>Estimated Ex-Ante</t>
  </si>
  <si>
    <r>
      <t>ƒ</t>
    </r>
    <r>
      <rPr>
        <vertAlign val="subscript"/>
        <sz val="11"/>
        <color indexed="8"/>
        <rFont val="Calibri"/>
        <family val="2"/>
        <scheme val="minor"/>
      </rPr>
      <t xml:space="preserve">NRB, y </t>
    </r>
  </si>
  <si>
    <t>Baseline study</t>
  </si>
  <si>
    <t>C4 EcoSolutions</t>
  </si>
  <si>
    <r>
      <t>NCV</t>
    </r>
    <r>
      <rPr>
        <vertAlign val="subscript"/>
        <sz val="11"/>
        <color indexed="8"/>
        <rFont val="Calibri"/>
        <family val="2"/>
        <scheme val="minor"/>
      </rPr>
      <t>biomass (TJ/t)</t>
    </r>
  </si>
  <si>
    <t>TJ/t</t>
  </si>
  <si>
    <r>
      <t>EF</t>
    </r>
    <r>
      <rPr>
        <vertAlign val="subscript"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>,</t>
    </r>
    <r>
      <rPr>
        <vertAlign val="subscript"/>
        <sz val="12"/>
        <color theme="1"/>
        <rFont val="Calibri"/>
        <family val="2"/>
        <scheme val="minor"/>
      </rPr>
      <t>fuel,CO2</t>
    </r>
  </si>
  <si>
    <r>
      <t>tCO</t>
    </r>
    <r>
      <rPr>
        <vertAlign val="subscript"/>
        <sz val="12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/TJ</t>
    </r>
  </si>
  <si>
    <t>IPCC default</t>
  </si>
  <si>
    <r>
      <t>EF</t>
    </r>
    <r>
      <rPr>
        <vertAlign val="subscript"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>,</t>
    </r>
    <r>
      <rPr>
        <vertAlign val="subscript"/>
        <sz val="12"/>
        <color theme="1"/>
        <rFont val="Calibri"/>
        <family val="2"/>
        <scheme val="minor"/>
      </rPr>
      <t>fuel,nonCO2</t>
    </r>
  </si>
  <si>
    <t>IPCC defaults (CH4)</t>
  </si>
  <si>
    <t>IPCC defaults (N2O)</t>
  </si>
  <si>
    <r>
      <t>tCO</t>
    </r>
    <r>
      <rPr>
        <vertAlign val="subscript"/>
        <sz val="11"/>
        <color indexed="8"/>
        <rFont val="Calibri"/>
        <family val="2"/>
        <scheme val="minor"/>
      </rPr>
      <t>2</t>
    </r>
    <r>
      <rPr>
        <sz val="11"/>
        <color indexed="8"/>
        <rFont val="Calibri"/>
        <family val="2"/>
        <scheme val="minor"/>
      </rPr>
      <t>/tonnes of wood</t>
    </r>
  </si>
  <si>
    <t>calculated</t>
  </si>
  <si>
    <r>
      <t>ER</t>
    </r>
    <r>
      <rPr>
        <vertAlign val="subscript"/>
        <sz val="11"/>
        <color theme="1"/>
        <rFont val="Avenir Book"/>
      </rPr>
      <t>b,p,y,CO2</t>
    </r>
  </si>
  <si>
    <t>t CO2 / annum</t>
  </si>
  <si>
    <r>
      <t>ER</t>
    </r>
    <r>
      <rPr>
        <vertAlign val="subscript"/>
        <sz val="11"/>
        <color theme="1"/>
        <rFont val="Avenir Book"/>
      </rPr>
      <t>b,p,y,nonCO2</t>
    </r>
  </si>
  <si>
    <t>Ex-ante ERs</t>
  </si>
  <si>
    <t>t CO2 / day</t>
  </si>
  <si>
    <t>ICS</t>
  </si>
  <si>
    <t>per VPA</t>
  </si>
  <si>
    <r>
      <t>N</t>
    </r>
    <r>
      <rPr>
        <vertAlign val="subscript"/>
        <sz val="11"/>
        <color theme="1"/>
        <rFont val="Avenir Book"/>
      </rPr>
      <t>p,y</t>
    </r>
  </si>
  <si>
    <t>number of ICS days</t>
  </si>
  <si>
    <r>
      <t>LE</t>
    </r>
    <r>
      <rPr>
        <sz val="9"/>
        <color rgb="FF000000"/>
        <rFont val="Calibri"/>
        <family val="2"/>
        <scheme val="minor"/>
      </rPr>
      <t>p,y</t>
    </r>
  </si>
  <si>
    <t>Years</t>
  </si>
  <si>
    <t>Project Emissions (PEy)</t>
  </si>
  <si>
    <t>Baseline Emissions (BEy)</t>
  </si>
  <si>
    <t>Leakage Emissions (LEy)</t>
  </si>
  <si>
    <t>Emisions Reductions (ERy)</t>
  </si>
  <si>
    <t>Total</t>
  </si>
  <si>
    <t>Average</t>
  </si>
  <si>
    <t>Threshold Assessment</t>
  </si>
  <si>
    <t>Threshold (MWh)</t>
  </si>
  <si>
    <t>MWh output (per ICS)</t>
  </si>
  <si>
    <t>Stove % of threshold</t>
  </si>
  <si>
    <t>(By Savings * NCVBiomass)</t>
  </si>
  <si>
    <t>Total energy savings for the VPA (MWh)</t>
  </si>
  <si>
    <t>Data Label</t>
  </si>
  <si>
    <t>Description</t>
  </si>
  <si>
    <t>Data</t>
  </si>
  <si>
    <t>Unit</t>
  </si>
  <si>
    <t>Source</t>
  </si>
  <si>
    <t>Year</t>
  </si>
  <si>
    <t>A</t>
  </si>
  <si>
    <t xml:space="preserve">Household fuelwood consumption </t>
  </si>
  <si>
    <t>m3</t>
  </si>
  <si>
    <t>UN data</t>
  </si>
  <si>
    <t>http://data.un.org/Data.aspx?d=EDATA&amp;f=cmID%3aFW%3btrID%3a1231#f_1</t>
  </si>
  <si>
    <t>B</t>
  </si>
  <si>
    <t>Density of fuelwood</t>
  </si>
  <si>
    <t>t/m3</t>
  </si>
  <si>
    <t>FAO</t>
  </si>
  <si>
    <t>http://www.fao.org/3/a-i6935e.pdf</t>
  </si>
  <si>
    <t>C</t>
  </si>
  <si>
    <t>Household fuelwood consumption</t>
  </si>
  <si>
    <t>t</t>
  </si>
  <si>
    <t>calculated (AxB)</t>
  </si>
  <si>
    <t>D</t>
  </si>
  <si>
    <t>Population of Zimbabwe</t>
  </si>
  <si>
    <t>World Bank</t>
  </si>
  <si>
    <t>https://data.worldbank.org/country/zimbabwe?view=chart</t>
  </si>
  <si>
    <t>E</t>
  </si>
  <si>
    <t>% using wood fuel</t>
  </si>
  <si>
    <t xml:space="preserve">UNFPA/ZimStat </t>
  </si>
  <si>
    <t>https://zimbabwe.unfpa.org/sites/default/files/pub-pdf/Inter%20Censal%20Demography%20Survey%202017%20Report.pdf</t>
  </si>
  <si>
    <t>F</t>
  </si>
  <si>
    <t>Population using wood</t>
  </si>
  <si>
    <t>calculated (DxE)</t>
  </si>
  <si>
    <t>G</t>
  </si>
  <si>
    <t>Average annual consumption per capita</t>
  </si>
  <si>
    <t>calculated (C/F)</t>
  </si>
  <si>
    <t>H</t>
  </si>
  <si>
    <t>Average household size in Zimbabwe</t>
  </si>
  <si>
    <t>Bold,HH</t>
  </si>
  <si>
    <t>calculated (GxH)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</si>
</sst>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2"/>
      <color theme="1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1"/>
      <color theme="1"/>
      <name val="Avenir Book"/>
    </font>
    <font>
      <vertAlign val="subscript"/>
      <sz val="11"/>
      <color theme="1"/>
      <name val="Avenir Book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rgb="FFD13438"/>
      <name val="Calibri-Bold"/>
    </font>
    <font>
      <sz val="8"/>
      <color rgb="FFD13438"/>
      <name val="Calibri"/>
      <family val="2"/>
      <scheme val="minor"/>
    </font>
    <font>
      <i/>
      <sz val="8"/>
      <color rgb="FFD13438"/>
      <name val="Calibri-Italic"/>
    </font>
    <font>
      <b/>
      <i/>
      <sz val="8"/>
      <color rgb="FFD13438"/>
      <name val="Calibri-BoldItalic"/>
    </font>
    <font>
      <i/>
      <sz val="8"/>
      <color theme="1"/>
      <name val="Calibri"/>
      <family val="2"/>
      <scheme val="minor"/>
    </font>
    <font>
      <i/>
      <sz val="11"/>
      <color rgb="FF4472C4"/>
      <name val="Calibri"/>
      <family val="2"/>
      <scheme val="minor"/>
    </font>
    <font>
      <i/>
      <sz val="11"/>
      <color theme="4"/>
      <name val="Calibri"/>
      <family val="2"/>
      <scheme val="minor"/>
    </font>
    <font>
      <vertAlign val="sub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7">
    <xf numFmtId="0" fontId="0" fillId="0" borderId="0" xfId="0"/>
    <xf numFmtId="3" fontId="0" fillId="0" borderId="0" xfId="0" applyNumberFormat="1"/>
    <xf numFmtId="0" fontId="2" fillId="0" borderId="0" xfId="0" applyFont="1"/>
    <xf numFmtId="4" fontId="3" fillId="0" borderId="0" xfId="0" applyNumberFormat="1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7" xfId="0" applyBorder="1"/>
    <xf numFmtId="0" fontId="0" fillId="0" borderId="9" xfId="0" applyBorder="1" applyAlignment="1">
      <alignment horizontal="left"/>
    </xf>
    <xf numFmtId="0" fontId="11" fillId="0" borderId="0" xfId="1"/>
    <xf numFmtId="0" fontId="0" fillId="0" borderId="10" xfId="0" applyBorder="1"/>
    <xf numFmtId="0" fontId="0" fillId="0" borderId="11" xfId="0" applyBorder="1" applyAlignment="1">
      <alignment horizontal="left"/>
    </xf>
    <xf numFmtId="3" fontId="0" fillId="0" borderId="5" xfId="0" applyNumberFormat="1" applyBorder="1"/>
    <xf numFmtId="0" fontId="6" fillId="0" borderId="5" xfId="0" applyFont="1" applyBorder="1"/>
    <xf numFmtId="164" fontId="0" fillId="0" borderId="5" xfId="0" applyNumberFormat="1" applyBorder="1"/>
    <xf numFmtId="164" fontId="0" fillId="0" borderId="0" xfId="0" applyNumberFormat="1"/>
    <xf numFmtId="2" fontId="0" fillId="0" borderId="5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left"/>
    </xf>
    <xf numFmtId="0" fontId="0" fillId="0" borderId="1" xfId="0" applyBorder="1"/>
    <xf numFmtId="0" fontId="12" fillId="0" borderId="2" xfId="0" applyFont="1" applyBorder="1"/>
    <xf numFmtId="2" fontId="1" fillId="0" borderId="1" xfId="0" applyNumberFormat="1" applyFont="1" applyBorder="1"/>
    <xf numFmtId="0" fontId="0" fillId="0" borderId="3" xfId="0" applyBorder="1"/>
    <xf numFmtId="0" fontId="6" fillId="0" borderId="1" xfId="0" applyFont="1" applyBorder="1"/>
    <xf numFmtId="0" fontId="0" fillId="0" borderId="4" xfId="0" applyBorder="1"/>
    <xf numFmtId="0" fontId="11" fillId="0" borderId="0" xfId="1" applyBorder="1"/>
    <xf numFmtId="0" fontId="13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 wrapText="1"/>
    </xf>
    <xf numFmtId="0" fontId="15" fillId="0" borderId="0" xfId="0" applyFont="1"/>
    <xf numFmtId="165" fontId="0" fillId="0" borderId="0" xfId="0" applyNumberFormat="1"/>
    <xf numFmtId="0" fontId="19" fillId="0" borderId="0" xfId="0" applyFont="1"/>
    <xf numFmtId="0" fontId="19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3" fillId="0" borderId="19" xfId="0" applyFont="1" applyBorder="1"/>
    <xf numFmtId="164" fontId="0" fillId="0" borderId="20" xfId="0" applyNumberFormat="1" applyBorder="1" applyAlignment="1">
      <alignment horizontal="center"/>
    </xf>
    <xf numFmtId="0" fontId="0" fillId="0" borderId="20" xfId="0" applyBorder="1"/>
    <xf numFmtId="0" fontId="0" fillId="2" borderId="19" xfId="0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2" fontId="0" fillId="0" borderId="0" xfId="0" applyNumberFormat="1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3" fontId="21" fillId="0" borderId="0" xfId="0" applyNumberFormat="1" applyFont="1" applyAlignment="1">
      <alignment vertical="center" wrapText="1"/>
    </xf>
    <xf numFmtId="0" fontId="22" fillId="0" borderId="0" xfId="0" applyFont="1" applyAlignment="1">
      <alignment vertical="center" wrapText="1"/>
    </xf>
    <xf numFmtId="10" fontId="21" fillId="0" borderId="0" xfId="0" applyNumberFormat="1" applyFont="1" applyAlignment="1">
      <alignment vertical="center" wrapText="1"/>
    </xf>
    <xf numFmtId="0" fontId="23" fillId="0" borderId="0" xfId="0" applyFont="1" applyAlignment="1">
      <alignment vertical="center" wrapText="1"/>
    </xf>
    <xf numFmtId="164" fontId="0" fillId="0" borderId="0" xfId="0" applyNumberFormat="1" applyAlignment="1">
      <alignment horizontal="center"/>
    </xf>
    <xf numFmtId="3" fontId="0" fillId="2" borderId="0" xfId="0" applyNumberFormat="1" applyFill="1"/>
    <xf numFmtId="2" fontId="3" fillId="0" borderId="0" xfId="0" applyNumberFormat="1" applyFont="1" applyAlignment="1">
      <alignment horizontal="center"/>
    </xf>
    <xf numFmtId="2" fontId="25" fillId="0" borderId="0" xfId="0" applyNumberFormat="1" applyFont="1"/>
    <xf numFmtId="0" fontId="26" fillId="0" borderId="0" xfId="0" applyFont="1"/>
    <xf numFmtId="2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ck Marshall" id="{D991A473-21A0-4CC2-869C-9E1A501375C2}" userId="50d0f83790907cdd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19-09-25T10:21:16.73" personId="{D991A473-21A0-4CC2-869C-9E1A501375C2}" id="{695B672A-3B00-4E02-BEAF-CC5676003ECC}">
    <text>0.15TJ/t = 4,167KWh/t (IPCC default)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zimbabwe.unfpa.org/sites/default/files/pub-pdf/Inter%20Censal%20Demography%20Survey%202017%20Report.pdf" TargetMode="External"/><Relationship Id="rId2" Type="http://schemas.openxmlformats.org/officeDocument/2006/relationships/hyperlink" Target="http://www.fao.org/3/a-i6935e.pdf" TargetMode="External"/><Relationship Id="rId1" Type="http://schemas.openxmlformats.org/officeDocument/2006/relationships/hyperlink" Target="http://data.un.org/Data.aspx?d=EDATA&amp;f=cmID%3aFW%3btrID%3a1231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3"/>
  <sheetViews>
    <sheetView tabSelected="1" topLeftCell="A13" workbookViewId="0">
      <selection activeCell="G17" sqref="G17"/>
    </sheetView>
  </sheetViews>
  <sheetFormatPr defaultColWidth="9.140625" defaultRowHeight="15"/>
  <cols>
    <col min="1" max="1" width="3.140625" customWidth="1"/>
    <col min="2" max="2" width="16" customWidth="1"/>
    <col min="3" max="3" width="20.28515625" customWidth="1"/>
    <col min="4" max="4" width="20.85546875" bestFit="1" customWidth="1"/>
    <col min="5" max="5" width="16.5703125" customWidth="1"/>
    <col min="6" max="6" width="15.85546875" customWidth="1"/>
    <col min="7" max="7" width="28.28515625" customWidth="1"/>
    <col min="8" max="8" width="7.140625" bestFit="1" customWidth="1"/>
    <col min="9" max="9" width="5.5703125" bestFit="1" customWidth="1"/>
    <col min="10" max="10" width="25.85546875" bestFit="1" customWidth="1"/>
    <col min="11" max="11" width="15.85546875" customWidth="1"/>
    <col min="12" max="12" width="17.5703125" customWidth="1"/>
  </cols>
  <sheetData>
    <row r="1" spans="2:6">
      <c r="B1" s="60" t="s">
        <v>0</v>
      </c>
    </row>
    <row r="2" spans="2:6">
      <c r="E2" s="8"/>
    </row>
    <row r="3" spans="2:6">
      <c r="B3" s="10" t="s">
        <v>1</v>
      </c>
      <c r="C3" s="3" t="s">
        <v>2</v>
      </c>
      <c r="D3" s="4" t="s">
        <v>3</v>
      </c>
      <c r="E3" s="51">
        <f>'Bold,HH calc'!D11</f>
        <v>6.3056008232581604</v>
      </c>
      <c r="F3" s="85" t="s">
        <v>4</v>
      </c>
    </row>
    <row r="4" spans="2:6" ht="15.75">
      <c r="B4" s="52" t="s">
        <v>5</v>
      </c>
      <c r="C4" s="2" t="s">
        <v>6</v>
      </c>
      <c r="D4" s="4" t="s">
        <v>7</v>
      </c>
      <c r="E4" s="53">
        <v>0.1</v>
      </c>
    </row>
    <row r="5" spans="2:6" ht="18">
      <c r="B5" s="2" t="s">
        <v>8</v>
      </c>
      <c r="C5" s="2" t="s">
        <v>6</v>
      </c>
      <c r="D5" s="4" t="s">
        <v>9</v>
      </c>
      <c r="E5" s="53">
        <v>0.41599999999999998</v>
      </c>
    </row>
    <row r="6" spans="2:6" ht="18">
      <c r="B6" s="2" t="s">
        <v>10</v>
      </c>
      <c r="C6" s="3" t="s">
        <v>2</v>
      </c>
      <c r="D6" s="4" t="s">
        <v>3</v>
      </c>
      <c r="E6" s="51">
        <f>E3*(1-E4/E5)</f>
        <v>4.7898313945903332</v>
      </c>
      <c r="F6" s="84" t="s">
        <v>11</v>
      </c>
    </row>
    <row r="7" spans="2:6" ht="18.75">
      <c r="B7" s="58" t="s">
        <v>12</v>
      </c>
      <c r="C7" s="2" t="s">
        <v>13</v>
      </c>
      <c r="D7" t="s">
        <v>14</v>
      </c>
      <c r="E7" s="51">
        <f>E3-E6</f>
        <v>1.5157694286678272</v>
      </c>
      <c r="F7" s="84" t="s">
        <v>15</v>
      </c>
    </row>
    <row r="8" spans="2:6" ht="18">
      <c r="B8" s="2" t="s">
        <v>16</v>
      </c>
      <c r="C8" s="2" t="s">
        <v>6</v>
      </c>
      <c r="D8" s="4" t="s">
        <v>17</v>
      </c>
      <c r="E8" s="53">
        <v>0.89</v>
      </c>
      <c r="F8" s="85" t="s">
        <v>18</v>
      </c>
    </row>
    <row r="9" spans="2:6" ht="18">
      <c r="B9" s="2" t="s">
        <v>19</v>
      </c>
      <c r="C9" s="4" t="s">
        <v>20</v>
      </c>
      <c r="D9" s="4" t="s">
        <v>7</v>
      </c>
      <c r="E9" s="53">
        <v>1.4999999999999999E-2</v>
      </c>
    </row>
    <row r="10" spans="2:6" ht="15.75">
      <c r="B10" s="50" t="s">
        <v>21</v>
      </c>
      <c r="C10" s="54" t="s">
        <v>22</v>
      </c>
      <c r="D10" s="4" t="s">
        <v>23</v>
      </c>
      <c r="E10" s="53">
        <v>112</v>
      </c>
    </row>
    <row r="11" spans="2:6" ht="15.75">
      <c r="B11" s="50" t="s">
        <v>24</v>
      </c>
      <c r="C11" s="54" t="s">
        <v>22</v>
      </c>
      <c r="D11" s="4" t="s">
        <v>25</v>
      </c>
      <c r="E11" s="51">
        <f>(258+2190)/2/1000*25</f>
        <v>30.599999999999998</v>
      </c>
    </row>
    <row r="12" spans="2:6" ht="15.75">
      <c r="B12" s="50" t="s">
        <v>24</v>
      </c>
      <c r="C12" s="54" t="s">
        <v>22</v>
      </c>
      <c r="D12" s="4" t="s">
        <v>26</v>
      </c>
      <c r="E12" s="53">
        <f>298*(4+18.5)/2/1000</f>
        <v>3.3525</v>
      </c>
    </row>
    <row r="13" spans="2:6" ht="18.75">
      <c r="B13" s="50" t="s">
        <v>21</v>
      </c>
      <c r="C13" s="54" t="s">
        <v>27</v>
      </c>
      <c r="D13" s="4" t="s">
        <v>28</v>
      </c>
      <c r="E13" s="55">
        <f>E10*E9</f>
        <v>1.68</v>
      </c>
    </row>
    <row r="14" spans="2:6" ht="18.75">
      <c r="B14" s="50" t="s">
        <v>24</v>
      </c>
      <c r="C14" s="54" t="s">
        <v>27</v>
      </c>
      <c r="D14" s="4" t="s">
        <v>3</v>
      </c>
      <c r="E14" s="86">
        <f>(E11+E12)*E9</f>
        <v>0.5092875</v>
      </c>
    </row>
    <row r="15" spans="2:6" ht="18.75">
      <c r="B15" s="6" t="s">
        <v>29</v>
      </c>
      <c r="C15" s="7" t="s">
        <v>30</v>
      </c>
      <c r="D15" s="4"/>
      <c r="E15" s="56">
        <f>E6*(E8*E13)</f>
        <v>7.1617559011914658</v>
      </c>
    </row>
    <row r="16" spans="2:6" ht="18.75">
      <c r="B16" s="6" t="s">
        <v>31</v>
      </c>
      <c r="C16" s="7" t="s">
        <v>30</v>
      </c>
      <c r="D16" s="5"/>
      <c r="E16" s="56">
        <f>E6*(E8*E14)</f>
        <v>2.1710671181714578</v>
      </c>
    </row>
    <row r="17" spans="2:12">
      <c r="E17" s="74"/>
    </row>
    <row r="18" spans="2:12">
      <c r="B18" s="5" t="s">
        <v>32</v>
      </c>
    </row>
    <row r="19" spans="2:12" ht="18.75">
      <c r="B19" s="6" t="s">
        <v>29</v>
      </c>
      <c r="C19" s="7" t="s">
        <v>33</v>
      </c>
      <c r="D19" s="59">
        <f>E15/365</f>
        <v>1.9621249044360179E-2</v>
      </c>
      <c r="E19" s="10"/>
    </row>
    <row r="20" spans="2:12" ht="18.75">
      <c r="B20" s="6" t="s">
        <v>31</v>
      </c>
      <c r="C20" s="7" t="s">
        <v>33</v>
      </c>
      <c r="D20" s="59">
        <f>E16/365</f>
        <v>5.9481290908807065E-3</v>
      </c>
      <c r="E20" s="10"/>
    </row>
    <row r="21" spans="2:12">
      <c r="B21" s="4" t="s">
        <v>34</v>
      </c>
      <c r="C21" t="s">
        <v>35</v>
      </c>
      <c r="D21" s="13">
        <v>25000</v>
      </c>
      <c r="K21" s="12"/>
      <c r="L21" s="12"/>
    </row>
    <row r="22" spans="2:12" ht="18.75">
      <c r="B22" s="58" t="s">
        <v>36</v>
      </c>
      <c r="C22" t="s">
        <v>37</v>
      </c>
      <c r="D22" s="1">
        <f>D21*365</f>
        <v>9125000</v>
      </c>
      <c r="E22" s="10"/>
    </row>
    <row r="23" spans="2:12">
      <c r="B23" s="2" t="s">
        <v>38</v>
      </c>
      <c r="D23" s="11">
        <v>0.01</v>
      </c>
    </row>
    <row r="25" spans="2:12" ht="30" customHeight="1">
      <c r="B25" s="14" t="s">
        <v>39</v>
      </c>
      <c r="C25" s="57" t="s">
        <v>40</v>
      </c>
      <c r="D25" s="57" t="s">
        <v>41</v>
      </c>
      <c r="E25" s="57" t="s">
        <v>42</v>
      </c>
      <c r="F25" s="57" t="s">
        <v>43</v>
      </c>
    </row>
    <row r="26" spans="2:12">
      <c r="B26" s="15"/>
      <c r="C26" s="15"/>
      <c r="D26" s="15"/>
      <c r="F26" s="15"/>
    </row>
    <row r="27" spans="2:12">
      <c r="B27" s="16">
        <v>1</v>
      </c>
      <c r="C27" s="17">
        <v>0</v>
      </c>
      <c r="D27" s="18">
        <f>$D$22*($D$19+$D$20)</f>
        <v>233320.57548407308</v>
      </c>
      <c r="E27" s="18">
        <f>ROUND((D27*$D$23),0)</f>
        <v>2333</v>
      </c>
      <c r="F27" s="18">
        <f>D27-E27</f>
        <v>230987.57548407308</v>
      </c>
    </row>
    <row r="28" spans="2:12">
      <c r="B28" s="16">
        <v>2</v>
      </c>
      <c r="C28" s="17">
        <v>0</v>
      </c>
      <c r="D28" s="18">
        <f t="shared" ref="D28:D31" si="0">$D$22*($D$19+$D$20)</f>
        <v>233320.57548407308</v>
      </c>
      <c r="E28" s="18">
        <f>ROUND((D28*$D$23),0)</f>
        <v>2333</v>
      </c>
      <c r="F28" s="18">
        <f t="shared" ref="F28:F31" si="1">D28-E28</f>
        <v>230987.57548407308</v>
      </c>
    </row>
    <row r="29" spans="2:12">
      <c r="B29" s="16">
        <v>3</v>
      </c>
      <c r="C29" s="17">
        <v>0</v>
      </c>
      <c r="D29" s="18">
        <f t="shared" si="0"/>
        <v>233320.57548407308</v>
      </c>
      <c r="E29" s="18">
        <f>ROUND((D29*$D$23),0)</f>
        <v>2333</v>
      </c>
      <c r="F29" s="18">
        <f t="shared" si="1"/>
        <v>230987.57548407308</v>
      </c>
    </row>
    <row r="30" spans="2:12">
      <c r="B30" s="16">
        <v>4</v>
      </c>
      <c r="C30" s="17">
        <v>0</v>
      </c>
      <c r="D30" s="18">
        <f t="shared" si="0"/>
        <v>233320.57548407308</v>
      </c>
      <c r="E30" s="18">
        <f>ROUND((D30*$D$23),0)</f>
        <v>2333</v>
      </c>
      <c r="F30" s="18">
        <f t="shared" si="1"/>
        <v>230987.57548407308</v>
      </c>
    </row>
    <row r="31" spans="2:12">
      <c r="B31" s="16">
        <v>5</v>
      </c>
      <c r="C31" s="17">
        <v>0</v>
      </c>
      <c r="D31" s="18">
        <f t="shared" si="0"/>
        <v>233320.57548407308</v>
      </c>
      <c r="E31" s="18">
        <f>ROUND((D31*$D$23),0)</f>
        <v>2333</v>
      </c>
      <c r="F31" s="18">
        <f t="shared" si="1"/>
        <v>230987.57548407308</v>
      </c>
    </row>
    <row r="32" spans="2:12">
      <c r="B32" s="19" t="s">
        <v>44</v>
      </c>
      <c r="C32" s="20">
        <f>SUM(C27:C31)</f>
        <v>0</v>
      </c>
      <c r="D32" s="20">
        <f>SUM(D27:D31)</f>
        <v>1166602.8774203653</v>
      </c>
      <c r="E32" s="20">
        <f>SUM(E27:E31)</f>
        <v>11665</v>
      </c>
      <c r="F32" s="20">
        <f>SUM(F27:F31)</f>
        <v>1154937.8774203653</v>
      </c>
    </row>
    <row r="33" spans="2:7">
      <c r="B33" s="5" t="s">
        <v>45</v>
      </c>
      <c r="C33" s="20">
        <f>AVERAGE(C27:C31)</f>
        <v>0</v>
      </c>
      <c r="D33" s="20">
        <f t="shared" ref="D33:F33" si="2">AVERAGE(D27:D31)</f>
        <v>233320.57548407308</v>
      </c>
      <c r="E33" s="20">
        <f t="shared" si="2"/>
        <v>2333</v>
      </c>
      <c r="F33" s="20">
        <f t="shared" si="2"/>
        <v>230987.57548407308</v>
      </c>
      <c r="G33" s="20">
        <f>F33*0.15</f>
        <v>34648.136322610961</v>
      </c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181E-EA14-401C-BCD2-94B71A675A90}">
  <dimension ref="B2:E8"/>
  <sheetViews>
    <sheetView workbookViewId="0">
      <selection activeCell="H19" sqref="H19"/>
    </sheetView>
  </sheetViews>
  <sheetFormatPr defaultRowHeight="15"/>
  <cols>
    <col min="2" max="2" width="36.42578125" bestFit="1" customWidth="1"/>
    <col min="5" max="5" width="16.85546875" customWidth="1"/>
  </cols>
  <sheetData>
    <row r="2" spans="2:5">
      <c r="B2" s="61" t="s">
        <v>46</v>
      </c>
      <c r="C2" s="62"/>
      <c r="D2" s="62"/>
      <c r="E2" s="63"/>
    </row>
    <row r="3" spans="2:5">
      <c r="B3" s="64"/>
      <c r="C3" s="9"/>
      <c r="E3" s="65"/>
    </row>
    <row r="4" spans="2:5">
      <c r="B4" s="64" t="s">
        <v>47</v>
      </c>
      <c r="C4" s="53">
        <v>600</v>
      </c>
      <c r="E4" s="66"/>
    </row>
    <row r="5" spans="2:5">
      <c r="B5" s="67" t="s">
        <v>48</v>
      </c>
      <c r="C5" s="83">
        <f>('Ex-Ante'!E6*0.004167)*1000</f>
        <v>19.959227421257918</v>
      </c>
      <c r="E5" s="68"/>
    </row>
    <row r="6" spans="2:5">
      <c r="B6" s="64" t="s">
        <v>49</v>
      </c>
      <c r="C6" s="81">
        <f>C5/C4</f>
        <v>3.3265379035429865E-2</v>
      </c>
      <c r="D6" s="10" t="s">
        <v>50</v>
      </c>
      <c r="E6" s="69"/>
    </row>
    <row r="7" spans="2:5">
      <c r="B7" s="70" t="s">
        <v>51</v>
      </c>
      <c r="C7" s="82">
        <f>C5*'Ex-Ante'!D21</f>
        <v>498980.68553144793</v>
      </c>
      <c r="E7" s="69"/>
    </row>
    <row r="8" spans="2:5">
      <c r="B8" s="71"/>
      <c r="C8" s="72"/>
      <c r="D8" s="72"/>
      <c r="E8" s="73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54944-B847-41E6-A61F-AE41088D6D9B}">
  <dimension ref="B2:H24"/>
  <sheetViews>
    <sheetView workbookViewId="0">
      <selection activeCell="C21" sqref="C21"/>
    </sheetView>
  </sheetViews>
  <sheetFormatPr defaultRowHeight="15"/>
  <cols>
    <col min="2" max="2" width="10.140625" bestFit="1" customWidth="1"/>
    <col min="3" max="3" width="36.7109375" bestFit="1" customWidth="1"/>
    <col min="4" max="4" width="13" customWidth="1"/>
    <col min="5" max="5" width="7.7109375" customWidth="1"/>
    <col min="6" max="6" width="16" bestFit="1" customWidth="1"/>
    <col min="7" max="7" width="10.28515625" customWidth="1"/>
    <col min="8" max="8" width="147.140625" bestFit="1" customWidth="1"/>
  </cols>
  <sheetData>
    <row r="2" spans="2:8">
      <c r="B2" s="21" t="s">
        <v>52</v>
      </c>
      <c r="C2" s="22" t="s">
        <v>53</v>
      </c>
      <c r="D2" s="21" t="s">
        <v>54</v>
      </c>
      <c r="E2" s="23" t="s">
        <v>55</v>
      </c>
      <c r="F2" s="21" t="s">
        <v>56</v>
      </c>
      <c r="G2" s="24" t="s">
        <v>57</v>
      </c>
    </row>
    <row r="3" spans="2:8">
      <c r="B3" s="25" t="s">
        <v>58</v>
      </c>
      <c r="C3" s="26" t="s">
        <v>59</v>
      </c>
      <c r="D3" s="27">
        <v>21252000</v>
      </c>
      <c r="E3" s="28" t="s">
        <v>60</v>
      </c>
      <c r="F3" s="29" t="s">
        <v>61</v>
      </c>
      <c r="G3" s="30">
        <v>2019</v>
      </c>
      <c r="H3" s="31" t="s">
        <v>62</v>
      </c>
    </row>
    <row r="4" spans="2:8">
      <c r="B4" s="25" t="s">
        <v>63</v>
      </c>
      <c r="C4" s="32" t="s">
        <v>64</v>
      </c>
      <c r="D4" s="25">
        <v>0.72499999999999998</v>
      </c>
      <c r="E4" t="s">
        <v>65</v>
      </c>
      <c r="F4" s="25" t="s">
        <v>66</v>
      </c>
      <c r="G4" s="33">
        <v>2017</v>
      </c>
      <c r="H4" s="31" t="s">
        <v>67</v>
      </c>
    </row>
    <row r="5" spans="2:8">
      <c r="B5" s="25" t="s">
        <v>68</v>
      </c>
      <c r="C5" s="32" t="s">
        <v>69</v>
      </c>
      <c r="D5" s="34">
        <f>D3*D4</f>
        <v>15407700</v>
      </c>
      <c r="E5" s="1" t="s">
        <v>70</v>
      </c>
      <c r="F5" s="35" t="s">
        <v>71</v>
      </c>
      <c r="G5" s="33"/>
    </row>
    <row r="6" spans="2:8">
      <c r="B6" s="25" t="s">
        <v>72</v>
      </c>
      <c r="C6" s="32" t="s">
        <v>73</v>
      </c>
      <c r="D6" s="34">
        <v>15092171</v>
      </c>
      <c r="E6" s="1"/>
      <c r="F6" s="25" t="s">
        <v>74</v>
      </c>
      <c r="G6" s="33">
        <v>2021</v>
      </c>
      <c r="H6" s="31" t="s">
        <v>75</v>
      </c>
    </row>
    <row r="7" spans="2:8">
      <c r="B7" s="25" t="s">
        <v>76</v>
      </c>
      <c r="C7" s="32" t="s">
        <v>77</v>
      </c>
      <c r="D7" s="36">
        <v>0.68</v>
      </c>
      <c r="E7" s="37"/>
      <c r="F7" s="25" t="s">
        <v>78</v>
      </c>
      <c r="G7" s="33">
        <v>2017</v>
      </c>
      <c r="H7" s="31" t="s">
        <v>79</v>
      </c>
    </row>
    <row r="8" spans="2:8">
      <c r="B8" s="25" t="s">
        <v>80</v>
      </c>
      <c r="C8" s="32" t="s">
        <v>81</v>
      </c>
      <c r="D8" s="34">
        <f>D6*D7</f>
        <v>10262676.280000001</v>
      </c>
      <c r="E8" s="1"/>
      <c r="F8" s="35" t="s">
        <v>82</v>
      </c>
      <c r="G8" s="33"/>
    </row>
    <row r="9" spans="2:8">
      <c r="B9" s="25" t="s">
        <v>83</v>
      </c>
      <c r="C9" s="32" t="s">
        <v>84</v>
      </c>
      <c r="D9" s="38">
        <f>D5/D8</f>
        <v>1.501333529347181</v>
      </c>
      <c r="E9" t="s">
        <v>70</v>
      </c>
      <c r="F9" s="35" t="s">
        <v>85</v>
      </c>
      <c r="G9" s="33"/>
    </row>
    <row r="10" spans="2:8">
      <c r="B10" s="25" t="s">
        <v>86</v>
      </c>
      <c r="C10" s="39" t="s">
        <v>87</v>
      </c>
      <c r="D10" s="40">
        <v>4.2</v>
      </c>
      <c r="E10" s="41"/>
      <c r="F10" s="25" t="s">
        <v>78</v>
      </c>
      <c r="G10" s="42">
        <v>2017</v>
      </c>
      <c r="H10" s="31" t="s">
        <v>79</v>
      </c>
    </row>
    <row r="11" spans="2:8">
      <c r="B11" s="43"/>
      <c r="C11" s="44" t="s">
        <v>88</v>
      </c>
      <c r="D11" s="45">
        <f>D10*D9</f>
        <v>6.3056008232581604</v>
      </c>
      <c r="E11" s="46" t="s">
        <v>70</v>
      </c>
      <c r="F11" s="47" t="s">
        <v>89</v>
      </c>
      <c r="G11" s="48"/>
    </row>
    <row r="12" spans="2:8">
      <c r="C12" s="32"/>
    </row>
    <row r="14" spans="2:8">
      <c r="B14" s="5"/>
      <c r="C14" s="5"/>
      <c r="D14" s="5"/>
      <c r="E14" s="5"/>
      <c r="F14" s="5"/>
      <c r="G14" s="5"/>
    </row>
    <row r="15" spans="2:8">
      <c r="B15" s="75"/>
      <c r="C15" s="75"/>
      <c r="D15" s="75"/>
      <c r="E15" s="75"/>
      <c r="F15" s="75"/>
      <c r="G15" s="75"/>
      <c r="H15" s="49"/>
    </row>
    <row r="16" spans="2:8">
      <c r="B16" s="76"/>
      <c r="C16" s="76"/>
      <c r="D16" s="77"/>
      <c r="E16" s="76"/>
      <c r="F16" s="76"/>
      <c r="G16" s="76"/>
      <c r="H16" s="49"/>
    </row>
    <row r="17" spans="2:8">
      <c r="B17" s="76"/>
      <c r="C17" s="76"/>
      <c r="D17" s="76"/>
      <c r="E17" s="76"/>
      <c r="F17" s="76"/>
    </row>
    <row r="18" spans="2:8">
      <c r="B18" s="76"/>
      <c r="C18" s="76"/>
      <c r="D18" s="77"/>
      <c r="E18" s="76"/>
      <c r="F18" s="78"/>
      <c r="G18" s="76"/>
      <c r="H18" s="49"/>
    </row>
    <row r="19" spans="2:8">
      <c r="B19" s="76"/>
      <c r="C19" s="76"/>
      <c r="D19" s="77"/>
      <c r="E19" s="76"/>
      <c r="F19" s="76"/>
      <c r="H19" s="49"/>
    </row>
    <row r="20" spans="2:8">
      <c r="B20" s="76"/>
      <c r="C20" s="76"/>
      <c r="D20" s="79"/>
      <c r="F20" s="76"/>
    </row>
    <row r="21" spans="2:8">
      <c r="B21" s="76"/>
      <c r="C21" s="76"/>
      <c r="D21" s="77"/>
      <c r="E21" s="78"/>
    </row>
    <row r="22" spans="2:8">
      <c r="B22" s="76"/>
      <c r="C22" s="76"/>
      <c r="D22" s="76"/>
      <c r="E22" s="76"/>
      <c r="F22" s="78"/>
      <c r="H22" s="49"/>
    </row>
    <row r="23" spans="2:8">
      <c r="B23" s="76"/>
      <c r="C23" s="76"/>
      <c r="D23" s="76"/>
      <c r="E23" s="76"/>
      <c r="F23" s="76"/>
    </row>
    <row r="24" spans="2:8">
      <c r="B24" s="80"/>
      <c r="C24" s="75"/>
      <c r="D24" s="76"/>
      <c r="E24" s="78"/>
    </row>
  </sheetData>
  <hyperlinks>
    <hyperlink ref="H3" r:id="rId1" location="f_1" xr:uid="{9367F6DC-94A7-4A5C-B1EB-1395C806348C}"/>
    <hyperlink ref="H4" r:id="rId2" xr:uid="{91F617E5-A64F-4FDC-9496-D169FA92040B}"/>
    <hyperlink ref="H7" r:id="rId3" xr:uid="{DB343F59-3ACD-42DE-97B7-C1AC3625449B}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cf0473a-18b3-4c49-a73d-d56e1aebdd8d">
      <UserInfo>
        <DisplayName>Sriskandh Subramanian</DisplayName>
        <AccountId>87</AccountId>
        <AccountType/>
      </UserInfo>
      <UserInfo>
        <DisplayName>Edwin Cogho</DisplayName>
        <AccountId>111</AccountId>
        <AccountType/>
      </UserInfo>
      <UserInfo>
        <DisplayName>Alick McIntosh</DisplayName>
        <AccountId>23</AccountId>
        <AccountType/>
      </UserInfo>
      <UserInfo>
        <DisplayName>Ian Murphy</DisplayName>
        <AccountId>22</AccountId>
        <AccountType/>
      </UserInfo>
      <UserInfo>
        <DisplayName>Shelley Estcourt</DisplayName>
        <AccountId>65</AccountId>
        <AccountType/>
      </UserInfo>
      <UserInfo>
        <DisplayName>Nick Marshall</DisplayName>
        <AccountId>19</AccountId>
        <AccountType/>
      </UserInfo>
    </SharedWithUsers>
    <TaxCatchAll xmlns="4cf0473a-18b3-4c49-a73d-d56e1aebdd8d" xsi:nil="true"/>
    <lcf76f155ced4ddcb4097134ff3c332f xmlns="269cd23b-b011-4b0e-8b15-579f85438ccf">
      <Terms xmlns="http://schemas.microsoft.com/office/infopath/2007/PartnerControls"/>
    </lcf76f155ced4ddcb4097134ff3c332f>
  </documentManagement>
</p:properties>
</file>

<file path=customXml/item2.xml><?xml version="1.0" encoding="utf-8"?>
<WorkbookStorage xmlns:xsd="http://www.w3.org/2001/XMLSchema" xmlns:xsi="http://www.w3.org/2001/XMLSchema-instance" xmlns="WorkbookStorage">
  <StorageDictionary/>
</WorkbookStorage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0F8A24BDA156408750DD73BBCB35FD" ma:contentTypeVersion="16" ma:contentTypeDescription="Create a new document." ma:contentTypeScope="" ma:versionID="0238f73ba5281dd4708cabc5b0a54bb1">
  <xsd:schema xmlns:xsd="http://www.w3.org/2001/XMLSchema" xmlns:xs="http://www.w3.org/2001/XMLSchema" xmlns:p="http://schemas.microsoft.com/office/2006/metadata/properties" xmlns:ns2="269cd23b-b011-4b0e-8b15-579f85438ccf" xmlns:ns3="4cf0473a-18b3-4c49-a73d-d56e1aebdd8d" targetNamespace="http://schemas.microsoft.com/office/2006/metadata/properties" ma:root="true" ma:fieldsID="35a9199c8b98e73cc1fa6b684785467a" ns2:_="" ns3:_="">
    <xsd:import namespace="269cd23b-b011-4b0e-8b15-579f85438ccf"/>
    <xsd:import namespace="4cf0473a-18b3-4c49-a73d-d56e1aebd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cd23b-b011-4b0e-8b15-579f85438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e7db257-020d-4dec-b2d7-25c3c37c6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0473a-18b3-4c49-a73d-d56e1aebdd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059fba-4ea3-4158-bc46-18c3ea93b9a8}" ma:internalName="TaxCatchAll" ma:showField="CatchAllData" ma:web="4cf0473a-18b3-4c49-a73d-d56e1aebdd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8152A-6FB7-4C61-A15D-8AB12C44D264}"/>
</file>

<file path=customXml/itemProps2.xml><?xml version="1.0" encoding="utf-8"?>
<ds:datastoreItem xmlns:ds="http://schemas.openxmlformats.org/officeDocument/2006/customXml" ds:itemID="{177C2CE9-6FF6-420E-A778-9EBF53F267F8}"/>
</file>

<file path=customXml/itemProps3.xml><?xml version="1.0" encoding="utf-8"?>
<ds:datastoreItem xmlns:ds="http://schemas.openxmlformats.org/officeDocument/2006/customXml" ds:itemID="{B5EC80C3-243A-4705-99F0-4EF657A3A0E5}"/>
</file>

<file path=customXml/itemProps4.xml><?xml version="1.0" encoding="utf-8"?>
<ds:datastoreItem xmlns:ds="http://schemas.openxmlformats.org/officeDocument/2006/customXml" ds:itemID="{AA7DD9E6-1226-428A-8088-DDF216009C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Edwin Cogho</cp:lastModifiedBy>
  <cp:revision/>
  <dcterms:created xsi:type="dcterms:W3CDTF">2011-01-19T14:29:30Z</dcterms:created>
  <dcterms:modified xsi:type="dcterms:W3CDTF">2022-09-14T10:45:37Z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0x010100B00F8A24BDA156408750DD73BBCB35FD</vt:lpwstr>
  </property>
  <property fmtid="{D5CDD505-2E9C-101B-9397-08002B2CF9AE}" pid="3" name="MediaServiceImageTags">
    <vt:lpwstr/>
  </property>
</Properties>
</file>