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exuscarbonfordevelopme-my.sharepoint.com/personal/v_meng_nexusfordevelopment_org/Documents/Hydrologic/CP2-MP3/Document Submitted to SustainCert/1st_Round/"/>
    </mc:Choice>
  </mc:AlternateContent>
  <xr:revisionPtr revIDLastSave="68" documentId="13_ncr:1_{AFAD45AC-C8DC-4C25-82C3-E1986EB0F33A}" xr6:coauthVersionLast="47" xr6:coauthVersionMax="47" xr10:uidLastSave="{815BEDC6-55F8-4449-8B23-CE7AD89BAEF8}"/>
  <bookViews>
    <workbookView xWindow="-120" yWindow="-120" windowWidth="20730" windowHeight="11160" tabRatio="953" xr2:uid="{00000000-000D-0000-FFFF-FFFF00000000}"/>
  </bookViews>
  <sheets>
    <sheet name="Cover" sheetId="1" r:id="rId1"/>
    <sheet name="Nexus_Summary" sheetId="2" r:id="rId2"/>
    <sheet name="Parameter_Summary" sheetId="3" r:id="rId3"/>
    <sheet name="Units_month" sheetId="4" r:id="rId4"/>
    <sheet name="Calculations" sheetId="5" r:id="rId5"/>
    <sheet name="Usage Rate Calc" sheetId="8" r:id="rId6"/>
    <sheet name="CoreData" sheetId="6" r:id="rId7"/>
    <sheet name="Leakage" sheetId="7" r:id="rId8"/>
    <sheet name="US_Survey" sheetId="9" r:id="rId9"/>
    <sheet name="WCFT" sheetId="15" r:id="rId10"/>
    <sheet name="WQ_Test" sheetId="11" r:id="rId11"/>
    <sheet name="Sale_Data" sheetId="12" r:id="rId12"/>
    <sheet name="PS_Survey" sheetId="14" r:id="rId13"/>
    <sheet name="CWP_FuelSaved" sheetId="13" r:id="rId14"/>
  </sheets>
  <definedNames>
    <definedName name="_ftn1" localSheetId="2">Parameter_Summary!$O$24</definedName>
    <definedName name="_ftnref1" localSheetId="2">Parameter_Summary!$S$17</definedName>
    <definedName name="_xlnm.Print_Area" localSheetId="4">Calculations!$B$1:$E$121</definedName>
    <definedName name="_xlnm.Print_Area" localSheetId="7">Leakage!$A$2:$R$34</definedName>
    <definedName name="_xlnm.Print_Area" localSheetId="3">Units_month!$B$1:$N$176</definedName>
    <definedName name="Z_D2AE56D6_E8AC_4B34_81C8_5074B4320CEA_.wvu.PrintArea" localSheetId="4" hidden="1">Calculations!$B$1:$E$121</definedName>
    <definedName name="Z_D2AE56D6_E8AC_4B34_81C8_5074B4320CEA_.wvu.PrintArea" localSheetId="7" hidden="1">Leakage!$A$2:$R$34</definedName>
    <definedName name="Z_D2AE56D6_E8AC_4B34_81C8_5074B4320CEA_.wvu.PrintArea" localSheetId="3" hidden="1">Units_month!$B$1:$N$176</definedName>
  </definedNames>
  <calcPr calcId="191029"/>
  <customWorkbookViews>
    <customWorkbookView name="Chanvibol Meng - Personal View" guid="{D2AE56D6-E8AC-4B34-81C8-5074B4320CEA}" mergeInterval="0" personalView="1" maximized="1" xWindow="1358" yWindow="-8" windowWidth="1382" windowHeight="744" tabRatio="905" activeSheetId="2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6" l="1"/>
  <c r="Y18" i="3"/>
  <c r="D5" i="15" l="1"/>
  <c r="S27" i="3"/>
  <c r="R27" i="3"/>
  <c r="D16" i="7"/>
  <c r="H65" i="4" l="1"/>
  <c r="G66" i="4"/>
  <c r="G65" i="4"/>
  <c r="E144" i="12" l="1"/>
  <c r="D3" i="15"/>
  <c r="E51" i="3" l="1"/>
  <c r="F112" i="6"/>
  <c r="L20" i="3" l="1"/>
  <c r="M36" i="3"/>
  <c r="M34" i="3"/>
  <c r="M35" i="3"/>
  <c r="M30" i="3"/>
  <c r="M31" i="3"/>
  <c r="M32" i="3"/>
  <c r="M33" i="3"/>
  <c r="C14" i="14"/>
  <c r="M29" i="3" s="1"/>
  <c r="E14" i="14"/>
  <c r="E18" i="14"/>
  <c r="B20" i="14"/>
  <c r="B15" i="14"/>
  <c r="B16" i="14"/>
  <c r="B17" i="14"/>
  <c r="B18" i="14"/>
  <c r="B19" i="14"/>
  <c r="B14" i="14"/>
  <c r="M28" i="3"/>
  <c r="M26" i="3"/>
  <c r="M25" i="3"/>
  <c r="M24" i="3"/>
  <c r="M23" i="3"/>
  <c r="M22" i="3"/>
  <c r="F42" i="6"/>
  <c r="F41" i="6"/>
  <c r="F40" i="6"/>
  <c r="F7" i="6"/>
  <c r="L22" i="3"/>
  <c r="D4" i="15"/>
  <c r="M21" i="3"/>
  <c r="C7" i="14"/>
  <c r="M27" i="3" s="1"/>
  <c r="C4" i="14"/>
  <c r="M20" i="3" l="1"/>
  <c r="M18" i="3"/>
  <c r="L35" i="3"/>
  <c r="L34" i="3"/>
  <c r="L32" i="3"/>
  <c r="L31" i="3"/>
  <c r="L30" i="3"/>
  <c r="L28" i="3"/>
  <c r="L26" i="3"/>
  <c r="L25" i="3"/>
  <c r="L24" i="3"/>
  <c r="L23" i="3"/>
  <c r="L21" i="3"/>
  <c r="F38" i="6" l="1"/>
  <c r="L33" i="3" s="1"/>
  <c r="R14" i="7" l="1"/>
  <c r="S48" i="7"/>
  <c r="C15" i="13"/>
  <c r="B15" i="13"/>
  <c r="E7" i="14" l="1"/>
  <c r="L27" i="3" s="1"/>
  <c r="E4" i="14" l="1"/>
  <c r="F117" i="6" l="1"/>
  <c r="F34" i="6"/>
  <c r="L29" i="3" s="1"/>
  <c r="A14" i="7" l="1"/>
  <c r="F76" i="6" l="1"/>
  <c r="AK115" i="4" l="1"/>
  <c r="AX115" i="4" s="1"/>
  <c r="AK116" i="4"/>
  <c r="AX116" i="4" s="1"/>
  <c r="AK117" i="4"/>
  <c r="AX117" i="4" s="1"/>
  <c r="AK118" i="4"/>
  <c r="AX118" i="4" s="1"/>
  <c r="AK119" i="4"/>
  <c r="AX119" i="4" s="1"/>
  <c r="AK120" i="4"/>
  <c r="AX120" i="4" s="1"/>
  <c r="AK121" i="4"/>
  <c r="AX121" i="4" s="1"/>
  <c r="AK122" i="4"/>
  <c r="AX122" i="4" s="1"/>
  <c r="AK123" i="4"/>
  <c r="AX123" i="4" s="1"/>
  <c r="AK124" i="4"/>
  <c r="AX124" i="4" s="1"/>
  <c r="AK125" i="4"/>
  <c r="AX125" i="4" s="1"/>
  <c r="AK126" i="4"/>
  <c r="AX126" i="4" s="1"/>
  <c r="AK127" i="4"/>
  <c r="AX127" i="4" s="1"/>
  <c r="AK128" i="4"/>
  <c r="AX128" i="4" s="1"/>
  <c r="AK129" i="4"/>
  <c r="AX129" i="4" s="1"/>
  <c r="AK130" i="4"/>
  <c r="AX130" i="4" s="1"/>
  <c r="AK131" i="4"/>
  <c r="AX131" i="4" s="1"/>
  <c r="AK132" i="4"/>
  <c r="AX132" i="4" s="1"/>
  <c r="AK133" i="4"/>
  <c r="AX133" i="4" s="1"/>
  <c r="AK134" i="4"/>
  <c r="AX134" i="4" s="1"/>
  <c r="AK135" i="4"/>
  <c r="AX135" i="4" s="1"/>
  <c r="AK136" i="4"/>
  <c r="AX136" i="4" s="1"/>
  <c r="AK137" i="4"/>
  <c r="AX137" i="4" s="1"/>
  <c r="AK138" i="4"/>
  <c r="AX138" i="4" s="1"/>
  <c r="AK139" i="4"/>
  <c r="AX139" i="4" s="1"/>
  <c r="AK140" i="4"/>
  <c r="AX140" i="4" s="1"/>
  <c r="AK141" i="4"/>
  <c r="AX141" i="4" s="1"/>
  <c r="AK142" i="4"/>
  <c r="AX142" i="4" s="1"/>
  <c r="AK143" i="4"/>
  <c r="AX143" i="4" s="1"/>
  <c r="AK144" i="4"/>
  <c r="AX144" i="4" s="1"/>
  <c r="AK145" i="4"/>
  <c r="AX145" i="4" s="1"/>
  <c r="AK146" i="4"/>
  <c r="AX146" i="4" s="1"/>
  <c r="AK147" i="4"/>
  <c r="AX147" i="4" s="1"/>
  <c r="AK148" i="4"/>
  <c r="AX148" i="4" s="1"/>
  <c r="AK149" i="4"/>
  <c r="AX149" i="4" s="1"/>
  <c r="AK150" i="4"/>
  <c r="AX150" i="4" s="1"/>
  <c r="AK151" i="4"/>
  <c r="AX151" i="4" s="1"/>
  <c r="AK152" i="4"/>
  <c r="AX152" i="4" s="1"/>
  <c r="AK153" i="4"/>
  <c r="AX153" i="4" s="1"/>
  <c r="AK154" i="4"/>
  <c r="AX154" i="4" s="1"/>
  <c r="AK155" i="4"/>
  <c r="AX155" i="4" s="1"/>
  <c r="AK156" i="4"/>
  <c r="AX156" i="4" s="1"/>
  <c r="AK157" i="4"/>
  <c r="AX157" i="4" s="1"/>
  <c r="AK158" i="4"/>
  <c r="AX158" i="4" s="1"/>
  <c r="AK159" i="4"/>
  <c r="AX159" i="4" s="1"/>
  <c r="AK160" i="4"/>
  <c r="AX160" i="4" s="1"/>
  <c r="AK161" i="4"/>
  <c r="AX161" i="4" s="1"/>
  <c r="AK162" i="4"/>
  <c r="AX162" i="4" s="1"/>
  <c r="AK163" i="4"/>
  <c r="AX163" i="4" s="1"/>
  <c r="AK164" i="4"/>
  <c r="AX164" i="4" s="1"/>
  <c r="AK165" i="4"/>
  <c r="AX165" i="4" s="1"/>
  <c r="AK166" i="4"/>
  <c r="AX166" i="4" s="1"/>
  <c r="AK167" i="4"/>
  <c r="AX167" i="4" s="1"/>
  <c r="AK168" i="4"/>
  <c r="AX168" i="4" s="1"/>
  <c r="AK169" i="4"/>
  <c r="AX169" i="4" s="1"/>
  <c r="AK170" i="4"/>
  <c r="AX170" i="4" s="1"/>
  <c r="AK171" i="4"/>
  <c r="AX171" i="4" s="1"/>
  <c r="AK172" i="4"/>
  <c r="AX172" i="4" s="1"/>
  <c r="AK173" i="4"/>
  <c r="AX173" i="4" s="1"/>
  <c r="AE115" i="4"/>
  <c r="AR115" i="4" s="1"/>
  <c r="AE116" i="4"/>
  <c r="AR116" i="4" s="1"/>
  <c r="AE117" i="4"/>
  <c r="AR117" i="4" s="1"/>
  <c r="AE118" i="4"/>
  <c r="AR118" i="4" s="1"/>
  <c r="AE119" i="4"/>
  <c r="AR119" i="4" s="1"/>
  <c r="AE120" i="4"/>
  <c r="AR120" i="4" s="1"/>
  <c r="AE121" i="4"/>
  <c r="AR121" i="4" s="1"/>
  <c r="AE122" i="4"/>
  <c r="AR122" i="4" s="1"/>
  <c r="AE123" i="4"/>
  <c r="AR123" i="4" s="1"/>
  <c r="AE124" i="4"/>
  <c r="AR124" i="4" s="1"/>
  <c r="AE125" i="4"/>
  <c r="AR125" i="4" s="1"/>
  <c r="AE126" i="4"/>
  <c r="AR126" i="4" s="1"/>
  <c r="AE127" i="4"/>
  <c r="AR127" i="4" s="1"/>
  <c r="AE128" i="4"/>
  <c r="AR128" i="4" s="1"/>
  <c r="AE129" i="4"/>
  <c r="AR129" i="4" s="1"/>
  <c r="AE130" i="4"/>
  <c r="AR130" i="4" s="1"/>
  <c r="AE131" i="4"/>
  <c r="AR131" i="4" s="1"/>
  <c r="AE132" i="4"/>
  <c r="AR132" i="4" s="1"/>
  <c r="AE133" i="4"/>
  <c r="AR133" i="4" s="1"/>
  <c r="AE134" i="4"/>
  <c r="AR134" i="4" s="1"/>
  <c r="AE135" i="4"/>
  <c r="AR135" i="4" s="1"/>
  <c r="AE136" i="4"/>
  <c r="AR136" i="4" s="1"/>
  <c r="AE137" i="4"/>
  <c r="AR137" i="4" s="1"/>
  <c r="AE138" i="4"/>
  <c r="AR138" i="4" s="1"/>
  <c r="AE139" i="4"/>
  <c r="AR139" i="4" s="1"/>
  <c r="AE140" i="4"/>
  <c r="AR140" i="4" s="1"/>
  <c r="AE141" i="4"/>
  <c r="AR141" i="4" s="1"/>
  <c r="AE142" i="4"/>
  <c r="AR142" i="4" s="1"/>
  <c r="AE143" i="4"/>
  <c r="AR143" i="4" s="1"/>
  <c r="AE144" i="4"/>
  <c r="AR144" i="4" s="1"/>
  <c r="AE145" i="4"/>
  <c r="AR145" i="4" s="1"/>
  <c r="AE146" i="4"/>
  <c r="AR146" i="4" s="1"/>
  <c r="AE147" i="4"/>
  <c r="AR147" i="4" s="1"/>
  <c r="AE148" i="4"/>
  <c r="AR148" i="4" s="1"/>
  <c r="AE149" i="4"/>
  <c r="AR149" i="4" s="1"/>
  <c r="AE150" i="4"/>
  <c r="AR150" i="4" s="1"/>
  <c r="AE151" i="4"/>
  <c r="AR151" i="4" s="1"/>
  <c r="AE152" i="4"/>
  <c r="AR152" i="4" s="1"/>
  <c r="AE153" i="4"/>
  <c r="AR153" i="4" s="1"/>
  <c r="AE154" i="4"/>
  <c r="AR154" i="4" s="1"/>
  <c r="AE155" i="4"/>
  <c r="AR155" i="4" s="1"/>
  <c r="AE156" i="4"/>
  <c r="AR156" i="4" s="1"/>
  <c r="AE157" i="4"/>
  <c r="AR157" i="4" s="1"/>
  <c r="AE158" i="4"/>
  <c r="AR158" i="4" s="1"/>
  <c r="AE159" i="4"/>
  <c r="AR159" i="4" s="1"/>
  <c r="AE160" i="4"/>
  <c r="AR160" i="4" s="1"/>
  <c r="AE161" i="4"/>
  <c r="AR161" i="4" s="1"/>
  <c r="AE162" i="4"/>
  <c r="AR162" i="4" s="1"/>
  <c r="AE163" i="4"/>
  <c r="AR163" i="4" s="1"/>
  <c r="AE164" i="4"/>
  <c r="AR164" i="4" s="1"/>
  <c r="AE165" i="4"/>
  <c r="AR165" i="4" s="1"/>
  <c r="AE166" i="4"/>
  <c r="AR166" i="4" s="1"/>
  <c r="AE167" i="4"/>
  <c r="AR167" i="4" s="1"/>
  <c r="AE168" i="4"/>
  <c r="AR168" i="4" s="1"/>
  <c r="AE169" i="4"/>
  <c r="AR169" i="4" s="1"/>
  <c r="AE170" i="4"/>
  <c r="AR170" i="4" s="1"/>
  <c r="AE171" i="4"/>
  <c r="AR171" i="4" s="1"/>
  <c r="AE172" i="4"/>
  <c r="AR172" i="4" s="1"/>
  <c r="AE173" i="4"/>
  <c r="AR173" i="4" s="1"/>
  <c r="BD105" i="4"/>
  <c r="BD106" i="4"/>
  <c r="BD107" i="4"/>
  <c r="BD108" i="4"/>
  <c r="BD109" i="4"/>
  <c r="BD110" i="4"/>
  <c r="BD111" i="4"/>
  <c r="BD112" i="4"/>
  <c r="BD113" i="4"/>
  <c r="BD114" i="4"/>
  <c r="BD115" i="4"/>
  <c r="BD116" i="4"/>
  <c r="BD117" i="4"/>
  <c r="BD118" i="4"/>
  <c r="BD119" i="4"/>
  <c r="BD120" i="4"/>
  <c r="BD121" i="4"/>
  <c r="BD122" i="4"/>
  <c r="BD123" i="4"/>
  <c r="BD124" i="4"/>
  <c r="BD125" i="4"/>
  <c r="BD126" i="4"/>
  <c r="BD127" i="4"/>
  <c r="BD128" i="4"/>
  <c r="BD129" i="4"/>
  <c r="BD130" i="4"/>
  <c r="BD131" i="4"/>
  <c r="BD132" i="4"/>
  <c r="BD133" i="4"/>
  <c r="BD134" i="4"/>
  <c r="BD135" i="4"/>
  <c r="BD136" i="4"/>
  <c r="BD137" i="4"/>
  <c r="BD138" i="4"/>
  <c r="BD139" i="4"/>
  <c r="BD140" i="4"/>
  <c r="BD141" i="4"/>
  <c r="BD142" i="4"/>
  <c r="BD143" i="4"/>
  <c r="BD144" i="4"/>
  <c r="BD145" i="4"/>
  <c r="BD146" i="4"/>
  <c r="BD147" i="4"/>
  <c r="BD14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04" i="4"/>
  <c r="BD103" i="4"/>
  <c r="BP103" i="4" s="1"/>
  <c r="R15" i="7" l="1"/>
  <c r="U48" i="7" l="1"/>
  <c r="R8" i="7" s="1"/>
  <c r="R27" i="7" s="1"/>
  <c r="I13" i="13" l="1"/>
  <c r="K11" i="8" l="1"/>
  <c r="K10" i="8"/>
  <c r="K9" i="8"/>
  <c r="K8" i="8"/>
  <c r="K7" i="8"/>
  <c r="AF116" i="4" l="1"/>
  <c r="AS116" i="4" s="1"/>
  <c r="AF120" i="4"/>
  <c r="AS120" i="4" s="1"/>
  <c r="AF124" i="4"/>
  <c r="AS124" i="4" s="1"/>
  <c r="AF128" i="4"/>
  <c r="AS128" i="4" s="1"/>
  <c r="AF132" i="4"/>
  <c r="AS132" i="4" s="1"/>
  <c r="AF136" i="4"/>
  <c r="AS136" i="4" s="1"/>
  <c r="AF140" i="4"/>
  <c r="AS140" i="4" s="1"/>
  <c r="AF144" i="4"/>
  <c r="AS144" i="4" s="1"/>
  <c r="AF148" i="4"/>
  <c r="AS148" i="4" s="1"/>
  <c r="AF152" i="4"/>
  <c r="AS152" i="4" s="1"/>
  <c r="AF156" i="4"/>
  <c r="AS156" i="4" s="1"/>
  <c r="AF160" i="4"/>
  <c r="AS160" i="4" s="1"/>
  <c r="AF164" i="4"/>
  <c r="AS164" i="4" s="1"/>
  <c r="AF168" i="4"/>
  <c r="AS168" i="4" s="1"/>
  <c r="AF172" i="4"/>
  <c r="AS172" i="4" s="1"/>
  <c r="BE107" i="4"/>
  <c r="BE111" i="4"/>
  <c r="BE115" i="4"/>
  <c r="BE119" i="4"/>
  <c r="BE123" i="4"/>
  <c r="BE127" i="4"/>
  <c r="BE131" i="4"/>
  <c r="BE135" i="4"/>
  <c r="BE139" i="4"/>
  <c r="BE143" i="4"/>
  <c r="BE147" i="4"/>
  <c r="BE151" i="4"/>
  <c r="BE155" i="4"/>
  <c r="BE159" i="4"/>
  <c r="BE163" i="4"/>
  <c r="BE167" i="4"/>
  <c r="BE171" i="4"/>
  <c r="AF117" i="4"/>
  <c r="AS117" i="4" s="1"/>
  <c r="AF121" i="4"/>
  <c r="AS121" i="4" s="1"/>
  <c r="AF125" i="4"/>
  <c r="AS125" i="4" s="1"/>
  <c r="AF129" i="4"/>
  <c r="AS129" i="4" s="1"/>
  <c r="AF133" i="4"/>
  <c r="AS133" i="4" s="1"/>
  <c r="AF137" i="4"/>
  <c r="AS137" i="4" s="1"/>
  <c r="AF141" i="4"/>
  <c r="AS141" i="4" s="1"/>
  <c r="AF145" i="4"/>
  <c r="AS145" i="4" s="1"/>
  <c r="AF149" i="4"/>
  <c r="AS149" i="4" s="1"/>
  <c r="AF153" i="4"/>
  <c r="AS153" i="4" s="1"/>
  <c r="AF157" i="4"/>
  <c r="AS157" i="4" s="1"/>
  <c r="AF161" i="4"/>
  <c r="AS161" i="4" s="1"/>
  <c r="AF165" i="4"/>
  <c r="AS165" i="4" s="1"/>
  <c r="AF169" i="4"/>
  <c r="AS169" i="4" s="1"/>
  <c r="AF173" i="4"/>
  <c r="AS173" i="4" s="1"/>
  <c r="BE108" i="4"/>
  <c r="BE112" i="4"/>
  <c r="BE116" i="4"/>
  <c r="BE120" i="4"/>
  <c r="BE124" i="4"/>
  <c r="BE128" i="4"/>
  <c r="BE132" i="4"/>
  <c r="BE136" i="4"/>
  <c r="BE140" i="4"/>
  <c r="BE144" i="4"/>
  <c r="BE148" i="4"/>
  <c r="BE152" i="4"/>
  <c r="BE156" i="4"/>
  <c r="BE160" i="4"/>
  <c r="BE164" i="4"/>
  <c r="BE168" i="4"/>
  <c r="BE172" i="4"/>
  <c r="AF115" i="4"/>
  <c r="AS115" i="4" s="1"/>
  <c r="AF123" i="4"/>
  <c r="AS123" i="4" s="1"/>
  <c r="AF131" i="4"/>
  <c r="AS131" i="4" s="1"/>
  <c r="AF139" i="4"/>
  <c r="AS139" i="4" s="1"/>
  <c r="AF147" i="4"/>
  <c r="AS147" i="4" s="1"/>
  <c r="AF155" i="4"/>
  <c r="AS155" i="4" s="1"/>
  <c r="AF163" i="4"/>
  <c r="AS163" i="4" s="1"/>
  <c r="AF171" i="4"/>
  <c r="AS171" i="4" s="1"/>
  <c r="BE110" i="4"/>
  <c r="BE118" i="4"/>
  <c r="BE126" i="4"/>
  <c r="BE134" i="4"/>
  <c r="AF118" i="4"/>
  <c r="AS118" i="4" s="1"/>
  <c r="AF122" i="4"/>
  <c r="AS122" i="4" s="1"/>
  <c r="AF126" i="4"/>
  <c r="AS126" i="4" s="1"/>
  <c r="AF130" i="4"/>
  <c r="AS130" i="4" s="1"/>
  <c r="AF134" i="4"/>
  <c r="AS134" i="4" s="1"/>
  <c r="AF138" i="4"/>
  <c r="AS138" i="4" s="1"/>
  <c r="AF142" i="4"/>
  <c r="AS142" i="4" s="1"/>
  <c r="AF146" i="4"/>
  <c r="AS146" i="4" s="1"/>
  <c r="AF150" i="4"/>
  <c r="AS150" i="4" s="1"/>
  <c r="AF154" i="4"/>
  <c r="AS154" i="4" s="1"/>
  <c r="AF158" i="4"/>
  <c r="AS158" i="4" s="1"/>
  <c r="AF162" i="4"/>
  <c r="AS162" i="4" s="1"/>
  <c r="AF166" i="4"/>
  <c r="AS166" i="4" s="1"/>
  <c r="AF170" i="4"/>
  <c r="AS170" i="4" s="1"/>
  <c r="BE105" i="4"/>
  <c r="BE109" i="4"/>
  <c r="BE113" i="4"/>
  <c r="BE117" i="4"/>
  <c r="BE121" i="4"/>
  <c r="BE125" i="4"/>
  <c r="BE129" i="4"/>
  <c r="BE133" i="4"/>
  <c r="BE137" i="4"/>
  <c r="BE141" i="4"/>
  <c r="BE145" i="4"/>
  <c r="BE149" i="4"/>
  <c r="BE153" i="4"/>
  <c r="BE157" i="4"/>
  <c r="BE161" i="4"/>
  <c r="BE165" i="4"/>
  <c r="BE169" i="4"/>
  <c r="BE173" i="4"/>
  <c r="BE103" i="4"/>
  <c r="BQ103" i="4" s="1"/>
  <c r="AF119" i="4"/>
  <c r="AS119" i="4" s="1"/>
  <c r="AF127" i="4"/>
  <c r="AS127" i="4" s="1"/>
  <c r="AF135" i="4"/>
  <c r="AS135" i="4" s="1"/>
  <c r="AF143" i="4"/>
  <c r="AS143" i="4" s="1"/>
  <c r="AF151" i="4"/>
  <c r="AS151" i="4" s="1"/>
  <c r="AF159" i="4"/>
  <c r="AS159" i="4" s="1"/>
  <c r="AF167" i="4"/>
  <c r="AS167" i="4" s="1"/>
  <c r="BE106" i="4"/>
  <c r="BE114" i="4"/>
  <c r="BE122" i="4"/>
  <c r="BE130" i="4"/>
  <c r="BE138" i="4"/>
  <c r="BE154" i="4"/>
  <c r="BE170" i="4"/>
  <c r="BE158" i="4"/>
  <c r="BE146" i="4"/>
  <c r="BE162" i="4"/>
  <c r="BE150" i="4"/>
  <c r="BE166" i="4"/>
  <c r="BE142" i="4"/>
  <c r="BE104" i="4"/>
  <c r="BJ103" i="4" l="1"/>
  <c r="BV103" i="4" s="1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F138" i="6"/>
  <c r="F136" i="6" s="1"/>
  <c r="J63" i="6" l="1"/>
  <c r="D12" i="7" l="1"/>
  <c r="B4" i="13" l="1"/>
  <c r="I7" i="13"/>
  <c r="I8" i="13"/>
  <c r="I9" i="13"/>
  <c r="I10" i="13"/>
  <c r="I11" i="13"/>
  <c r="I12" i="13"/>
  <c r="I6" i="13"/>
  <c r="C11" i="13"/>
  <c r="C12" i="13" s="1"/>
  <c r="B11" i="13"/>
  <c r="B12" i="13" s="1"/>
  <c r="C9" i="13"/>
  <c r="B9" i="13"/>
  <c r="C7" i="13"/>
  <c r="B7" i="13"/>
  <c r="D194" i="13"/>
  <c r="D195" i="13"/>
  <c r="D196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C194" i="13"/>
  <c r="E194" i="13" s="1"/>
  <c r="H11" i="13"/>
  <c r="G11" i="13"/>
  <c r="H12" i="13"/>
  <c r="E10" i="13"/>
  <c r="H10" i="13" s="1"/>
  <c r="E9" i="13"/>
  <c r="H9" i="13" s="1"/>
  <c r="E8" i="13"/>
  <c r="H8" i="13" s="1"/>
  <c r="E7" i="13"/>
  <c r="H7" i="13" s="1"/>
  <c r="E6" i="13"/>
  <c r="H6" i="13" s="1"/>
  <c r="G12" i="13"/>
  <c r="D10" i="13"/>
  <c r="G10" i="13" s="1"/>
  <c r="D9" i="13"/>
  <c r="G9" i="13" s="1"/>
  <c r="D8" i="13"/>
  <c r="G8" i="13" s="1"/>
  <c r="D7" i="13"/>
  <c r="G7" i="13" s="1"/>
  <c r="D6" i="13"/>
  <c r="G6" i="13" s="1"/>
  <c r="F27" i="13" l="1"/>
  <c r="C4" i="13"/>
  <c r="F87" i="13" s="1"/>
  <c r="F54" i="13"/>
  <c r="F70" i="13"/>
  <c r="F85" i="13"/>
  <c r="F90" i="13"/>
  <c r="F95" i="13"/>
  <c r="F101" i="13"/>
  <c r="F106" i="13"/>
  <c r="F26" i="13"/>
  <c r="G26" i="13" s="1"/>
  <c r="F33" i="13"/>
  <c r="F49" i="13"/>
  <c r="F65" i="13"/>
  <c r="F81" i="13"/>
  <c r="F97" i="13"/>
  <c r="F107" i="13"/>
  <c r="F34" i="13"/>
  <c r="F103" i="13"/>
  <c r="F82" i="13"/>
  <c r="F50" i="13"/>
  <c r="F98" i="13"/>
  <c r="F74" i="13"/>
  <c r="F42" i="13"/>
  <c r="F78" i="13" l="1"/>
  <c r="F46" i="13"/>
  <c r="F91" i="13"/>
  <c r="F89" i="13"/>
  <c r="F29" i="13"/>
  <c r="F80" i="13"/>
  <c r="F48" i="13"/>
  <c r="F71" i="13"/>
  <c r="F39" i="13"/>
  <c r="F38" i="13"/>
  <c r="F86" i="13"/>
  <c r="F83" i="13"/>
  <c r="F108" i="13"/>
  <c r="F76" i="13"/>
  <c r="F44" i="13"/>
  <c r="F67" i="13"/>
  <c r="F35" i="13"/>
  <c r="F62" i="13"/>
  <c r="F30" i="13"/>
  <c r="F41" i="13"/>
  <c r="F61" i="13"/>
  <c r="F96" i="13"/>
  <c r="F64" i="13"/>
  <c r="F32" i="13"/>
  <c r="F55" i="13"/>
  <c r="F194" i="13"/>
  <c r="F105" i="13"/>
  <c r="F53" i="13"/>
  <c r="F92" i="13"/>
  <c r="F60" i="13"/>
  <c r="F28" i="13"/>
  <c r="F51" i="13"/>
  <c r="I28" i="13"/>
  <c r="I32" i="13"/>
  <c r="I36" i="13"/>
  <c r="I40" i="13"/>
  <c r="I44" i="13"/>
  <c r="I48" i="13"/>
  <c r="I52" i="13"/>
  <c r="I56" i="13"/>
  <c r="I60" i="13"/>
  <c r="I64" i="13"/>
  <c r="I68" i="13"/>
  <c r="I72" i="13"/>
  <c r="I76" i="13"/>
  <c r="I80" i="13"/>
  <c r="I84" i="13"/>
  <c r="I88" i="13"/>
  <c r="I92" i="13"/>
  <c r="I96" i="13"/>
  <c r="I100" i="13"/>
  <c r="I104" i="13"/>
  <c r="I108" i="13"/>
  <c r="I29" i="13"/>
  <c r="I33" i="13"/>
  <c r="I37" i="13"/>
  <c r="I41" i="13"/>
  <c r="I45" i="13"/>
  <c r="I49" i="13"/>
  <c r="I53" i="13"/>
  <c r="I30" i="13"/>
  <c r="I38" i="13"/>
  <c r="I46" i="13"/>
  <c r="I54" i="13"/>
  <c r="I59" i="13"/>
  <c r="I65" i="13"/>
  <c r="I70" i="13"/>
  <c r="I75" i="13"/>
  <c r="I81" i="13"/>
  <c r="I86" i="13"/>
  <c r="I91" i="13"/>
  <c r="I97" i="13"/>
  <c r="I102" i="13"/>
  <c r="I107" i="13"/>
  <c r="I31" i="13"/>
  <c r="I39" i="13"/>
  <c r="I47" i="13"/>
  <c r="I55" i="13"/>
  <c r="I61" i="13"/>
  <c r="I66" i="13"/>
  <c r="I71" i="13"/>
  <c r="I77" i="13"/>
  <c r="I82" i="13"/>
  <c r="I87" i="13"/>
  <c r="I93" i="13"/>
  <c r="I98" i="13"/>
  <c r="I103" i="13"/>
  <c r="I109" i="13"/>
  <c r="D4" i="13"/>
  <c r="E4" i="13" s="1"/>
  <c r="F4" i="13" s="1"/>
  <c r="G4" i="13" s="1"/>
  <c r="I34" i="13"/>
  <c r="I50" i="13"/>
  <c r="I62" i="13"/>
  <c r="I73" i="13"/>
  <c r="I83" i="13"/>
  <c r="I94" i="13"/>
  <c r="I105" i="13"/>
  <c r="I42" i="13"/>
  <c r="I67" i="13"/>
  <c r="I89" i="13"/>
  <c r="I194" i="13"/>
  <c r="I43" i="13"/>
  <c r="I69" i="13"/>
  <c r="I35" i="13"/>
  <c r="I51" i="13"/>
  <c r="I63" i="13"/>
  <c r="I74" i="13"/>
  <c r="I85" i="13"/>
  <c r="I95" i="13"/>
  <c r="I106" i="13"/>
  <c r="I57" i="13"/>
  <c r="I78" i="13"/>
  <c r="I99" i="13"/>
  <c r="I27" i="13"/>
  <c r="I58" i="13"/>
  <c r="I79" i="13"/>
  <c r="I90" i="13"/>
  <c r="F93" i="13"/>
  <c r="I101" i="13"/>
  <c r="I26" i="13"/>
  <c r="F66" i="13"/>
  <c r="F73" i="13"/>
  <c r="F99" i="13"/>
  <c r="F77" i="13"/>
  <c r="F45" i="13"/>
  <c r="F104" i="13"/>
  <c r="F88" i="13"/>
  <c r="F72" i="13"/>
  <c r="F56" i="13"/>
  <c r="F40" i="13"/>
  <c r="F79" i="13"/>
  <c r="F63" i="13"/>
  <c r="F47" i="13"/>
  <c r="F31" i="13"/>
  <c r="F109" i="13"/>
  <c r="F102" i="13"/>
  <c r="F57" i="13"/>
  <c r="F94" i="13"/>
  <c r="F69" i="13"/>
  <c r="F37" i="13"/>
  <c r="F100" i="13"/>
  <c r="F84" i="13"/>
  <c r="F68" i="13"/>
  <c r="F52" i="13"/>
  <c r="F36" i="13"/>
  <c r="F75" i="13"/>
  <c r="F59" i="13"/>
  <c r="F43" i="13"/>
  <c r="F58" i="13"/>
  <c r="H109" i="13" l="1"/>
  <c r="H78" i="13"/>
  <c r="H90" i="13"/>
  <c r="G50" i="13"/>
  <c r="G62" i="13"/>
  <c r="G98" i="13"/>
  <c r="H102" i="13"/>
  <c r="G86" i="13"/>
  <c r="H66" i="13"/>
  <c r="H54" i="13"/>
  <c r="H4" i="13"/>
  <c r="K29" i="13"/>
  <c r="K33" i="13"/>
  <c r="K37" i="13"/>
  <c r="K41" i="13"/>
  <c r="K45" i="13"/>
  <c r="K49" i="13"/>
  <c r="K53" i="13"/>
  <c r="K57" i="13"/>
  <c r="K61" i="13"/>
  <c r="K65" i="13"/>
  <c r="K69" i="13"/>
  <c r="K73" i="13"/>
  <c r="K77" i="13"/>
  <c r="K81" i="13"/>
  <c r="K85" i="13"/>
  <c r="K89" i="13"/>
  <c r="K93" i="13"/>
  <c r="K97" i="13"/>
  <c r="K101" i="13"/>
  <c r="K105" i="13"/>
  <c r="K109" i="13"/>
  <c r="K30" i="13"/>
  <c r="K34" i="13"/>
  <c r="K38" i="13"/>
  <c r="K42" i="13"/>
  <c r="K46" i="13"/>
  <c r="K50" i="13"/>
  <c r="K54" i="13"/>
  <c r="K58" i="13"/>
  <c r="K62" i="13"/>
  <c r="K66" i="13"/>
  <c r="K70" i="13"/>
  <c r="K74" i="13"/>
  <c r="K78" i="13"/>
  <c r="K82" i="13"/>
  <c r="K86" i="13"/>
  <c r="K90" i="13"/>
  <c r="K94" i="13"/>
  <c r="K98" i="13"/>
  <c r="K102" i="13"/>
  <c r="K106" i="13"/>
  <c r="K27" i="13"/>
  <c r="K35" i="13"/>
  <c r="K43" i="13"/>
  <c r="K51" i="13"/>
  <c r="K59" i="13"/>
  <c r="K67" i="13"/>
  <c r="K75" i="13"/>
  <c r="K83" i="13"/>
  <c r="K91" i="13"/>
  <c r="K99" i="13"/>
  <c r="K107" i="13"/>
  <c r="K28" i="13"/>
  <c r="K36" i="13"/>
  <c r="K44" i="13"/>
  <c r="K52" i="13"/>
  <c r="K60" i="13"/>
  <c r="K68" i="13"/>
  <c r="K76" i="13"/>
  <c r="K84" i="13"/>
  <c r="K92" i="13"/>
  <c r="K100" i="13"/>
  <c r="K108" i="13"/>
  <c r="K39" i="13"/>
  <c r="K55" i="13"/>
  <c r="K71" i="13"/>
  <c r="K87" i="13"/>
  <c r="K103" i="13"/>
  <c r="K47" i="13"/>
  <c r="K79" i="13"/>
  <c r="K26" i="13"/>
  <c r="K48" i="13"/>
  <c r="K80" i="13"/>
  <c r="K96" i="13"/>
  <c r="K40" i="13"/>
  <c r="K56" i="13"/>
  <c r="K72" i="13"/>
  <c r="K88" i="13"/>
  <c r="K104" i="13"/>
  <c r="K31" i="13"/>
  <c r="K63" i="13"/>
  <c r="K95" i="13"/>
  <c r="K32" i="13"/>
  <c r="K64" i="13"/>
  <c r="K194" i="13"/>
  <c r="G38" i="13"/>
  <c r="G74" i="13"/>
  <c r="H43" i="13"/>
  <c r="P30" i="7"/>
  <c r="P23" i="7"/>
  <c r="I4" i="13" l="1"/>
  <c r="L30" i="13"/>
  <c r="L34" i="13"/>
  <c r="L38" i="13"/>
  <c r="L42" i="13"/>
  <c r="L46" i="13"/>
  <c r="L50" i="13"/>
  <c r="L54" i="13"/>
  <c r="L58" i="13"/>
  <c r="L62" i="13"/>
  <c r="L66" i="13"/>
  <c r="L70" i="13"/>
  <c r="L74" i="13"/>
  <c r="L78" i="13"/>
  <c r="L82" i="13"/>
  <c r="L86" i="13"/>
  <c r="L90" i="13"/>
  <c r="L94" i="13"/>
  <c r="L98" i="13"/>
  <c r="L102" i="13"/>
  <c r="L106" i="13"/>
  <c r="L27" i="13"/>
  <c r="L31" i="13"/>
  <c r="L35" i="13"/>
  <c r="L39" i="13"/>
  <c r="L43" i="13"/>
  <c r="L47" i="13"/>
  <c r="L51" i="13"/>
  <c r="L55" i="13"/>
  <c r="L59" i="13"/>
  <c r="L63" i="13"/>
  <c r="L67" i="13"/>
  <c r="L71" i="13"/>
  <c r="L75" i="13"/>
  <c r="L79" i="13"/>
  <c r="L83" i="13"/>
  <c r="L87" i="13"/>
  <c r="L91" i="13"/>
  <c r="L95" i="13"/>
  <c r="L99" i="13"/>
  <c r="L103" i="13"/>
  <c r="L107" i="13"/>
  <c r="L26" i="13"/>
  <c r="L32" i="13"/>
  <c r="L40" i="13"/>
  <c r="L48" i="13"/>
  <c r="L56" i="13"/>
  <c r="L64" i="13"/>
  <c r="L72" i="13"/>
  <c r="L80" i="13"/>
  <c r="L88" i="13"/>
  <c r="L96" i="13"/>
  <c r="L104" i="13"/>
  <c r="L33" i="13"/>
  <c r="L41" i="13"/>
  <c r="L49" i="13"/>
  <c r="L57" i="13"/>
  <c r="L65" i="13"/>
  <c r="L73" i="13"/>
  <c r="L81" i="13"/>
  <c r="L89" i="13"/>
  <c r="L97" i="13"/>
  <c r="L105" i="13"/>
  <c r="L28" i="13"/>
  <c r="L44" i="13"/>
  <c r="L60" i="13"/>
  <c r="L76" i="13"/>
  <c r="L92" i="13"/>
  <c r="L108" i="13"/>
  <c r="L100" i="13"/>
  <c r="L53" i="13"/>
  <c r="L85" i="13"/>
  <c r="L29" i="13"/>
  <c r="L45" i="13"/>
  <c r="L61" i="13"/>
  <c r="L77" i="13"/>
  <c r="L93" i="13"/>
  <c r="L109" i="13"/>
  <c r="L36" i="13"/>
  <c r="L52" i="13"/>
  <c r="L68" i="13"/>
  <c r="L84" i="13"/>
  <c r="L37" i="13"/>
  <c r="L69" i="13"/>
  <c r="L101" i="13"/>
  <c r="L194" i="13"/>
  <c r="D15" i="9"/>
  <c r="E15" i="9"/>
  <c r="F15" i="9"/>
  <c r="G15" i="9"/>
  <c r="H15" i="9"/>
  <c r="J15" i="9"/>
  <c r="M27" i="13" l="1"/>
  <c r="M31" i="13"/>
  <c r="M35" i="13"/>
  <c r="M39" i="13"/>
  <c r="M43" i="13"/>
  <c r="M47" i="13"/>
  <c r="M51" i="13"/>
  <c r="M55" i="13"/>
  <c r="M59" i="13"/>
  <c r="M63" i="13"/>
  <c r="M67" i="13"/>
  <c r="M71" i="13"/>
  <c r="M75" i="13"/>
  <c r="M79" i="13"/>
  <c r="M83" i="13"/>
  <c r="M87" i="13"/>
  <c r="M91" i="13"/>
  <c r="M95" i="13"/>
  <c r="M99" i="13"/>
  <c r="M103" i="13"/>
  <c r="M107" i="13"/>
  <c r="M26" i="13"/>
  <c r="M28" i="13"/>
  <c r="M32" i="13"/>
  <c r="M36" i="13"/>
  <c r="M40" i="13"/>
  <c r="M44" i="13"/>
  <c r="M48" i="13"/>
  <c r="M52" i="13"/>
  <c r="M56" i="13"/>
  <c r="M60" i="13"/>
  <c r="M64" i="13"/>
  <c r="M68" i="13"/>
  <c r="M72" i="13"/>
  <c r="M76" i="13"/>
  <c r="M80" i="13"/>
  <c r="M84" i="13"/>
  <c r="M88" i="13"/>
  <c r="M92" i="13"/>
  <c r="M96" i="13"/>
  <c r="M100" i="13"/>
  <c r="M104" i="13"/>
  <c r="M108" i="13"/>
  <c r="M29" i="13"/>
  <c r="M37" i="13"/>
  <c r="M45" i="13"/>
  <c r="M53" i="13"/>
  <c r="M61" i="13"/>
  <c r="M69" i="13"/>
  <c r="M77" i="13"/>
  <c r="M85" i="13"/>
  <c r="M93" i="13"/>
  <c r="M101" i="13"/>
  <c r="M109" i="13"/>
  <c r="M30" i="13"/>
  <c r="M38" i="13"/>
  <c r="M46" i="13"/>
  <c r="M54" i="13"/>
  <c r="M62" i="13"/>
  <c r="M70" i="13"/>
  <c r="M78" i="13"/>
  <c r="M86" i="13"/>
  <c r="M94" i="13"/>
  <c r="M102" i="13"/>
  <c r="M33" i="13"/>
  <c r="M49" i="13"/>
  <c r="M65" i="13"/>
  <c r="M81" i="13"/>
  <c r="M97" i="13"/>
  <c r="M73" i="13"/>
  <c r="M42" i="13"/>
  <c r="M74" i="13"/>
  <c r="M106" i="13"/>
  <c r="M34" i="13"/>
  <c r="M50" i="13"/>
  <c r="M66" i="13"/>
  <c r="M82" i="13"/>
  <c r="M98" i="13"/>
  <c r="M41" i="13"/>
  <c r="M57" i="13"/>
  <c r="M89" i="13"/>
  <c r="M105" i="13"/>
  <c r="M58" i="13"/>
  <c r="M90" i="13"/>
  <c r="M194" i="13"/>
  <c r="G6" i="4"/>
  <c r="C7" i="3"/>
  <c r="C8" i="3"/>
  <c r="C9" i="3"/>
  <c r="C10" i="3"/>
  <c r="C11" i="3"/>
  <c r="C12" i="3"/>
  <c r="C6" i="3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7" i="8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6" i="4"/>
  <c r="R7" i="7"/>
  <c r="G86" i="6"/>
  <c r="I74" i="6"/>
  <c r="I72" i="6"/>
  <c r="I70" i="6"/>
  <c r="F56" i="6"/>
  <c r="F55" i="6"/>
  <c r="F51" i="6"/>
  <c r="F50" i="6"/>
  <c r="R26" i="7" l="1"/>
  <c r="R28" i="7" s="1"/>
  <c r="R12" i="2"/>
  <c r="Q12" i="2"/>
  <c r="P12" i="2"/>
  <c r="AM12" i="2"/>
  <c r="S12" i="2"/>
  <c r="AF12" i="2"/>
  <c r="Z12" i="2"/>
  <c r="T12" i="2"/>
  <c r="N12" i="2"/>
  <c r="AA12" i="2"/>
  <c r="V12" i="2"/>
  <c r="AR12" i="2"/>
  <c r="AL12" i="2"/>
  <c r="O12" i="2"/>
  <c r="P11" i="2"/>
  <c r="Q11" i="2"/>
  <c r="R11" i="2"/>
  <c r="N11" i="2"/>
  <c r="AF11" i="2"/>
  <c r="AA11" i="2"/>
  <c r="AL11" i="2"/>
  <c r="T11" i="2"/>
  <c r="O11" i="2"/>
  <c r="V11" i="2"/>
  <c r="AR11" i="2"/>
  <c r="AM11" i="2"/>
  <c r="Z11" i="2"/>
  <c r="S11" i="2"/>
  <c r="Q10" i="2"/>
  <c r="P10" i="2"/>
  <c r="R10" i="2"/>
  <c r="AM10" i="2"/>
  <c r="T10" i="2"/>
  <c r="V10" i="2"/>
  <c r="AR10" i="2"/>
  <c r="Z10" i="2"/>
  <c r="N10" i="2"/>
  <c r="AA10" i="2"/>
  <c r="S10" i="2"/>
  <c r="AL10" i="2"/>
  <c r="O10" i="2"/>
  <c r="AF10" i="2"/>
  <c r="R9" i="2"/>
  <c r="Q24" i="3" s="1"/>
  <c r="Q9" i="2"/>
  <c r="Q23" i="3" s="1"/>
  <c r="P9" i="2"/>
  <c r="Q22" i="3" s="1"/>
  <c r="AR9" i="2"/>
  <c r="N9" i="2"/>
  <c r="Q20" i="3" s="1"/>
  <c r="AA9" i="2"/>
  <c r="R21" i="3" s="1"/>
  <c r="AL9" i="2"/>
  <c r="O9" i="2"/>
  <c r="Q21" i="3" s="1"/>
  <c r="S9" i="2"/>
  <c r="Q25" i="3" s="1"/>
  <c r="AM9" i="2"/>
  <c r="AF9" i="2"/>
  <c r="R26" i="3" s="1"/>
  <c r="S26" i="3" s="1"/>
  <c r="Z9" i="2"/>
  <c r="R20" i="3" s="1"/>
  <c r="S20" i="3" s="1"/>
  <c r="V9" i="2"/>
  <c r="Q28" i="3" s="1"/>
  <c r="T9" i="2"/>
  <c r="Q26" i="3" s="1"/>
  <c r="R8" i="2"/>
  <c r="Q8" i="2"/>
  <c r="P8" i="2"/>
  <c r="AR8" i="2"/>
  <c r="M45" i="3" s="1"/>
  <c r="O8" i="2"/>
  <c r="Z8" i="2"/>
  <c r="S8" i="2"/>
  <c r="AM8" i="2"/>
  <c r="M40" i="3" s="1"/>
  <c r="N8" i="2"/>
  <c r="AL8" i="2"/>
  <c r="M39" i="3" s="1"/>
  <c r="AF8" i="2"/>
  <c r="V8" i="2"/>
  <c r="T8" i="2"/>
  <c r="AA8" i="2"/>
  <c r="AX6" i="2"/>
  <c r="BB6" i="2"/>
  <c r="AV6" i="2"/>
  <c r="AW6" i="2"/>
  <c r="BC6" i="2"/>
  <c r="BD6" i="2"/>
  <c r="AZ6" i="2"/>
  <c r="BE6" i="2"/>
  <c r="AY6" i="2"/>
  <c r="BA6" i="2"/>
  <c r="BF6" i="2"/>
  <c r="BD12" i="2"/>
  <c r="AX12" i="2"/>
  <c r="AY12" i="2"/>
  <c r="BD11" i="2"/>
  <c r="AY11" i="2"/>
  <c r="AX11" i="2"/>
  <c r="AX10" i="2"/>
  <c r="AY10" i="2"/>
  <c r="BD10" i="2"/>
  <c r="AY9" i="2"/>
  <c r="BD9" i="2"/>
  <c r="AX9" i="2"/>
  <c r="BD8" i="2"/>
  <c r="AX8" i="2"/>
  <c r="AY8" i="2"/>
  <c r="BD7" i="2"/>
  <c r="AY7" i="2"/>
  <c r="AW7" i="2"/>
  <c r="BC7" i="2"/>
  <c r="AZ7" i="2"/>
  <c r="BE7" i="2"/>
  <c r="BA7" i="2"/>
  <c r="BF7" i="2"/>
  <c r="AX7" i="2"/>
  <c r="BB7" i="2"/>
  <c r="AV7" i="2"/>
  <c r="G61" i="4"/>
  <c r="G53" i="4"/>
  <c r="G45" i="4"/>
  <c r="G37" i="4"/>
  <c r="G29" i="4"/>
  <c r="G21" i="4"/>
  <c r="G13" i="4"/>
  <c r="G58" i="4"/>
  <c r="G50" i="4"/>
  <c r="G42" i="4"/>
  <c r="G34" i="4"/>
  <c r="G26" i="4"/>
  <c r="G18" i="4"/>
  <c r="G10" i="4"/>
  <c r="G57" i="4"/>
  <c r="G49" i="4"/>
  <c r="G41" i="4"/>
  <c r="G33" i="4"/>
  <c r="G25" i="4"/>
  <c r="G17" i="4"/>
  <c r="G9" i="4"/>
  <c r="G62" i="4"/>
  <c r="G54" i="4"/>
  <c r="G46" i="4"/>
  <c r="G38" i="4"/>
  <c r="G30" i="4"/>
  <c r="G22" i="4"/>
  <c r="G14" i="4"/>
  <c r="C170" i="8"/>
  <c r="C189" i="13"/>
  <c r="E189" i="13" s="1"/>
  <c r="C166" i="8"/>
  <c r="C185" i="13"/>
  <c r="E185" i="13" s="1"/>
  <c r="C158" i="8"/>
  <c r="C177" i="13"/>
  <c r="E177" i="13" s="1"/>
  <c r="C150" i="8"/>
  <c r="C169" i="13"/>
  <c r="E169" i="13" s="1"/>
  <c r="C138" i="8"/>
  <c r="C157" i="13"/>
  <c r="E157" i="13" s="1"/>
  <c r="C130" i="8"/>
  <c r="C149" i="13"/>
  <c r="E149" i="13" s="1"/>
  <c r="C122" i="8"/>
  <c r="C141" i="13"/>
  <c r="E141" i="13" s="1"/>
  <c r="C114" i="8"/>
  <c r="C133" i="13"/>
  <c r="E133" i="13" s="1"/>
  <c r="C106" i="8"/>
  <c r="C125" i="13"/>
  <c r="E125" i="13" s="1"/>
  <c r="C98" i="8"/>
  <c r="C117" i="13"/>
  <c r="E117" i="13" s="1"/>
  <c r="C90" i="8"/>
  <c r="C109" i="13"/>
  <c r="C82" i="8"/>
  <c r="C101" i="13"/>
  <c r="C74" i="8"/>
  <c r="C93" i="13"/>
  <c r="C66" i="8"/>
  <c r="C85" i="13"/>
  <c r="C58" i="8"/>
  <c r="C77" i="13"/>
  <c r="C50" i="8"/>
  <c r="C69" i="13"/>
  <c r="C42" i="8"/>
  <c r="C61" i="13"/>
  <c r="C34" i="8"/>
  <c r="C53" i="13"/>
  <c r="C26" i="8"/>
  <c r="C45" i="13"/>
  <c r="C18" i="8"/>
  <c r="C37" i="13"/>
  <c r="C10" i="8"/>
  <c r="C29" i="13"/>
  <c r="C173" i="8"/>
  <c r="C192" i="13"/>
  <c r="E192" i="13" s="1"/>
  <c r="C165" i="8"/>
  <c r="C184" i="13"/>
  <c r="E184" i="13" s="1"/>
  <c r="C157" i="8"/>
  <c r="C176" i="13"/>
  <c r="E176" i="13" s="1"/>
  <c r="C149" i="8"/>
  <c r="C168" i="13"/>
  <c r="E168" i="13" s="1"/>
  <c r="C141" i="8"/>
  <c r="C160" i="13"/>
  <c r="E160" i="13" s="1"/>
  <c r="C133" i="8"/>
  <c r="C152" i="13"/>
  <c r="E152" i="13" s="1"/>
  <c r="C125" i="8"/>
  <c r="C144" i="13"/>
  <c r="E144" i="13" s="1"/>
  <c r="C117" i="8"/>
  <c r="C136" i="13"/>
  <c r="E136" i="13" s="1"/>
  <c r="C109" i="8"/>
  <c r="C128" i="13"/>
  <c r="E128" i="13" s="1"/>
  <c r="C101" i="8"/>
  <c r="C120" i="13"/>
  <c r="E120" i="13" s="1"/>
  <c r="C93" i="8"/>
  <c r="C112" i="13"/>
  <c r="E112" i="13" s="1"/>
  <c r="C85" i="8"/>
  <c r="C104" i="13"/>
  <c r="C77" i="8"/>
  <c r="C96" i="13"/>
  <c r="C65" i="8"/>
  <c r="C84" i="13"/>
  <c r="C57" i="8"/>
  <c r="C76" i="13"/>
  <c r="C49" i="8"/>
  <c r="C68" i="13"/>
  <c r="C41" i="8"/>
  <c r="C60" i="13"/>
  <c r="C33" i="8"/>
  <c r="C52" i="13"/>
  <c r="C25" i="8"/>
  <c r="C44" i="13"/>
  <c r="C17" i="8"/>
  <c r="C36" i="13"/>
  <c r="C9" i="8"/>
  <c r="C28" i="13"/>
  <c r="C172" i="8"/>
  <c r="C191" i="13"/>
  <c r="E191" i="13" s="1"/>
  <c r="C168" i="8"/>
  <c r="C187" i="13"/>
  <c r="E187" i="13" s="1"/>
  <c r="C164" i="8"/>
  <c r="C183" i="13"/>
  <c r="E183" i="13" s="1"/>
  <c r="C160" i="8"/>
  <c r="C179" i="13"/>
  <c r="E179" i="13" s="1"/>
  <c r="C156" i="8"/>
  <c r="C175" i="13"/>
  <c r="E175" i="13" s="1"/>
  <c r="C152" i="8"/>
  <c r="C171" i="13"/>
  <c r="E171" i="13" s="1"/>
  <c r="C148" i="8"/>
  <c r="C167" i="13"/>
  <c r="E167" i="13" s="1"/>
  <c r="C144" i="8"/>
  <c r="C163" i="13"/>
  <c r="E163" i="13" s="1"/>
  <c r="C140" i="8"/>
  <c r="C159" i="13"/>
  <c r="E159" i="13" s="1"/>
  <c r="C136" i="8"/>
  <c r="C155" i="13"/>
  <c r="E155" i="13" s="1"/>
  <c r="C132" i="8"/>
  <c r="C151" i="13"/>
  <c r="E151" i="13" s="1"/>
  <c r="C128" i="8"/>
  <c r="C147" i="13"/>
  <c r="E147" i="13" s="1"/>
  <c r="C124" i="8"/>
  <c r="C143" i="13"/>
  <c r="E143" i="13" s="1"/>
  <c r="C120" i="8"/>
  <c r="C139" i="13"/>
  <c r="E139" i="13" s="1"/>
  <c r="C116" i="8"/>
  <c r="C135" i="13"/>
  <c r="E135" i="13" s="1"/>
  <c r="C112" i="8"/>
  <c r="C131" i="13"/>
  <c r="E131" i="13" s="1"/>
  <c r="C108" i="8"/>
  <c r="C127" i="13"/>
  <c r="E127" i="13" s="1"/>
  <c r="C104" i="8"/>
  <c r="C123" i="13"/>
  <c r="E123" i="13" s="1"/>
  <c r="C100" i="8"/>
  <c r="C119" i="13"/>
  <c r="E119" i="13" s="1"/>
  <c r="C96" i="8"/>
  <c r="C115" i="13"/>
  <c r="E115" i="13" s="1"/>
  <c r="C92" i="8"/>
  <c r="C111" i="13"/>
  <c r="E111" i="13" s="1"/>
  <c r="C88" i="8"/>
  <c r="C107" i="13"/>
  <c r="C84" i="8"/>
  <c r="C103" i="13"/>
  <c r="C80" i="8"/>
  <c r="C99" i="13"/>
  <c r="C76" i="8"/>
  <c r="C95" i="13"/>
  <c r="C72" i="8"/>
  <c r="C91" i="13"/>
  <c r="C68" i="8"/>
  <c r="C87" i="13"/>
  <c r="C64" i="8"/>
  <c r="C83" i="13"/>
  <c r="C60" i="8"/>
  <c r="C79" i="13"/>
  <c r="C56" i="8"/>
  <c r="C75" i="13"/>
  <c r="C52" i="8"/>
  <c r="C71" i="13"/>
  <c r="C48" i="8"/>
  <c r="C67" i="13"/>
  <c r="C44" i="8"/>
  <c r="C63" i="13"/>
  <c r="C40" i="8"/>
  <c r="C59" i="13"/>
  <c r="C36" i="8"/>
  <c r="C55" i="13"/>
  <c r="C32" i="8"/>
  <c r="C51" i="13"/>
  <c r="C28" i="8"/>
  <c r="C47" i="13"/>
  <c r="C24" i="8"/>
  <c r="C43" i="13"/>
  <c r="C20" i="8"/>
  <c r="C39" i="13"/>
  <c r="C16" i="8"/>
  <c r="C35" i="13"/>
  <c r="C12" i="8"/>
  <c r="C31" i="13"/>
  <c r="C8" i="8"/>
  <c r="C27" i="13"/>
  <c r="G60" i="4"/>
  <c r="G56" i="4"/>
  <c r="G52" i="4"/>
  <c r="G48" i="4"/>
  <c r="G44" i="4"/>
  <c r="G40" i="4"/>
  <c r="G36" i="4"/>
  <c r="G32" i="4"/>
  <c r="G28" i="4"/>
  <c r="G24" i="4"/>
  <c r="G20" i="4"/>
  <c r="G16" i="4"/>
  <c r="G12" i="4"/>
  <c r="G8" i="4"/>
  <c r="C174" i="8"/>
  <c r="C193" i="13"/>
  <c r="E193" i="13" s="1"/>
  <c r="C162" i="8"/>
  <c r="C181" i="13"/>
  <c r="E181" i="13" s="1"/>
  <c r="C154" i="8"/>
  <c r="C173" i="13"/>
  <c r="E173" i="13" s="1"/>
  <c r="C146" i="8"/>
  <c r="C165" i="13"/>
  <c r="E165" i="13" s="1"/>
  <c r="C142" i="8"/>
  <c r="C161" i="13"/>
  <c r="E161" i="13" s="1"/>
  <c r="C134" i="8"/>
  <c r="C153" i="13"/>
  <c r="E153" i="13" s="1"/>
  <c r="C126" i="8"/>
  <c r="C145" i="13"/>
  <c r="E145" i="13" s="1"/>
  <c r="C118" i="8"/>
  <c r="C137" i="13"/>
  <c r="E137" i="13" s="1"/>
  <c r="C110" i="8"/>
  <c r="C129" i="13"/>
  <c r="E129" i="13" s="1"/>
  <c r="C102" i="8"/>
  <c r="C121" i="13"/>
  <c r="E121" i="13" s="1"/>
  <c r="C94" i="8"/>
  <c r="C113" i="13"/>
  <c r="E113" i="13" s="1"/>
  <c r="C86" i="8"/>
  <c r="C105" i="13"/>
  <c r="C78" i="8"/>
  <c r="C97" i="13"/>
  <c r="C70" i="8"/>
  <c r="C89" i="13"/>
  <c r="C62" i="8"/>
  <c r="C81" i="13"/>
  <c r="C54" i="8"/>
  <c r="C73" i="13"/>
  <c r="C46" i="8"/>
  <c r="C65" i="13"/>
  <c r="C38" i="8"/>
  <c r="C57" i="13"/>
  <c r="C30" i="8"/>
  <c r="C49" i="13"/>
  <c r="C22" i="8"/>
  <c r="C41" i="13"/>
  <c r="C14" i="8"/>
  <c r="C33" i="13"/>
  <c r="C169" i="8"/>
  <c r="C188" i="13"/>
  <c r="E188" i="13" s="1"/>
  <c r="C161" i="8"/>
  <c r="C180" i="13"/>
  <c r="E180" i="13" s="1"/>
  <c r="C153" i="8"/>
  <c r="C172" i="13"/>
  <c r="E172" i="13" s="1"/>
  <c r="C145" i="8"/>
  <c r="C164" i="13"/>
  <c r="E164" i="13" s="1"/>
  <c r="C137" i="8"/>
  <c r="C156" i="13"/>
  <c r="E156" i="13" s="1"/>
  <c r="C129" i="8"/>
  <c r="C148" i="13"/>
  <c r="E148" i="13" s="1"/>
  <c r="C121" i="8"/>
  <c r="C140" i="13"/>
  <c r="E140" i="13" s="1"/>
  <c r="C113" i="8"/>
  <c r="C132" i="13"/>
  <c r="E132" i="13" s="1"/>
  <c r="C105" i="8"/>
  <c r="C124" i="13"/>
  <c r="E124" i="13" s="1"/>
  <c r="C97" i="8"/>
  <c r="C116" i="13"/>
  <c r="E116" i="13" s="1"/>
  <c r="C89" i="8"/>
  <c r="C108" i="13"/>
  <c r="C81" i="8"/>
  <c r="C100" i="13"/>
  <c r="C73" i="8"/>
  <c r="C92" i="13"/>
  <c r="C69" i="8"/>
  <c r="C88" i="13"/>
  <c r="C61" i="8"/>
  <c r="C80" i="13"/>
  <c r="C53" i="8"/>
  <c r="C72" i="13"/>
  <c r="C45" i="8"/>
  <c r="C64" i="13"/>
  <c r="C37" i="8"/>
  <c r="C56" i="13"/>
  <c r="C29" i="8"/>
  <c r="C48" i="13"/>
  <c r="C21" i="8"/>
  <c r="C40" i="13"/>
  <c r="C13" i="8"/>
  <c r="C32" i="13"/>
  <c r="C7" i="8"/>
  <c r="C26" i="13"/>
  <c r="C171" i="8"/>
  <c r="C190" i="13"/>
  <c r="E190" i="13" s="1"/>
  <c r="C167" i="8"/>
  <c r="C186" i="13"/>
  <c r="E186" i="13" s="1"/>
  <c r="C163" i="8"/>
  <c r="C182" i="13"/>
  <c r="E182" i="13" s="1"/>
  <c r="C159" i="8"/>
  <c r="C178" i="13"/>
  <c r="E178" i="13" s="1"/>
  <c r="C155" i="8"/>
  <c r="C174" i="13"/>
  <c r="E174" i="13" s="1"/>
  <c r="C151" i="8"/>
  <c r="C170" i="13"/>
  <c r="E170" i="13" s="1"/>
  <c r="C147" i="8"/>
  <c r="C166" i="13"/>
  <c r="E166" i="13" s="1"/>
  <c r="C143" i="8"/>
  <c r="C162" i="13"/>
  <c r="E162" i="13" s="1"/>
  <c r="C139" i="8"/>
  <c r="C158" i="13"/>
  <c r="E158" i="13" s="1"/>
  <c r="C135" i="8"/>
  <c r="C154" i="13"/>
  <c r="E154" i="13" s="1"/>
  <c r="C131" i="8"/>
  <c r="C150" i="13"/>
  <c r="E150" i="13" s="1"/>
  <c r="C127" i="8"/>
  <c r="C146" i="13"/>
  <c r="E146" i="13" s="1"/>
  <c r="C123" i="8"/>
  <c r="C142" i="13"/>
  <c r="E142" i="13" s="1"/>
  <c r="C119" i="8"/>
  <c r="C138" i="13"/>
  <c r="E138" i="13" s="1"/>
  <c r="C115" i="8"/>
  <c r="C134" i="13"/>
  <c r="E134" i="13" s="1"/>
  <c r="C111" i="8"/>
  <c r="C130" i="13"/>
  <c r="E130" i="13" s="1"/>
  <c r="C107" i="8"/>
  <c r="C126" i="13"/>
  <c r="E126" i="13" s="1"/>
  <c r="C103" i="8"/>
  <c r="C122" i="13"/>
  <c r="E122" i="13" s="1"/>
  <c r="C99" i="8"/>
  <c r="C118" i="13"/>
  <c r="E118" i="13" s="1"/>
  <c r="C95" i="8"/>
  <c r="C114" i="13"/>
  <c r="E114" i="13" s="1"/>
  <c r="C91" i="8"/>
  <c r="C110" i="13"/>
  <c r="E110" i="13" s="1"/>
  <c r="C87" i="8"/>
  <c r="C106" i="13"/>
  <c r="C83" i="8"/>
  <c r="C102" i="13"/>
  <c r="C79" i="8"/>
  <c r="C98" i="13"/>
  <c r="C75" i="8"/>
  <c r="C94" i="13"/>
  <c r="C71" i="8"/>
  <c r="C90" i="13"/>
  <c r="C67" i="8"/>
  <c r="C86" i="13"/>
  <c r="C63" i="8"/>
  <c r="C82" i="13"/>
  <c r="C59" i="8"/>
  <c r="C78" i="13"/>
  <c r="C55" i="8"/>
  <c r="C74" i="13"/>
  <c r="C51" i="8"/>
  <c r="C70" i="13"/>
  <c r="C47" i="8"/>
  <c r="C66" i="13"/>
  <c r="C43" i="8"/>
  <c r="C62" i="13"/>
  <c r="C39" i="8"/>
  <c r="C58" i="13"/>
  <c r="C35" i="8"/>
  <c r="C54" i="13"/>
  <c r="C31" i="8"/>
  <c r="C50" i="13"/>
  <c r="C27" i="8"/>
  <c r="C46" i="13"/>
  <c r="C23" i="8"/>
  <c r="C42" i="13"/>
  <c r="C19" i="8"/>
  <c r="C38" i="13"/>
  <c r="C15" i="8"/>
  <c r="C34" i="13"/>
  <c r="C11" i="8"/>
  <c r="C30" i="13"/>
  <c r="B64" i="4"/>
  <c r="G63" i="4"/>
  <c r="G59" i="4"/>
  <c r="G55" i="4"/>
  <c r="G51" i="4"/>
  <c r="G47" i="4"/>
  <c r="G43" i="4"/>
  <c r="G39" i="4"/>
  <c r="G35" i="4"/>
  <c r="G31" i="4"/>
  <c r="G27" i="4"/>
  <c r="G23" i="4"/>
  <c r="G19" i="4"/>
  <c r="G15" i="4"/>
  <c r="G11" i="4"/>
  <c r="G7" i="4"/>
  <c r="H7" i="4"/>
  <c r="G4" i="12"/>
  <c r="G3" i="12"/>
  <c r="L40" i="3" l="1"/>
  <c r="X21" i="3"/>
  <c r="Y21" i="3" s="1"/>
  <c r="S21" i="3"/>
  <c r="L39" i="3"/>
  <c r="X20" i="3"/>
  <c r="Y20" i="3" s="1"/>
  <c r="L45" i="3"/>
  <c r="X26" i="3"/>
  <c r="Y26" i="3" s="1"/>
  <c r="H52" i="4"/>
  <c r="H55" i="4"/>
  <c r="H13" i="4"/>
  <c r="H51" i="4"/>
  <c r="H38" i="4"/>
  <c r="H15" i="4"/>
  <c r="H60" i="4"/>
  <c r="H37" i="4"/>
  <c r="H53" i="4"/>
  <c r="H54" i="4"/>
  <c r="H64" i="4"/>
  <c r="H28" i="4"/>
  <c r="H21" i="4"/>
  <c r="H22" i="4"/>
  <c r="H31" i="4"/>
  <c r="H10" i="4"/>
  <c r="H41" i="4"/>
  <c r="H63" i="4"/>
  <c r="H42" i="4"/>
  <c r="H19" i="4"/>
  <c r="H59" i="4"/>
  <c r="H43" i="4"/>
  <c r="H40" i="4"/>
  <c r="H14" i="4"/>
  <c r="H29" i="4"/>
  <c r="H45" i="4"/>
  <c r="H61" i="4"/>
  <c r="H12" i="4"/>
  <c r="H30" i="4"/>
  <c r="H46" i="4"/>
  <c r="H62" i="4"/>
  <c r="H23" i="4"/>
  <c r="H39" i="4"/>
  <c r="H20" i="4"/>
  <c r="H24" i="4"/>
  <c r="H8" i="4"/>
  <c r="H25" i="4"/>
  <c r="H57" i="4"/>
  <c r="H26" i="4"/>
  <c r="H58" i="4"/>
  <c r="H35" i="4"/>
  <c r="H11" i="4"/>
  <c r="H16" i="4"/>
  <c r="H9" i="4"/>
  <c r="H17" i="4"/>
  <c r="H33" i="4"/>
  <c r="H49" i="4"/>
  <c r="H18" i="4"/>
  <c r="H34" i="4"/>
  <c r="H50" i="4"/>
  <c r="H27" i="4"/>
  <c r="H47" i="4"/>
  <c r="H48" i="4"/>
  <c r="H36" i="4"/>
  <c r="H56" i="4"/>
  <c r="H32" i="4"/>
  <c r="H44" i="4"/>
  <c r="B65" i="4"/>
  <c r="G64" i="4"/>
  <c r="J118" i="4"/>
  <c r="J122" i="4"/>
  <c r="J126" i="4"/>
  <c r="B6" i="11"/>
  <c r="J115" i="4"/>
  <c r="J119" i="4"/>
  <c r="J123" i="4"/>
  <c r="J116" i="4"/>
  <c r="J120" i="4"/>
  <c r="J124" i="4"/>
  <c r="J117" i="4"/>
  <c r="J121" i="4"/>
  <c r="J125" i="4"/>
  <c r="B66" i="4" l="1"/>
  <c r="J130" i="4"/>
  <c r="J134" i="4"/>
  <c r="J138" i="4"/>
  <c r="J127" i="4"/>
  <c r="J131" i="4"/>
  <c r="J135" i="4"/>
  <c r="J128" i="4"/>
  <c r="J132" i="4"/>
  <c r="J136" i="4"/>
  <c r="J129" i="4"/>
  <c r="J133" i="4"/>
  <c r="J137" i="4"/>
  <c r="B7" i="11"/>
  <c r="D33" i="5"/>
  <c r="D39" i="5"/>
  <c r="F9" i="6"/>
  <c r="F81" i="6"/>
  <c r="D41" i="5"/>
  <c r="E22" i="3" s="1"/>
  <c r="D43" i="5"/>
  <c r="E23" i="3" s="1"/>
  <c r="D106" i="5"/>
  <c r="E38" i="3" s="1"/>
  <c r="D113" i="5"/>
  <c r="E42" i="3" s="1"/>
  <c r="F104" i="6"/>
  <c r="D116" i="5" s="1"/>
  <c r="E45" i="3" s="1"/>
  <c r="D110" i="5"/>
  <c r="E39" i="3" s="1"/>
  <c r="F77" i="6"/>
  <c r="F82" i="6"/>
  <c r="D108" i="5"/>
  <c r="D128" i="5"/>
  <c r="E44" i="3" s="1"/>
  <c r="D130" i="5"/>
  <c r="D125" i="5"/>
  <c r="E41" i="3" s="1"/>
  <c r="D66" i="5"/>
  <c r="F78" i="6"/>
  <c r="F83" i="6"/>
  <c r="F72" i="6"/>
  <c r="D68" i="5" s="1"/>
  <c r="F74" i="6"/>
  <c r="D70" i="5" s="1"/>
  <c r="E24" i="3" s="1"/>
  <c r="F79" i="6"/>
  <c r="F84" i="6"/>
  <c r="D7" i="8"/>
  <c r="G7" i="8" s="1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69" i="7"/>
  <c r="E44" i="7"/>
  <c r="D34" i="7"/>
  <c r="D8" i="7" s="1"/>
  <c r="F70" i="6"/>
  <c r="D138" i="5"/>
  <c r="D139" i="5"/>
  <c r="D140" i="5"/>
  <c r="D141" i="5"/>
  <c r="D142" i="5"/>
  <c r="F107" i="6"/>
  <c r="D121" i="5" s="1"/>
  <c r="D123" i="5"/>
  <c r="E40" i="3" s="1"/>
  <c r="D119" i="5"/>
  <c r="E43" i="3" s="1"/>
  <c r="C31" i="3"/>
  <c r="E31" i="3"/>
  <c r="K12" i="8"/>
  <c r="C69" i="7"/>
  <c r="E46" i="7" s="1"/>
  <c r="F64" i="6" l="1"/>
  <c r="D37" i="5" s="1"/>
  <c r="E21" i="3" s="1"/>
  <c r="F92" i="6"/>
  <c r="D74" i="5" s="1"/>
  <c r="F88" i="6"/>
  <c r="D45" i="5" s="1"/>
  <c r="E25" i="3" s="1"/>
  <c r="B67" i="4"/>
  <c r="H66" i="4"/>
  <c r="E30" i="3"/>
  <c r="F89" i="6"/>
  <c r="D72" i="5" s="1"/>
  <c r="J142" i="4"/>
  <c r="J146" i="4"/>
  <c r="J150" i="4"/>
  <c r="B8" i="11"/>
  <c r="J139" i="4"/>
  <c r="J143" i="4"/>
  <c r="J147" i="4"/>
  <c r="J140" i="4"/>
  <c r="J144" i="4"/>
  <c r="J148" i="4"/>
  <c r="J141" i="4"/>
  <c r="J145" i="4"/>
  <c r="J149" i="4"/>
  <c r="F66" i="8"/>
  <c r="F54" i="8"/>
  <c r="F91" i="6"/>
  <c r="D47" i="5" s="1"/>
  <c r="E26" i="3" s="1"/>
  <c r="D137" i="5"/>
  <c r="F58" i="6"/>
  <c r="F86" i="6" s="1"/>
  <c r="E71" i="7"/>
  <c r="D7" i="7" s="1"/>
  <c r="D15" i="7" s="1"/>
  <c r="F78" i="8"/>
  <c r="G8" i="8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E46" i="3"/>
  <c r="D64" i="5"/>
  <c r="D60" i="5" l="1"/>
  <c r="D96" i="5" s="1"/>
  <c r="F85" i="6"/>
  <c r="H67" i="4"/>
  <c r="B68" i="4"/>
  <c r="G67" i="4"/>
  <c r="D31" i="5"/>
  <c r="B9" i="11"/>
  <c r="J154" i="4"/>
  <c r="J158" i="4"/>
  <c r="J162" i="4"/>
  <c r="J159" i="4"/>
  <c r="J156" i="4"/>
  <c r="J160" i="4"/>
  <c r="J151" i="4"/>
  <c r="J155" i="4"/>
  <c r="J152" i="4"/>
  <c r="J153" i="4"/>
  <c r="J157" i="4"/>
  <c r="J161" i="4"/>
  <c r="D58" i="5"/>
  <c r="E27" i="3" s="1"/>
  <c r="D29" i="5"/>
  <c r="D15" i="13" l="1"/>
  <c r="G15" i="13" s="1"/>
  <c r="D94" i="5"/>
  <c r="E34" i="3" s="1"/>
  <c r="E15" i="13"/>
  <c r="H15" i="13" s="1"/>
  <c r="H13" i="13"/>
  <c r="E18" i="3"/>
  <c r="F94" i="6"/>
  <c r="D49" i="5" s="1"/>
  <c r="D35" i="5" s="1"/>
  <c r="D98" i="5"/>
  <c r="F95" i="6"/>
  <c r="D76" i="5" s="1"/>
  <c r="B69" i="4"/>
  <c r="G68" i="4"/>
  <c r="H68" i="4"/>
  <c r="E19" i="3"/>
  <c r="D92" i="5"/>
  <c r="D88" i="5" s="1"/>
  <c r="G13" i="13"/>
  <c r="J166" i="4"/>
  <c r="J170" i="4"/>
  <c r="J163" i="4"/>
  <c r="J167" i="4"/>
  <c r="J171" i="4"/>
  <c r="J164" i="4"/>
  <c r="J168" i="4"/>
  <c r="J172" i="4"/>
  <c r="J165" i="4"/>
  <c r="J169" i="4"/>
  <c r="J173" i="4"/>
  <c r="D90" i="5"/>
  <c r="E33" i="3" s="1"/>
  <c r="E28" i="3"/>
  <c r="E35" i="3"/>
  <c r="E20" i="3" l="1"/>
  <c r="D104" i="5"/>
  <c r="D100" i="5" s="1"/>
  <c r="E36" i="3" s="1"/>
  <c r="D62" i="5"/>
  <c r="F15" i="13" s="1"/>
  <c r="I15" i="13" s="1"/>
  <c r="B70" i="4"/>
  <c r="G69" i="4"/>
  <c r="H69" i="4"/>
  <c r="E32" i="3"/>
  <c r="D10" i="5" l="1"/>
  <c r="H70" i="4"/>
  <c r="D102" i="5"/>
  <c r="B71" i="4"/>
  <c r="G70" i="4"/>
  <c r="E29" i="3"/>
  <c r="E47" i="3" l="1"/>
  <c r="F44" i="6"/>
  <c r="E37" i="3"/>
  <c r="D12" i="5"/>
  <c r="H71" i="4"/>
  <c r="B72" i="4"/>
  <c r="G71" i="4"/>
  <c r="H72" i="4" s="1"/>
  <c r="D97" i="8"/>
  <c r="D96" i="8"/>
  <c r="D85" i="8"/>
  <c r="D90" i="8"/>
  <c r="D95" i="8"/>
  <c r="D89" i="8"/>
  <c r="D88" i="8"/>
  <c r="D93" i="8"/>
  <c r="D87" i="8"/>
  <c r="D91" i="8"/>
  <c r="D92" i="8"/>
  <c r="D94" i="8"/>
  <c r="D86" i="8"/>
  <c r="E146" i="4"/>
  <c r="E117" i="4"/>
  <c r="E153" i="4"/>
  <c r="D154" i="8" s="1"/>
  <c r="E142" i="4"/>
  <c r="D143" i="8" s="1"/>
  <c r="E155" i="4"/>
  <c r="E151" i="4"/>
  <c r="E144" i="4"/>
  <c r="E124" i="4"/>
  <c r="D125" i="8" s="1"/>
  <c r="E156" i="4"/>
  <c r="D157" i="8" s="1"/>
  <c r="E152" i="4"/>
  <c r="E163" i="4"/>
  <c r="E133" i="4"/>
  <c r="D134" i="8" s="1"/>
  <c r="E127" i="4"/>
  <c r="E158" i="4"/>
  <c r="E159" i="4"/>
  <c r="E132" i="4"/>
  <c r="E135" i="4"/>
  <c r="E169" i="4"/>
  <c r="E130" i="4"/>
  <c r="E173" i="4"/>
  <c r="D174" i="8" s="1"/>
  <c r="E145" i="4"/>
  <c r="D146" i="8" s="1"/>
  <c r="E131" i="4"/>
  <c r="E171" i="4"/>
  <c r="E172" i="4"/>
  <c r="D173" i="8" s="1"/>
  <c r="E121" i="4"/>
  <c r="D122" i="8" s="1"/>
  <c r="E128" i="4"/>
  <c r="E154" i="4"/>
  <c r="E147" i="4"/>
  <c r="D148" i="8" s="1"/>
  <c r="E138" i="4"/>
  <c r="E165" i="4"/>
  <c r="E136" i="4"/>
  <c r="E123" i="4"/>
  <c r="E148" i="4"/>
  <c r="E115" i="4"/>
  <c r="E170" i="4"/>
  <c r="E129" i="4"/>
  <c r="E118" i="4"/>
  <c r="E157" i="4"/>
  <c r="D158" i="8" s="1"/>
  <c r="E143" i="4"/>
  <c r="E149" i="4"/>
  <c r="D150" i="8" s="1"/>
  <c r="E164" i="4"/>
  <c r="D165" i="8" s="1"/>
  <c r="E139" i="4"/>
  <c r="E162" i="4"/>
  <c r="E134" i="4"/>
  <c r="E137" i="4"/>
  <c r="D138" i="8" s="1"/>
  <c r="E140" i="4"/>
  <c r="E167" i="4"/>
  <c r="E119" i="4"/>
  <c r="E166" i="4"/>
  <c r="D167" i="8" s="1"/>
  <c r="E126" i="4"/>
  <c r="D127" i="8" s="1"/>
  <c r="E150" i="4"/>
  <c r="E168" i="4"/>
  <c r="D169" i="8" s="1"/>
  <c r="E141" i="4"/>
  <c r="E125" i="4"/>
  <c r="E122" i="4"/>
  <c r="E160" i="4"/>
  <c r="D161" i="8" s="1"/>
  <c r="E120" i="4"/>
  <c r="E161" i="4"/>
  <c r="D162" i="8" s="1"/>
  <c r="E116" i="4"/>
  <c r="L18" i="3" l="1"/>
  <c r="D14" i="7"/>
  <c r="R23" i="7"/>
  <c r="F45" i="6"/>
  <c r="E48" i="3"/>
  <c r="B73" i="4"/>
  <c r="G72" i="4"/>
  <c r="H73" i="4" s="1"/>
  <c r="D106" i="8"/>
  <c r="D114" i="8"/>
  <c r="D109" i="8"/>
  <c r="D100" i="8"/>
  <c r="D111" i="8"/>
  <c r="D107" i="8"/>
  <c r="D99" i="8"/>
  <c r="D102" i="8"/>
  <c r="D110" i="8"/>
  <c r="D84" i="8"/>
  <c r="D166" i="8"/>
  <c r="D155" i="8"/>
  <c r="D132" i="8"/>
  <c r="D170" i="8"/>
  <c r="D160" i="8"/>
  <c r="D153" i="8"/>
  <c r="D145" i="8"/>
  <c r="D118" i="8"/>
  <c r="D121" i="8"/>
  <c r="D163" i="8"/>
  <c r="D101" i="8"/>
  <c r="D129" i="8"/>
  <c r="D136" i="8"/>
  <c r="D159" i="8"/>
  <c r="D112" i="8"/>
  <c r="D117" i="8"/>
  <c r="D142" i="8"/>
  <c r="D108" i="8"/>
  <c r="D105" i="8"/>
  <c r="D152" i="8"/>
  <c r="D147" i="8"/>
  <c r="D126" i="8"/>
  <c r="D135" i="8"/>
  <c r="D171" i="8"/>
  <c r="D123" i="8"/>
  <c r="D120" i="8"/>
  <c r="D140" i="8"/>
  <c r="D144" i="8"/>
  <c r="D116" i="8"/>
  <c r="D151" i="8"/>
  <c r="D168" i="8"/>
  <c r="D141" i="8"/>
  <c r="D103" i="8"/>
  <c r="D119" i="8"/>
  <c r="D130" i="8"/>
  <c r="D137" i="8"/>
  <c r="D172" i="8"/>
  <c r="D133" i="8"/>
  <c r="D139" i="8"/>
  <c r="D113" i="8"/>
  <c r="D128" i="8"/>
  <c r="D156" i="8"/>
  <c r="D115" i="8"/>
  <c r="D149" i="8"/>
  <c r="D131" i="8"/>
  <c r="D164" i="8"/>
  <c r="D124" i="8"/>
  <c r="D104" i="8"/>
  <c r="H19" i="7" l="1"/>
  <c r="L36" i="3"/>
  <c r="R29" i="7"/>
  <c r="F109" i="6"/>
  <c r="D18" i="5" s="1"/>
  <c r="B74" i="4"/>
  <c r="G73" i="4"/>
  <c r="P47" i="8"/>
  <c r="Q47" i="8" s="1"/>
  <c r="P40" i="8"/>
  <c r="Q40" i="8" s="1"/>
  <c r="P44" i="8"/>
  <c r="Q44" i="8" s="1"/>
  <c r="G84" i="8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P42" i="8"/>
  <c r="Q42" i="8" s="1"/>
  <c r="P48" i="8"/>
  <c r="Q48" i="8" s="1"/>
  <c r="P41" i="8"/>
  <c r="Q41" i="8" s="1"/>
  <c r="P46" i="8"/>
  <c r="Q46" i="8" s="1"/>
  <c r="P39" i="8"/>
  <c r="Q39" i="8" s="1"/>
  <c r="P38" i="8"/>
  <c r="Q38" i="8" s="1"/>
  <c r="P45" i="8"/>
  <c r="Q45" i="8" s="1"/>
  <c r="F90" i="8"/>
  <c r="F138" i="8"/>
  <c r="F174" i="8"/>
  <c r="F162" i="8"/>
  <c r="F150" i="8"/>
  <c r="D98" i="8"/>
  <c r="P14" i="8" s="1"/>
  <c r="F126" i="8"/>
  <c r="F114" i="8"/>
  <c r="P33" i="8" l="1"/>
  <c r="Q33" i="8" s="1"/>
  <c r="B75" i="4"/>
  <c r="G74" i="4"/>
  <c r="F46" i="6"/>
  <c r="E50" i="3"/>
  <c r="D8" i="5"/>
  <c r="E52" i="3" s="1"/>
  <c r="H74" i="4"/>
  <c r="P23" i="8"/>
  <c r="P24" i="8"/>
  <c r="G96" i="8"/>
  <c r="G97" i="8" s="1"/>
  <c r="G98" i="8" s="1"/>
  <c r="G99" i="8" s="1"/>
  <c r="G100" i="8" s="1"/>
  <c r="G101" i="8" s="1"/>
  <c r="G102" i="8" s="1"/>
  <c r="P17" i="8"/>
  <c r="P26" i="8"/>
  <c r="Q26" i="8" s="1"/>
  <c r="P27" i="8"/>
  <c r="Q27" i="8" s="1"/>
  <c r="P30" i="8"/>
  <c r="Q30" i="8" s="1"/>
  <c r="P16" i="8"/>
  <c r="P32" i="8"/>
  <c r="Q32" i="8" s="1"/>
  <c r="P20" i="8"/>
  <c r="P28" i="8"/>
  <c r="Q28" i="8" s="1"/>
  <c r="P35" i="8"/>
  <c r="Q35" i="8" s="1"/>
  <c r="F102" i="8"/>
  <c r="P15" i="8"/>
  <c r="P36" i="8"/>
  <c r="Q36" i="8" s="1"/>
  <c r="P29" i="8"/>
  <c r="Q29" i="8" s="1"/>
  <c r="P22" i="8"/>
  <c r="P34" i="8"/>
  <c r="Q34" i="8" s="1"/>
  <c r="P21" i="8"/>
  <c r="P18" i="8"/>
  <c r="B76" i="4" l="1"/>
  <c r="G75" i="4"/>
  <c r="H75" i="4"/>
  <c r="G103" i="8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H76" i="4" l="1"/>
  <c r="B77" i="4"/>
  <c r="G76" i="4"/>
  <c r="P13" i="8"/>
  <c r="R12" i="8"/>
  <c r="U7" i="8" s="1"/>
  <c r="Q15" i="8"/>
  <c r="G115" i="8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Q16" i="8"/>
  <c r="Q18" i="8"/>
  <c r="Q17" i="8"/>
  <c r="H77" i="4" l="1"/>
  <c r="B78" i="4"/>
  <c r="G77" i="4"/>
  <c r="G127" i="8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Q21" i="8"/>
  <c r="Q22" i="8"/>
  <c r="Q23" i="8"/>
  <c r="Q24" i="8"/>
  <c r="Q14" i="8"/>
  <c r="R18" i="8" s="1"/>
  <c r="U8" i="8" s="1"/>
  <c r="P19" i="8"/>
  <c r="E49" i="3" l="1"/>
  <c r="M19" i="3"/>
  <c r="B79" i="4"/>
  <c r="G78" i="4"/>
  <c r="H78" i="4"/>
  <c r="G139" i="8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P25" i="8"/>
  <c r="Q20" i="8"/>
  <c r="R24" i="8" s="1"/>
  <c r="U9" i="8" s="1"/>
  <c r="L19" i="3" s="1"/>
  <c r="H79" i="4" l="1"/>
  <c r="B80" i="4"/>
  <c r="G79" i="4"/>
  <c r="I118" i="4"/>
  <c r="I122" i="4"/>
  <c r="I126" i="4"/>
  <c r="I115" i="4"/>
  <c r="I119" i="4"/>
  <c r="I123" i="4"/>
  <c r="I116" i="4"/>
  <c r="I120" i="4"/>
  <c r="I124" i="4"/>
  <c r="I125" i="4"/>
  <c r="I117" i="4"/>
  <c r="I121" i="4"/>
  <c r="R30" i="8"/>
  <c r="U10" i="8" s="1"/>
  <c r="P31" i="8"/>
  <c r="G151" i="8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B81" i="4" l="1"/>
  <c r="G80" i="4"/>
  <c r="H81" i="4" s="1"/>
  <c r="H80" i="4"/>
  <c r="I127" i="4"/>
  <c r="I131" i="4"/>
  <c r="I135" i="4"/>
  <c r="I128" i="4"/>
  <c r="I132" i="4"/>
  <c r="I136" i="4"/>
  <c r="I134" i="4"/>
  <c r="I129" i="4"/>
  <c r="I137" i="4"/>
  <c r="I130" i="4"/>
  <c r="I138" i="4"/>
  <c r="I133" i="4"/>
  <c r="G163" i="8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R36" i="8"/>
  <c r="U11" i="8" s="1"/>
  <c r="P37" i="8"/>
  <c r="B82" i="4" l="1"/>
  <c r="G81" i="4"/>
  <c r="I139" i="4"/>
  <c r="I143" i="4"/>
  <c r="I147" i="4"/>
  <c r="I140" i="4"/>
  <c r="I144" i="4"/>
  <c r="I148" i="4"/>
  <c r="I142" i="4"/>
  <c r="I150" i="4"/>
  <c r="I145" i="4"/>
  <c r="I146" i="4"/>
  <c r="I149" i="4"/>
  <c r="I141" i="4"/>
  <c r="R42" i="8"/>
  <c r="U12" i="8" s="1"/>
  <c r="P43" i="8"/>
  <c r="H82" i="4" l="1"/>
  <c r="B83" i="4"/>
  <c r="G82" i="4"/>
  <c r="I151" i="4"/>
  <c r="I155" i="4"/>
  <c r="I159" i="4"/>
  <c r="I152" i="4"/>
  <c r="I156" i="4"/>
  <c r="I160" i="4"/>
  <c r="I158" i="4"/>
  <c r="I153" i="4"/>
  <c r="I161" i="4"/>
  <c r="I154" i="4"/>
  <c r="I162" i="4"/>
  <c r="I157" i="4"/>
  <c r="P49" i="8"/>
  <c r="R48" i="8"/>
  <c r="U13" i="8" s="1"/>
  <c r="B84" i="4" l="1"/>
  <c r="I163" i="4"/>
  <c r="I167" i="4"/>
  <c r="I171" i="4"/>
  <c r="I165" i="4"/>
  <c r="I170" i="4"/>
  <c r="I166" i="4"/>
  <c r="I172" i="4"/>
  <c r="I168" i="4"/>
  <c r="I173" i="4"/>
  <c r="I169" i="4"/>
  <c r="I164" i="4"/>
  <c r="B85" i="4" l="1"/>
  <c r="B86" i="4" l="1"/>
  <c r="B87" i="4" l="1"/>
  <c r="B88" i="4" l="1"/>
  <c r="B89" i="4" l="1"/>
  <c r="B90" i="4" l="1"/>
  <c r="F6" i="3" l="1"/>
  <c r="D110" i="13"/>
  <c r="E6" i="3"/>
  <c r="B91" i="4"/>
  <c r="B92" i="4" l="1"/>
  <c r="D6" i="3"/>
  <c r="D111" i="13"/>
  <c r="F110" i="13"/>
  <c r="L110" i="13"/>
  <c r="K110" i="13"/>
  <c r="M110" i="13"/>
  <c r="I110" i="13"/>
  <c r="I111" i="13" l="1"/>
  <c r="K111" i="13"/>
  <c r="M111" i="13"/>
  <c r="F111" i="13"/>
  <c r="L111" i="13"/>
  <c r="F6" i="2"/>
  <c r="H6" i="2" s="1"/>
  <c r="G6" i="3"/>
  <c r="D112" i="13"/>
  <c r="G110" i="13"/>
  <c r="B93" i="4"/>
  <c r="D113" i="13" l="1"/>
  <c r="M112" i="13"/>
  <c r="F112" i="13"/>
  <c r="K112" i="13"/>
  <c r="L112" i="13"/>
  <c r="I112" i="13"/>
  <c r="B94" i="4"/>
  <c r="D114" i="13" l="1"/>
  <c r="B95" i="4"/>
  <c r="M113" i="13"/>
  <c r="L113" i="13"/>
  <c r="F113" i="13"/>
  <c r="K113" i="13"/>
  <c r="I113" i="13"/>
  <c r="D115" i="13" l="1"/>
  <c r="I114" i="13"/>
  <c r="M114" i="13"/>
  <c r="F114" i="13"/>
  <c r="L114" i="13"/>
  <c r="K114" i="13"/>
  <c r="B96" i="4"/>
  <c r="D116" i="13" l="1"/>
  <c r="B97" i="4"/>
  <c r="I115" i="13"/>
  <c r="F115" i="13"/>
  <c r="M115" i="13"/>
  <c r="L115" i="13"/>
  <c r="K115" i="13"/>
  <c r="D117" i="13" l="1"/>
  <c r="B98" i="4"/>
  <c r="K116" i="13"/>
  <c r="F116" i="13"/>
  <c r="I116" i="13"/>
  <c r="M116" i="13"/>
  <c r="L116" i="13"/>
  <c r="D118" i="13" l="1"/>
  <c r="F117" i="13"/>
  <c r="L117" i="13"/>
  <c r="M117" i="13"/>
  <c r="K117" i="13"/>
  <c r="I117" i="13"/>
  <c r="B99" i="4"/>
  <c r="D119" i="13" l="1"/>
  <c r="B100" i="4"/>
  <c r="L118" i="13"/>
  <c r="K118" i="13"/>
  <c r="I118" i="13"/>
  <c r="M118" i="13"/>
  <c r="F118" i="13"/>
  <c r="D120" i="13" l="1"/>
  <c r="B101" i="4"/>
  <c r="L119" i="13"/>
  <c r="K119" i="13"/>
  <c r="I119" i="13"/>
  <c r="F119" i="13"/>
  <c r="M119" i="13"/>
  <c r="D121" i="13" l="1"/>
  <c r="B102" i="4"/>
  <c r="I120" i="13"/>
  <c r="M120" i="13"/>
  <c r="L120" i="13"/>
  <c r="K120" i="13"/>
  <c r="F120" i="13"/>
  <c r="L121" i="13" l="1"/>
  <c r="M121" i="13"/>
  <c r="K121" i="13"/>
  <c r="I121" i="13"/>
  <c r="F121" i="13"/>
  <c r="B103" i="4"/>
  <c r="BG103" i="4" l="1"/>
  <c r="BF103" i="4"/>
  <c r="BC103" i="4"/>
  <c r="BH103" i="4"/>
  <c r="BB103" i="4"/>
  <c r="D122" i="13"/>
  <c r="D123" i="13"/>
  <c r="B104" i="4"/>
  <c r="BN103" i="4" l="1"/>
  <c r="BO103" i="4"/>
  <c r="BG104" i="4"/>
  <c r="BL103" i="4"/>
  <c r="BI103" i="4"/>
  <c r="BF104" i="4"/>
  <c r="BC104" i="4"/>
  <c r="BH104" i="4"/>
  <c r="BB104" i="4"/>
  <c r="B105" i="4"/>
  <c r="M123" i="13"/>
  <c r="L123" i="13"/>
  <c r="F123" i="13"/>
  <c r="I123" i="13"/>
  <c r="K123" i="13"/>
  <c r="D124" i="13"/>
  <c r="L122" i="13"/>
  <c r="K122" i="13"/>
  <c r="I122" i="13"/>
  <c r="M122" i="13"/>
  <c r="F122" i="13"/>
  <c r="BR103" i="4" l="1"/>
  <c r="BS103" i="4"/>
  <c r="BT103" i="4"/>
  <c r="BG105" i="4"/>
  <c r="BK103" i="4"/>
  <c r="BW103" i="4" s="1"/>
  <c r="BC105" i="4"/>
  <c r="BH105" i="4"/>
  <c r="BF105" i="4"/>
  <c r="BB105" i="4"/>
  <c r="BL104" i="4"/>
  <c r="BI104" i="4"/>
  <c r="BK104" i="4"/>
  <c r="G122" i="13"/>
  <c r="G195" i="13" s="1"/>
  <c r="H122" i="13"/>
  <c r="H195" i="13" s="1"/>
  <c r="K124" i="13"/>
  <c r="F124" i="13"/>
  <c r="I124" i="13"/>
  <c r="M124" i="13"/>
  <c r="L124" i="13"/>
  <c r="D125" i="13"/>
  <c r="B106" i="4"/>
  <c r="BX103" i="4" l="1"/>
  <c r="BU103" i="4"/>
  <c r="BG106" i="4"/>
  <c r="BF106" i="4"/>
  <c r="BC106" i="4"/>
  <c r="BH106" i="4"/>
  <c r="BB106" i="4"/>
  <c r="BL105" i="4"/>
  <c r="BI105" i="4"/>
  <c r="B107" i="4"/>
  <c r="I125" i="13"/>
  <c r="F125" i="13"/>
  <c r="L125" i="13"/>
  <c r="M125" i="13"/>
  <c r="K125" i="13"/>
  <c r="D126" i="13"/>
  <c r="BG107" i="4" l="1"/>
  <c r="BK105" i="4"/>
  <c r="BI106" i="4"/>
  <c r="BL106" i="4"/>
  <c r="BC107" i="4"/>
  <c r="BH107" i="4"/>
  <c r="BB107" i="4"/>
  <c r="BF107" i="4"/>
  <c r="BK106" i="4"/>
  <c r="D127" i="13"/>
  <c r="L126" i="13"/>
  <c r="K126" i="13"/>
  <c r="F126" i="13"/>
  <c r="M126" i="13"/>
  <c r="I126" i="13"/>
  <c r="B108" i="4"/>
  <c r="BG108" i="4" l="1"/>
  <c r="BF108" i="4"/>
  <c r="BC108" i="4"/>
  <c r="BH108" i="4"/>
  <c r="BB108" i="4"/>
  <c r="BL107" i="4"/>
  <c r="BI107" i="4"/>
  <c r="B109" i="4"/>
  <c r="D128" i="13"/>
  <c r="L127" i="13"/>
  <c r="K127" i="13"/>
  <c r="I127" i="13"/>
  <c r="F127" i="13"/>
  <c r="M127" i="13"/>
  <c r="BG109" i="4" l="1"/>
  <c r="BK107" i="4"/>
  <c r="BL108" i="4"/>
  <c r="BI108" i="4"/>
  <c r="BF109" i="4"/>
  <c r="BB109" i="4"/>
  <c r="BH109" i="4"/>
  <c r="BC109" i="4"/>
  <c r="BK108" i="4"/>
  <c r="K128" i="13"/>
  <c r="L128" i="13"/>
  <c r="I128" i="13"/>
  <c r="M128" i="13"/>
  <c r="F128" i="13"/>
  <c r="D129" i="13"/>
  <c r="B110" i="4"/>
  <c r="BG110" i="4" l="1"/>
  <c r="BC110" i="4"/>
  <c r="BH110" i="4"/>
  <c r="BF110" i="4"/>
  <c r="BB110" i="4"/>
  <c r="BL109" i="4"/>
  <c r="BI109" i="4"/>
  <c r="D130" i="13"/>
  <c r="B111" i="4"/>
  <c r="L129" i="13"/>
  <c r="F129" i="13"/>
  <c r="K129" i="13"/>
  <c r="I129" i="13"/>
  <c r="M129" i="13"/>
  <c r="BG111" i="4" l="1"/>
  <c r="BK109" i="4"/>
  <c r="BF111" i="4"/>
  <c r="BC111" i="4"/>
  <c r="BH111" i="4"/>
  <c r="BB111" i="4"/>
  <c r="BI110" i="4"/>
  <c r="BL110" i="4"/>
  <c r="BK110" i="4"/>
  <c r="D131" i="13"/>
  <c r="K130" i="13"/>
  <c r="F130" i="13"/>
  <c r="M130" i="13"/>
  <c r="I130" i="13"/>
  <c r="L130" i="13"/>
  <c r="B112" i="4"/>
  <c r="BG112" i="4" l="1"/>
  <c r="BF112" i="4"/>
  <c r="BB112" i="4"/>
  <c r="BC112" i="4"/>
  <c r="BH112" i="4"/>
  <c r="BI111" i="4"/>
  <c r="BL111" i="4"/>
  <c r="BK111" i="4"/>
  <c r="B113" i="4"/>
  <c r="D132" i="13"/>
  <c r="K131" i="13"/>
  <c r="I131" i="13"/>
  <c r="F131" i="13"/>
  <c r="M131" i="13"/>
  <c r="L131" i="13"/>
  <c r="BG113" i="4" l="1"/>
  <c r="BB113" i="4"/>
  <c r="BC113" i="4"/>
  <c r="BF113" i="4"/>
  <c r="BH113" i="4"/>
  <c r="BL112" i="4"/>
  <c r="BI112" i="4"/>
  <c r="BK112" i="4"/>
  <c r="L132" i="13"/>
  <c r="K132" i="13"/>
  <c r="F132" i="13"/>
  <c r="I132" i="13"/>
  <c r="M132" i="13"/>
  <c r="D133" i="13"/>
  <c r="B114" i="4"/>
  <c r="BG114" i="4" l="1"/>
  <c r="BB114" i="4"/>
  <c r="BF114" i="4"/>
  <c r="BC114" i="4"/>
  <c r="BH114" i="4"/>
  <c r="BL113" i="4"/>
  <c r="BI113" i="4"/>
  <c r="BK113" i="4"/>
  <c r="B115" i="4"/>
  <c r="H115" i="4"/>
  <c r="K133" i="13"/>
  <c r="I133" i="13"/>
  <c r="F133" i="13"/>
  <c r="L133" i="13"/>
  <c r="M133" i="13"/>
  <c r="D134" i="13"/>
  <c r="F134" i="13" s="1"/>
  <c r="AI115" i="4" l="1"/>
  <c r="AH115" i="4"/>
  <c r="AG115" i="4"/>
  <c r="AC115" i="4"/>
  <c r="R115" i="4"/>
  <c r="AD115" i="4"/>
  <c r="Q115" i="4"/>
  <c r="BG115" i="4"/>
  <c r="BB115" i="4"/>
  <c r="BH115" i="4"/>
  <c r="BC115" i="4"/>
  <c r="BF115" i="4"/>
  <c r="BI114" i="4"/>
  <c r="BL114" i="4"/>
  <c r="BK114" i="4"/>
  <c r="L115" i="4"/>
  <c r="AL115" i="4" s="1"/>
  <c r="K115" i="4"/>
  <c r="Z115" i="4" s="1"/>
  <c r="D135" i="13"/>
  <c r="M115" i="4"/>
  <c r="I134" i="13"/>
  <c r="M134" i="13"/>
  <c r="L134" i="13"/>
  <c r="K134" i="13"/>
  <c r="B116" i="4"/>
  <c r="G116" i="4" s="1"/>
  <c r="G115" i="4"/>
  <c r="H116" i="4" s="1"/>
  <c r="M116" i="4" s="1"/>
  <c r="AY115" i="4" l="1"/>
  <c r="AJ115" i="4"/>
  <c r="AP115" i="4"/>
  <c r="AT115" i="4"/>
  <c r="AU115" i="4"/>
  <c r="AQ115" i="4"/>
  <c r="AV115" i="4"/>
  <c r="AM115" i="4"/>
  <c r="BB116" i="4"/>
  <c r="AG116" i="4"/>
  <c r="AT116" i="4" s="1"/>
  <c r="AI116" i="4"/>
  <c r="AV116" i="4" s="1"/>
  <c r="AH116" i="4"/>
  <c r="AU116" i="4" s="1"/>
  <c r="BG116" i="4"/>
  <c r="AC116" i="4"/>
  <c r="R116" i="4"/>
  <c r="AD116" i="4"/>
  <c r="Q116" i="4"/>
  <c r="H134" i="13"/>
  <c r="G134" i="13"/>
  <c r="BF116" i="4"/>
  <c r="BC116" i="4"/>
  <c r="BH116" i="4"/>
  <c r="BI115" i="4"/>
  <c r="BL115" i="4"/>
  <c r="M135" i="13"/>
  <c r="L135" i="13"/>
  <c r="K135" i="13"/>
  <c r="I135" i="13"/>
  <c r="F135" i="13"/>
  <c r="K116" i="4"/>
  <c r="Z116" i="4" s="1"/>
  <c r="D136" i="13"/>
  <c r="L116" i="4"/>
  <c r="AL116" i="4" s="1"/>
  <c r="B117" i="4"/>
  <c r="H117" i="4"/>
  <c r="Q117" i="4" s="1"/>
  <c r="N115" i="4"/>
  <c r="BK115" i="4" l="1"/>
  <c r="AQ116" i="4"/>
  <c r="AY116" i="4"/>
  <c r="AW115" i="4"/>
  <c r="AJ116" i="4"/>
  <c r="AW116" i="4" s="1"/>
  <c r="AP116" i="4"/>
  <c r="AZ115" i="4"/>
  <c r="AI117" i="4"/>
  <c r="BG117" i="4"/>
  <c r="AG117" i="4"/>
  <c r="AT117" i="4" s="1"/>
  <c r="AD117" i="4"/>
  <c r="AC117" i="4"/>
  <c r="R117" i="4"/>
  <c r="AH117" i="4"/>
  <c r="AU117" i="4" s="1"/>
  <c r="AM116" i="4"/>
  <c r="AZ116" i="4" s="1"/>
  <c r="BC117" i="4"/>
  <c r="BH117" i="4"/>
  <c r="BF117" i="4"/>
  <c r="BB117" i="4"/>
  <c r="BL116" i="4"/>
  <c r="BI116" i="4"/>
  <c r="N116" i="4"/>
  <c r="BK116" i="4" s="1"/>
  <c r="L117" i="4"/>
  <c r="AL117" i="4" s="1"/>
  <c r="D137" i="13"/>
  <c r="K117" i="4"/>
  <c r="Z117" i="4" s="1"/>
  <c r="M117" i="4"/>
  <c r="L136" i="13"/>
  <c r="K136" i="13"/>
  <c r="F136" i="13"/>
  <c r="I136" i="13"/>
  <c r="M136" i="13"/>
  <c r="B118" i="4"/>
  <c r="G117" i="4"/>
  <c r="H118" i="4" s="1"/>
  <c r="AY117" i="4" l="1"/>
  <c r="AQ117" i="4"/>
  <c r="AJ117" i="4"/>
  <c r="AW117" i="4" s="1"/>
  <c r="AP117" i="4"/>
  <c r="AV117" i="4"/>
  <c r="BG118" i="4"/>
  <c r="AH118" i="4"/>
  <c r="AU118" i="4" s="1"/>
  <c r="AG118" i="4"/>
  <c r="AT118" i="4" s="1"/>
  <c r="AD118" i="4"/>
  <c r="Q118" i="4"/>
  <c r="AI118" i="4"/>
  <c r="AV118" i="4" s="1"/>
  <c r="R118" i="4"/>
  <c r="AC118" i="4"/>
  <c r="AM117" i="4"/>
  <c r="AZ117" i="4" s="1"/>
  <c r="BL117" i="4"/>
  <c r="BI117" i="4"/>
  <c r="BC118" i="4"/>
  <c r="BH118" i="4"/>
  <c r="BB118" i="4"/>
  <c r="BL118" i="4" s="1"/>
  <c r="BF118" i="4"/>
  <c r="N117" i="4"/>
  <c r="D138" i="13"/>
  <c r="K118" i="4"/>
  <c r="Z118" i="4" s="1"/>
  <c r="L118" i="4"/>
  <c r="AL118" i="4" s="1"/>
  <c r="M118" i="4"/>
  <c r="B119" i="4"/>
  <c r="G118" i="4"/>
  <c r="H119" i="4" s="1"/>
  <c r="L137" i="13"/>
  <c r="M137" i="13"/>
  <c r="K137" i="13"/>
  <c r="I137" i="13"/>
  <c r="F137" i="13"/>
  <c r="BK117" i="4" l="1"/>
  <c r="AY118" i="4"/>
  <c r="AJ118" i="4"/>
  <c r="AW118" i="4" s="1"/>
  <c r="AP118" i="4"/>
  <c r="AQ118" i="4"/>
  <c r="AI119" i="4"/>
  <c r="AV119" i="4" s="1"/>
  <c r="AH119" i="4"/>
  <c r="AU119" i="4" s="1"/>
  <c r="AC119" i="4"/>
  <c r="R119" i="4"/>
  <c r="AG119" i="4"/>
  <c r="AT119" i="4" s="1"/>
  <c r="Q119" i="4"/>
  <c r="BG119" i="4"/>
  <c r="AD119" i="4"/>
  <c r="AM118" i="4"/>
  <c r="AZ118" i="4" s="1"/>
  <c r="BI118" i="4"/>
  <c r="BB119" i="4"/>
  <c r="BH119" i="4"/>
  <c r="BF119" i="4"/>
  <c r="BC119" i="4"/>
  <c r="N118" i="4"/>
  <c r="BK118" i="4" s="1"/>
  <c r="D139" i="13"/>
  <c r="K119" i="4"/>
  <c r="Z119" i="4" s="1"/>
  <c r="L119" i="4"/>
  <c r="AL119" i="4" s="1"/>
  <c r="M119" i="4"/>
  <c r="B120" i="4"/>
  <c r="G119" i="4"/>
  <c r="H120" i="4" s="1"/>
  <c r="M138" i="13"/>
  <c r="F138" i="13"/>
  <c r="L138" i="13"/>
  <c r="K138" i="13"/>
  <c r="I138" i="13"/>
  <c r="AJ119" i="4" l="1"/>
  <c r="AP119" i="4"/>
  <c r="AQ119" i="4"/>
  <c r="AY119" i="4"/>
  <c r="AM119" i="4"/>
  <c r="AG120" i="4"/>
  <c r="AT120" i="4" s="1"/>
  <c r="AH120" i="4"/>
  <c r="AU120" i="4" s="1"/>
  <c r="AI120" i="4"/>
  <c r="AC120" i="4"/>
  <c r="R120" i="4"/>
  <c r="BG120" i="4"/>
  <c r="Q120" i="4"/>
  <c r="AD120" i="4"/>
  <c r="BF120" i="4"/>
  <c r="BB120" i="4"/>
  <c r="BC120" i="4"/>
  <c r="BH120" i="4"/>
  <c r="BI119" i="4"/>
  <c r="BL119" i="4"/>
  <c r="L120" i="4"/>
  <c r="AL120" i="4" s="1"/>
  <c r="K120" i="4"/>
  <c r="Z120" i="4" s="1"/>
  <c r="D140" i="13"/>
  <c r="M120" i="4"/>
  <c r="N119" i="4"/>
  <c r="B121" i="4"/>
  <c r="G120" i="4"/>
  <c r="H121" i="4" s="1"/>
  <c r="M139" i="13"/>
  <c r="L139" i="13"/>
  <c r="K139" i="13"/>
  <c r="I139" i="13"/>
  <c r="F139" i="13"/>
  <c r="BK119" i="4" l="1"/>
  <c r="AJ120" i="4"/>
  <c r="AW120" i="4" s="1"/>
  <c r="AP120" i="4"/>
  <c r="AV120" i="4"/>
  <c r="AQ120" i="4"/>
  <c r="AY120" i="4"/>
  <c r="AZ119" i="4"/>
  <c r="AW119" i="4"/>
  <c r="AI121" i="4"/>
  <c r="AV121" i="4" s="1"/>
  <c r="BG121" i="4"/>
  <c r="AG121" i="4"/>
  <c r="AT121" i="4" s="1"/>
  <c r="AD121" i="4"/>
  <c r="Q121" i="4"/>
  <c r="AC121" i="4"/>
  <c r="R121" i="4"/>
  <c r="AH121" i="4"/>
  <c r="AU121" i="4" s="1"/>
  <c r="AM120" i="4"/>
  <c r="AZ120" i="4" s="1"/>
  <c r="BB121" i="4"/>
  <c r="BF121" i="4"/>
  <c r="BH121" i="4"/>
  <c r="BC121" i="4"/>
  <c r="BL120" i="4"/>
  <c r="BI120" i="4"/>
  <c r="N120" i="4"/>
  <c r="BK120" i="4" s="1"/>
  <c r="K121" i="4"/>
  <c r="Z121" i="4" s="1"/>
  <c r="D141" i="13"/>
  <c r="L121" i="4"/>
  <c r="AL121" i="4" s="1"/>
  <c r="M121" i="4"/>
  <c r="B122" i="4"/>
  <c r="G121" i="4"/>
  <c r="H122" i="4" s="1"/>
  <c r="M140" i="13"/>
  <c r="L140" i="13"/>
  <c r="K140" i="13"/>
  <c r="F140" i="13"/>
  <c r="I140" i="13"/>
  <c r="AQ121" i="4" l="1"/>
  <c r="AY121" i="4"/>
  <c r="AJ121" i="4"/>
  <c r="AW121" i="4" s="1"/>
  <c r="AP121" i="4"/>
  <c r="AI122" i="4"/>
  <c r="AV122" i="4" s="1"/>
  <c r="BG122" i="4"/>
  <c r="AH122" i="4"/>
  <c r="AU122" i="4" s="1"/>
  <c r="AD122" i="4"/>
  <c r="Q122" i="4"/>
  <c r="R122" i="4"/>
  <c r="AC122" i="4"/>
  <c r="AG122" i="4"/>
  <c r="AT122" i="4" s="1"/>
  <c r="AM121" i="4"/>
  <c r="AZ121" i="4" s="1"/>
  <c r="BF122" i="4"/>
  <c r="BB122" i="4"/>
  <c r="BL122" i="4" s="1"/>
  <c r="BC122" i="4"/>
  <c r="BH122" i="4"/>
  <c r="BL121" i="4"/>
  <c r="BI121" i="4"/>
  <c r="L122" i="4"/>
  <c r="AL122" i="4" s="1"/>
  <c r="D142" i="13"/>
  <c r="K122" i="4"/>
  <c r="Z122" i="4" s="1"/>
  <c r="M122" i="4"/>
  <c r="F141" i="13"/>
  <c r="L141" i="13"/>
  <c r="M141" i="13"/>
  <c r="K141" i="13"/>
  <c r="I141" i="13"/>
  <c r="B123" i="4"/>
  <c r="G122" i="4"/>
  <c r="H123" i="4" s="1"/>
  <c r="N121" i="4"/>
  <c r="BK121" i="4" l="1"/>
  <c r="AJ122" i="4"/>
  <c r="AW122" i="4" s="1"/>
  <c r="AP122" i="4"/>
  <c r="AY122" i="4"/>
  <c r="AQ122" i="4"/>
  <c r="AI123" i="4"/>
  <c r="AV123" i="4" s="1"/>
  <c r="AH123" i="4"/>
  <c r="AU123" i="4" s="1"/>
  <c r="AG123" i="4"/>
  <c r="AT123" i="4" s="1"/>
  <c r="AC123" i="4"/>
  <c r="R123" i="4"/>
  <c r="AD123" i="4"/>
  <c r="Q123" i="4"/>
  <c r="BG123" i="4"/>
  <c r="AM122" i="4"/>
  <c r="AZ122" i="4" s="1"/>
  <c r="BI122" i="4"/>
  <c r="BC123" i="4"/>
  <c r="BH123" i="4"/>
  <c r="BF123" i="4"/>
  <c r="BB123" i="4"/>
  <c r="N122" i="4"/>
  <c r="BK122" i="4" s="1"/>
  <c r="D143" i="13"/>
  <c r="K123" i="4"/>
  <c r="Z123" i="4" s="1"/>
  <c r="L123" i="4"/>
  <c r="AL123" i="4" s="1"/>
  <c r="M123" i="4"/>
  <c r="B124" i="4"/>
  <c r="G123" i="4"/>
  <c r="H124" i="4" s="1"/>
  <c r="M142" i="13"/>
  <c r="I142" i="13"/>
  <c r="L142" i="13"/>
  <c r="K142" i="13"/>
  <c r="F142" i="13"/>
  <c r="AM123" i="4" l="1"/>
  <c r="AZ123" i="4" s="1"/>
  <c r="AJ123" i="4"/>
  <c r="AW123" i="4" s="1"/>
  <c r="AP123" i="4"/>
  <c r="AY123" i="4"/>
  <c r="AQ123" i="4"/>
  <c r="AG124" i="4"/>
  <c r="AT124" i="4" s="1"/>
  <c r="AI124" i="4"/>
  <c r="AV124" i="4" s="1"/>
  <c r="AH124" i="4"/>
  <c r="AU124" i="4" s="1"/>
  <c r="BG124" i="4"/>
  <c r="AC124" i="4"/>
  <c r="R124" i="4"/>
  <c r="AD124" i="4"/>
  <c r="Q124" i="4"/>
  <c r="BF124" i="4"/>
  <c r="BB124" i="4"/>
  <c r="BC124" i="4"/>
  <c r="BH124" i="4"/>
  <c r="BL123" i="4"/>
  <c r="BI123" i="4"/>
  <c r="N123" i="4"/>
  <c r="K124" i="4"/>
  <c r="Z124" i="4" s="1"/>
  <c r="L124" i="4"/>
  <c r="AL124" i="4" s="1"/>
  <c r="D144" i="13"/>
  <c r="M124" i="4"/>
  <c r="B125" i="4"/>
  <c r="G124" i="4"/>
  <c r="H125" i="4" s="1"/>
  <c r="K143" i="13"/>
  <c r="I143" i="13"/>
  <c r="F143" i="13"/>
  <c r="M143" i="13"/>
  <c r="L143" i="13"/>
  <c r="BK123" i="4" l="1"/>
  <c r="AQ124" i="4"/>
  <c r="AY124" i="4"/>
  <c r="AM124" i="4"/>
  <c r="AZ124" i="4" s="1"/>
  <c r="AJ124" i="4"/>
  <c r="AW124" i="4" s="1"/>
  <c r="AP124" i="4"/>
  <c r="AI125" i="4"/>
  <c r="AV125" i="4" s="1"/>
  <c r="BG125" i="4"/>
  <c r="AG125" i="4"/>
  <c r="AT125" i="4" s="1"/>
  <c r="AD125" i="4"/>
  <c r="Q125" i="4"/>
  <c r="AC125" i="4"/>
  <c r="R125" i="4"/>
  <c r="AH125" i="4"/>
  <c r="AU125" i="4" s="1"/>
  <c r="BC125" i="4"/>
  <c r="BH125" i="4"/>
  <c r="BF125" i="4"/>
  <c r="BB125" i="4"/>
  <c r="BL124" i="4"/>
  <c r="BI124" i="4"/>
  <c r="N124" i="4"/>
  <c r="BK124" i="4" s="1"/>
  <c r="M144" i="13"/>
  <c r="F144" i="13"/>
  <c r="K144" i="13"/>
  <c r="L144" i="13"/>
  <c r="I144" i="13"/>
  <c r="L125" i="4"/>
  <c r="AL125" i="4" s="1"/>
  <c r="D145" i="13"/>
  <c r="K125" i="4"/>
  <c r="Z125" i="4" s="1"/>
  <c r="M125" i="4"/>
  <c r="B126" i="4"/>
  <c r="G125" i="4"/>
  <c r="H126" i="4" s="1"/>
  <c r="AQ125" i="4" l="1"/>
  <c r="AY125" i="4"/>
  <c r="AJ125" i="4"/>
  <c r="AW125" i="4" s="1"/>
  <c r="AP125" i="4"/>
  <c r="BG126" i="4"/>
  <c r="AI126" i="4"/>
  <c r="AV126" i="4" s="1"/>
  <c r="AG126" i="4"/>
  <c r="AT126" i="4" s="1"/>
  <c r="AD126" i="4"/>
  <c r="Q126" i="4"/>
  <c r="AH126" i="4"/>
  <c r="AU126" i="4" s="1"/>
  <c r="AC126" i="4"/>
  <c r="R126" i="4"/>
  <c r="AM125" i="4"/>
  <c r="AZ125" i="4" s="1"/>
  <c r="BB126" i="4"/>
  <c r="BL126" i="4" s="1"/>
  <c r="BH126" i="4"/>
  <c r="BF126" i="4"/>
  <c r="BC126" i="4"/>
  <c r="BL125" i="4"/>
  <c r="BI125" i="4"/>
  <c r="N125" i="4"/>
  <c r="BK125" i="4" s="1"/>
  <c r="K145" i="13"/>
  <c r="I145" i="13"/>
  <c r="M145" i="13"/>
  <c r="L145" i="13"/>
  <c r="F145" i="13"/>
  <c r="B127" i="4"/>
  <c r="G126" i="4"/>
  <c r="H127" i="4" s="1"/>
  <c r="L126" i="4"/>
  <c r="AL126" i="4" s="1"/>
  <c r="D146" i="13"/>
  <c r="K126" i="4"/>
  <c r="Z126" i="4" s="1"/>
  <c r="M126" i="4"/>
  <c r="AQ126" i="4" l="1"/>
  <c r="AJ126" i="4"/>
  <c r="AW126" i="4" s="1"/>
  <c r="AP126" i="4"/>
  <c r="AY126" i="4"/>
  <c r="AI127" i="4"/>
  <c r="AH127" i="4"/>
  <c r="AC127" i="4"/>
  <c r="R127" i="4"/>
  <c r="Q127" i="4"/>
  <c r="BG127" i="4"/>
  <c r="AG127" i="4"/>
  <c r="AD127" i="4"/>
  <c r="AM126" i="4"/>
  <c r="AZ126" i="4" s="1"/>
  <c r="BI126" i="4"/>
  <c r="BF127" i="4"/>
  <c r="BB127" i="4"/>
  <c r="BC127" i="4"/>
  <c r="BH127" i="4"/>
  <c r="K127" i="4"/>
  <c r="Z127" i="4" s="1"/>
  <c r="D147" i="13"/>
  <c r="L127" i="4"/>
  <c r="AL127" i="4" s="1"/>
  <c r="M127" i="4"/>
  <c r="N126" i="4"/>
  <c r="BK126" i="4" s="1"/>
  <c r="B128" i="4"/>
  <c r="G127" i="4"/>
  <c r="H128" i="4" s="1"/>
  <c r="K146" i="13"/>
  <c r="F146" i="13"/>
  <c r="M146" i="13"/>
  <c r="I146" i="13"/>
  <c r="L146" i="13"/>
  <c r="G146" i="13" l="1"/>
  <c r="H146" i="13"/>
  <c r="AJ127" i="4"/>
  <c r="AP127" i="4"/>
  <c r="AV127" i="4"/>
  <c r="AQ127" i="4"/>
  <c r="AY127" i="4"/>
  <c r="AT127" i="4"/>
  <c r="AU127" i="4"/>
  <c r="AG128" i="4"/>
  <c r="AT128" i="4" s="1"/>
  <c r="AH128" i="4"/>
  <c r="AU128" i="4" s="1"/>
  <c r="AI128" i="4"/>
  <c r="AV128" i="4" s="1"/>
  <c r="BG128" i="4"/>
  <c r="AC128" i="4"/>
  <c r="R128" i="4"/>
  <c r="Q128" i="4"/>
  <c r="AD128" i="4"/>
  <c r="AM127" i="4"/>
  <c r="BF128" i="4"/>
  <c r="BB128" i="4"/>
  <c r="BH128" i="4"/>
  <c r="BC128" i="4"/>
  <c r="BI127" i="4"/>
  <c r="BL127" i="4"/>
  <c r="D148" i="13"/>
  <c r="L128" i="4"/>
  <c r="AL128" i="4" s="1"/>
  <c r="K128" i="4"/>
  <c r="Z128" i="4" s="1"/>
  <c r="M128" i="4"/>
  <c r="B129" i="4"/>
  <c r="G128" i="4"/>
  <c r="H129" i="4" s="1"/>
  <c r="L147" i="13"/>
  <c r="K147" i="13"/>
  <c r="I147" i="13"/>
  <c r="F147" i="13"/>
  <c r="M147" i="13"/>
  <c r="N127" i="4"/>
  <c r="BK127" i="4" s="1"/>
  <c r="AZ127" i="4" l="1"/>
  <c r="AM128" i="4"/>
  <c r="AZ128" i="4" s="1"/>
  <c r="AJ128" i="4"/>
  <c r="AW128" i="4" s="1"/>
  <c r="AP128" i="4"/>
  <c r="AY128" i="4"/>
  <c r="AQ128" i="4"/>
  <c r="AW127" i="4"/>
  <c r="AI129" i="4"/>
  <c r="AV129" i="4" s="1"/>
  <c r="BG129" i="4"/>
  <c r="AG129" i="4"/>
  <c r="AT129" i="4" s="1"/>
  <c r="AD129" i="4"/>
  <c r="Q129" i="4"/>
  <c r="AC129" i="4"/>
  <c r="AH129" i="4"/>
  <c r="R129" i="4"/>
  <c r="N128" i="4"/>
  <c r="BK128" i="4" s="1"/>
  <c r="BL128" i="4"/>
  <c r="BI128" i="4"/>
  <c r="BB129" i="4"/>
  <c r="BH129" i="4"/>
  <c r="BC129" i="4"/>
  <c r="BF129" i="4"/>
  <c r="D149" i="13"/>
  <c r="K129" i="4"/>
  <c r="Z129" i="4" s="1"/>
  <c r="L129" i="4"/>
  <c r="AL129" i="4" s="1"/>
  <c r="M129" i="4"/>
  <c r="B130" i="4"/>
  <c r="G129" i="4"/>
  <c r="H130" i="4" s="1"/>
  <c r="K148" i="13"/>
  <c r="F148" i="13"/>
  <c r="I148" i="13"/>
  <c r="M148" i="13"/>
  <c r="L148" i="13"/>
  <c r="AQ129" i="4" l="1"/>
  <c r="AU129" i="4"/>
  <c r="AY129" i="4"/>
  <c r="AJ129" i="4"/>
  <c r="AP129" i="4"/>
  <c r="AI130" i="4"/>
  <c r="BG130" i="4"/>
  <c r="AH130" i="4"/>
  <c r="AU130" i="4" s="1"/>
  <c r="AD130" i="4"/>
  <c r="Q130" i="4"/>
  <c r="R130" i="4"/>
  <c r="AC130" i="4"/>
  <c r="AG130" i="4"/>
  <c r="AT130" i="4" s="1"/>
  <c r="AM129" i="4"/>
  <c r="AZ129" i="4" s="1"/>
  <c r="BB130" i="4"/>
  <c r="BF130" i="4"/>
  <c r="BH130" i="4"/>
  <c r="BC130" i="4"/>
  <c r="BL129" i="4"/>
  <c r="BI129" i="4"/>
  <c r="D150" i="13"/>
  <c r="K130" i="4"/>
  <c r="Z130" i="4" s="1"/>
  <c r="L130" i="4"/>
  <c r="AL130" i="4" s="1"/>
  <c r="M130" i="4"/>
  <c r="N129" i="4"/>
  <c r="BK129" i="4" s="1"/>
  <c r="B131" i="4"/>
  <c r="G130" i="4"/>
  <c r="H131" i="4" s="1"/>
  <c r="K149" i="13"/>
  <c r="I149" i="13"/>
  <c r="F149" i="13"/>
  <c r="L149" i="13"/>
  <c r="M149" i="13"/>
  <c r="AQ130" i="4" l="1"/>
  <c r="AY130" i="4"/>
  <c r="AJ130" i="4"/>
  <c r="AW130" i="4" s="1"/>
  <c r="AP130" i="4"/>
  <c r="AV130" i="4"/>
  <c r="AW129" i="4"/>
  <c r="AI131" i="4"/>
  <c r="AV131" i="4" s="1"/>
  <c r="AH131" i="4"/>
  <c r="AU131" i="4" s="1"/>
  <c r="AG131" i="4"/>
  <c r="AT131" i="4" s="1"/>
  <c r="AC131" i="4"/>
  <c r="R131" i="4"/>
  <c r="AD131" i="4"/>
  <c r="Q131" i="4"/>
  <c r="BG131" i="4"/>
  <c r="AM130" i="4"/>
  <c r="AZ130" i="4" s="1"/>
  <c r="BC131" i="4"/>
  <c r="BH131" i="4"/>
  <c r="BF131" i="4"/>
  <c r="BB131" i="4"/>
  <c r="BI130" i="4"/>
  <c r="BL130" i="4"/>
  <c r="N130" i="4"/>
  <c r="BK130" i="4" s="1"/>
  <c r="L131" i="4"/>
  <c r="AL131" i="4" s="1"/>
  <c r="K131" i="4"/>
  <c r="Z131" i="4" s="1"/>
  <c r="D151" i="13"/>
  <c r="M131" i="4"/>
  <c r="B132" i="4"/>
  <c r="G131" i="4"/>
  <c r="H132" i="4" s="1"/>
  <c r="L150" i="13"/>
  <c r="K150" i="13"/>
  <c r="I150" i="13"/>
  <c r="M150" i="13"/>
  <c r="F150" i="13"/>
  <c r="AY131" i="4" l="1"/>
  <c r="AQ131" i="4"/>
  <c r="AJ131" i="4"/>
  <c r="AP131" i="4"/>
  <c r="AM131" i="4"/>
  <c r="AZ131" i="4" s="1"/>
  <c r="AG132" i="4"/>
  <c r="AT132" i="4" s="1"/>
  <c r="AI132" i="4"/>
  <c r="AV132" i="4" s="1"/>
  <c r="AH132" i="4"/>
  <c r="AU132" i="4" s="1"/>
  <c r="BG132" i="4"/>
  <c r="AC132" i="4"/>
  <c r="R132" i="4"/>
  <c r="AD132" i="4"/>
  <c r="Q132" i="4"/>
  <c r="BF132" i="4"/>
  <c r="BC132" i="4"/>
  <c r="BH132" i="4"/>
  <c r="BB132" i="4"/>
  <c r="BL131" i="4"/>
  <c r="BI131" i="4"/>
  <c r="B133" i="4"/>
  <c r="G132" i="4"/>
  <c r="H133" i="4" s="1"/>
  <c r="K151" i="13"/>
  <c r="I151" i="13"/>
  <c r="F151" i="13"/>
  <c r="M151" i="13"/>
  <c r="L151" i="13"/>
  <c r="K132" i="4"/>
  <c r="Z132" i="4" s="1"/>
  <c r="L132" i="4"/>
  <c r="AL132" i="4" s="1"/>
  <c r="D152" i="13"/>
  <c r="M132" i="4"/>
  <c r="N131" i="4"/>
  <c r="BK131" i="4" s="1"/>
  <c r="AQ132" i="4" l="1"/>
  <c r="AJ132" i="4"/>
  <c r="AW132" i="4" s="1"/>
  <c r="AP132" i="4"/>
  <c r="AW131" i="4"/>
  <c r="AY132" i="4"/>
  <c r="AI133" i="4"/>
  <c r="AV133" i="4" s="1"/>
  <c r="BG133" i="4"/>
  <c r="AG133" i="4"/>
  <c r="AT133" i="4" s="1"/>
  <c r="AD133" i="4"/>
  <c r="Q133" i="4"/>
  <c r="AC133" i="4"/>
  <c r="AH133" i="4"/>
  <c r="AU133" i="4" s="1"/>
  <c r="R133" i="4"/>
  <c r="AQ133" i="4" s="1"/>
  <c r="AM132" i="4"/>
  <c r="AZ132" i="4" s="1"/>
  <c r="BC133" i="4"/>
  <c r="BH133" i="4"/>
  <c r="BF133" i="4"/>
  <c r="BB133" i="4"/>
  <c r="BL132" i="4"/>
  <c r="BI132" i="4"/>
  <c r="L152" i="13"/>
  <c r="K152" i="13"/>
  <c r="F152" i="13"/>
  <c r="I152" i="13"/>
  <c r="M152" i="13"/>
  <c r="N132" i="4"/>
  <c r="BK132" i="4" s="1"/>
  <c r="D153" i="13"/>
  <c r="K133" i="4"/>
  <c r="Z133" i="4" s="1"/>
  <c r="L133" i="4"/>
  <c r="AL133" i="4" s="1"/>
  <c r="M133" i="4"/>
  <c r="B134" i="4"/>
  <c r="G133" i="4"/>
  <c r="H134" i="4" s="1"/>
  <c r="AY133" i="4" l="1"/>
  <c r="AJ133" i="4"/>
  <c r="AP133" i="4"/>
  <c r="AM133" i="4"/>
  <c r="AZ133" i="4" s="1"/>
  <c r="BG134" i="4"/>
  <c r="AH134" i="4"/>
  <c r="AU134" i="4" s="1"/>
  <c r="AG134" i="4"/>
  <c r="AT134" i="4" s="1"/>
  <c r="AD134" i="4"/>
  <c r="Q134" i="4"/>
  <c r="AC134" i="4"/>
  <c r="R134" i="4"/>
  <c r="AI134" i="4"/>
  <c r="AV134" i="4" s="1"/>
  <c r="BC134" i="4"/>
  <c r="BH134" i="4"/>
  <c r="BF134" i="4"/>
  <c r="BB134" i="4"/>
  <c r="BL133" i="4"/>
  <c r="BI133" i="4"/>
  <c r="K134" i="4"/>
  <c r="Z134" i="4" s="1"/>
  <c r="L134" i="4"/>
  <c r="AL134" i="4" s="1"/>
  <c r="D154" i="13"/>
  <c r="M134" i="4"/>
  <c r="N133" i="4"/>
  <c r="BK133" i="4" s="1"/>
  <c r="B135" i="4"/>
  <c r="G134" i="4"/>
  <c r="H135" i="4" s="1"/>
  <c r="I153" i="13"/>
  <c r="F153" i="13"/>
  <c r="L153" i="13"/>
  <c r="M153" i="13"/>
  <c r="K153" i="13"/>
  <c r="AJ134" i="4" l="1"/>
  <c r="AW134" i="4" s="1"/>
  <c r="AP134" i="4"/>
  <c r="AY134" i="4"/>
  <c r="AQ134" i="4"/>
  <c r="AW133" i="4"/>
  <c r="AI135" i="4"/>
  <c r="AV135" i="4" s="1"/>
  <c r="AH135" i="4"/>
  <c r="AU135" i="4" s="1"/>
  <c r="AC135" i="4"/>
  <c r="R135" i="4"/>
  <c r="AG135" i="4"/>
  <c r="AT135" i="4" s="1"/>
  <c r="Q135" i="4"/>
  <c r="BG135" i="4"/>
  <c r="AD135" i="4"/>
  <c r="AM134" i="4"/>
  <c r="AZ134" i="4" s="1"/>
  <c r="BB135" i="4"/>
  <c r="BF135" i="4"/>
  <c r="BC135" i="4"/>
  <c r="BH135" i="4"/>
  <c r="BI134" i="4"/>
  <c r="BL134" i="4"/>
  <c r="N134" i="4"/>
  <c r="BK134" i="4" s="1"/>
  <c r="L135" i="4"/>
  <c r="AL135" i="4" s="1"/>
  <c r="K135" i="4"/>
  <c r="Z135" i="4" s="1"/>
  <c r="D155" i="13"/>
  <c r="M135" i="4"/>
  <c r="B136" i="4"/>
  <c r="G135" i="4"/>
  <c r="H136" i="4" s="1"/>
  <c r="K154" i="13"/>
  <c r="I154" i="13"/>
  <c r="M154" i="13"/>
  <c r="F154" i="13"/>
  <c r="L154" i="13"/>
  <c r="AY135" i="4" l="1"/>
  <c r="AJ135" i="4"/>
  <c r="AW135" i="4" s="1"/>
  <c r="AP135" i="4"/>
  <c r="AQ135" i="4"/>
  <c r="AG136" i="4"/>
  <c r="AT136" i="4" s="1"/>
  <c r="AH136" i="4"/>
  <c r="AU136" i="4" s="1"/>
  <c r="AI136" i="4"/>
  <c r="AV136" i="4" s="1"/>
  <c r="AC136" i="4"/>
  <c r="R136" i="4"/>
  <c r="BG136" i="4"/>
  <c r="Q136" i="4"/>
  <c r="AD136" i="4"/>
  <c r="AM135" i="4"/>
  <c r="AZ135" i="4" s="1"/>
  <c r="BF136" i="4"/>
  <c r="BC136" i="4"/>
  <c r="BH136" i="4"/>
  <c r="BB136" i="4"/>
  <c r="BL135" i="4"/>
  <c r="BI135" i="4"/>
  <c r="M155" i="13"/>
  <c r="L155" i="13"/>
  <c r="K155" i="13"/>
  <c r="I155" i="13"/>
  <c r="F155" i="13"/>
  <c r="L136" i="4"/>
  <c r="AL136" i="4" s="1"/>
  <c r="K136" i="4"/>
  <c r="Z136" i="4" s="1"/>
  <c r="D156" i="13"/>
  <c r="M136" i="4"/>
  <c r="N135" i="4"/>
  <c r="BK135" i="4" s="1"/>
  <c r="B137" i="4"/>
  <c r="G136" i="4"/>
  <c r="H137" i="4" s="1"/>
  <c r="AJ136" i="4" l="1"/>
  <c r="AW136" i="4" s="1"/>
  <c r="AP136" i="4"/>
  <c r="AY136" i="4"/>
  <c r="AQ136" i="4"/>
  <c r="AI137" i="4"/>
  <c r="AV137" i="4" s="1"/>
  <c r="BG137" i="4"/>
  <c r="AG137" i="4"/>
  <c r="AT137" i="4" s="1"/>
  <c r="AD137" i="4"/>
  <c r="Q137" i="4"/>
  <c r="AC137" i="4"/>
  <c r="R137" i="4"/>
  <c r="AH137" i="4"/>
  <c r="AU137" i="4" s="1"/>
  <c r="AM136" i="4"/>
  <c r="AZ136" i="4" s="1"/>
  <c r="N136" i="4"/>
  <c r="BK136" i="4" s="1"/>
  <c r="BL136" i="4"/>
  <c r="BI136" i="4"/>
  <c r="BC137" i="4"/>
  <c r="BH137" i="4"/>
  <c r="BB137" i="4"/>
  <c r="BF137" i="4"/>
  <c r="D157" i="13"/>
  <c r="L137" i="4"/>
  <c r="AL137" i="4" s="1"/>
  <c r="K137" i="4"/>
  <c r="Z137" i="4" s="1"/>
  <c r="M137" i="4"/>
  <c r="K156" i="13"/>
  <c r="L156" i="13"/>
  <c r="I156" i="13"/>
  <c r="M156" i="13"/>
  <c r="F156" i="13"/>
  <c r="B138" i="4"/>
  <c r="G137" i="4"/>
  <c r="H138" i="4" s="1"/>
  <c r="AQ137" i="4" l="1"/>
  <c r="AY137" i="4"/>
  <c r="AJ137" i="4"/>
  <c r="AW137" i="4" s="1"/>
  <c r="AP137" i="4"/>
  <c r="AM137" i="4"/>
  <c r="AZ137" i="4" s="1"/>
  <c r="AI138" i="4"/>
  <c r="AV138" i="4" s="1"/>
  <c r="BG138" i="4"/>
  <c r="AH138" i="4"/>
  <c r="AU138" i="4" s="1"/>
  <c r="AD138" i="4"/>
  <c r="Q138" i="4"/>
  <c r="R138" i="4"/>
  <c r="AG138" i="4"/>
  <c r="AT138" i="4" s="1"/>
  <c r="AC138" i="4"/>
  <c r="BL137" i="4"/>
  <c r="BI137" i="4"/>
  <c r="BF138" i="4"/>
  <c r="BC138" i="4"/>
  <c r="BH138" i="4"/>
  <c r="BB138" i="4"/>
  <c r="N137" i="4"/>
  <c r="BK137" i="4" s="1"/>
  <c r="L138" i="4"/>
  <c r="AL138" i="4" s="1"/>
  <c r="K138" i="4"/>
  <c r="Z138" i="4" s="1"/>
  <c r="D158" i="13"/>
  <c r="M138" i="4"/>
  <c r="B139" i="4"/>
  <c r="G138" i="4"/>
  <c r="H139" i="4" s="1"/>
  <c r="L157" i="13"/>
  <c r="M157" i="13"/>
  <c r="K157" i="13"/>
  <c r="I157" i="13"/>
  <c r="F157" i="13"/>
  <c r="AQ138" i="4" l="1"/>
  <c r="AY138" i="4"/>
  <c r="AJ138" i="4"/>
  <c r="AW138" i="4" s="1"/>
  <c r="AP138" i="4"/>
  <c r="AM138" i="4"/>
  <c r="AZ138" i="4" s="1"/>
  <c r="AI139" i="4"/>
  <c r="AH139" i="4"/>
  <c r="AG139" i="4"/>
  <c r="AC139" i="4"/>
  <c r="R139" i="4"/>
  <c r="AD139" i="4"/>
  <c r="Q139" i="4"/>
  <c r="BG139" i="4"/>
  <c r="BC139" i="4"/>
  <c r="BH139" i="4"/>
  <c r="BB139" i="4"/>
  <c r="BF139" i="4"/>
  <c r="BI138" i="4"/>
  <c r="BL138" i="4"/>
  <c r="N138" i="4"/>
  <c r="BK138" i="4" s="1"/>
  <c r="F158" i="13"/>
  <c r="M158" i="13"/>
  <c r="I158" i="13"/>
  <c r="L158" i="13"/>
  <c r="K158" i="13"/>
  <c r="D159" i="13"/>
  <c r="K139" i="4"/>
  <c r="Z139" i="4" s="1"/>
  <c r="L139" i="4"/>
  <c r="AL139" i="4" s="1"/>
  <c r="M139" i="4"/>
  <c r="B140" i="4"/>
  <c r="G139" i="4"/>
  <c r="H140" i="4" s="1"/>
  <c r="AJ139" i="4" l="1"/>
  <c r="AP139" i="4"/>
  <c r="AT139" i="4"/>
  <c r="AU139" i="4"/>
  <c r="AY139" i="4"/>
  <c r="AQ139" i="4"/>
  <c r="AV139" i="4"/>
  <c r="AG140" i="4"/>
  <c r="AT140" i="4" s="1"/>
  <c r="AI140" i="4"/>
  <c r="AV140" i="4" s="1"/>
  <c r="AH140" i="4"/>
  <c r="AU140" i="4" s="1"/>
  <c r="BG140" i="4"/>
  <c r="AC140" i="4"/>
  <c r="R140" i="4"/>
  <c r="Q140" i="4"/>
  <c r="AD140" i="4"/>
  <c r="AM139" i="4"/>
  <c r="BF140" i="4"/>
  <c r="BC140" i="4"/>
  <c r="BH140" i="4"/>
  <c r="BB140" i="4"/>
  <c r="BL139" i="4"/>
  <c r="BI139" i="4"/>
  <c r="D160" i="13"/>
  <c r="L140" i="4"/>
  <c r="AL140" i="4" s="1"/>
  <c r="K140" i="4"/>
  <c r="Z140" i="4" s="1"/>
  <c r="M140" i="4"/>
  <c r="N139" i="4"/>
  <c r="BK139" i="4" s="1"/>
  <c r="B141" i="4"/>
  <c r="G140" i="4"/>
  <c r="H141" i="4" s="1"/>
  <c r="L159" i="13"/>
  <c r="K159" i="13"/>
  <c r="I159" i="13"/>
  <c r="F159" i="13"/>
  <c r="M159" i="13"/>
  <c r="AM140" i="4" l="1"/>
  <c r="AZ140" i="4" s="1"/>
  <c r="AJ140" i="4"/>
  <c r="AW140" i="4" s="1"/>
  <c r="AP140" i="4"/>
  <c r="AY140" i="4"/>
  <c r="AQ140" i="4"/>
  <c r="AW139" i="4"/>
  <c r="AZ139" i="4"/>
  <c r="AI141" i="4"/>
  <c r="BG141" i="4"/>
  <c r="AG141" i="4"/>
  <c r="AT141" i="4" s="1"/>
  <c r="AD141" i="4"/>
  <c r="Q141" i="4"/>
  <c r="AC141" i="4"/>
  <c r="AH141" i="4"/>
  <c r="AU141" i="4" s="1"/>
  <c r="R141" i="4"/>
  <c r="BB141" i="4"/>
  <c r="BF141" i="4"/>
  <c r="BC141" i="4"/>
  <c r="BH141" i="4"/>
  <c r="BL140" i="4"/>
  <c r="BI140" i="4"/>
  <c r="N140" i="4"/>
  <c r="BK140" i="4" s="1"/>
  <c r="B142" i="4"/>
  <c r="G141" i="4"/>
  <c r="H142" i="4" s="1"/>
  <c r="L141" i="4"/>
  <c r="AL141" i="4" s="1"/>
  <c r="K141" i="4"/>
  <c r="Z141" i="4" s="1"/>
  <c r="D161" i="13"/>
  <c r="M141" i="4"/>
  <c r="L160" i="13"/>
  <c r="K160" i="13"/>
  <c r="F160" i="13"/>
  <c r="I160" i="13"/>
  <c r="M160" i="13"/>
  <c r="AY141" i="4" l="1"/>
  <c r="AQ141" i="4"/>
  <c r="AJ141" i="4"/>
  <c r="AP141" i="4"/>
  <c r="AV141" i="4"/>
  <c r="BG142" i="4"/>
  <c r="AI142" i="4"/>
  <c r="AV142" i="4" s="1"/>
  <c r="AG142" i="4"/>
  <c r="AT142" i="4" s="1"/>
  <c r="AD142" i="4"/>
  <c r="Q142" i="4"/>
  <c r="AH142" i="4"/>
  <c r="AC142" i="4"/>
  <c r="R142" i="4"/>
  <c r="AQ142" i="4" s="1"/>
  <c r="AM141" i="4"/>
  <c r="BL141" i="4"/>
  <c r="BI141" i="4"/>
  <c r="BC142" i="4"/>
  <c r="BH142" i="4"/>
  <c r="BF142" i="4"/>
  <c r="BB142" i="4"/>
  <c r="N141" i="4"/>
  <c r="BK141" i="4" s="1"/>
  <c r="D162" i="13"/>
  <c r="L142" i="4"/>
  <c r="AL142" i="4" s="1"/>
  <c r="K142" i="4"/>
  <c r="Z142" i="4" s="1"/>
  <c r="M142" i="4"/>
  <c r="K161" i="13"/>
  <c r="I161" i="13"/>
  <c r="M161" i="13"/>
  <c r="L161" i="13"/>
  <c r="F161" i="13"/>
  <c r="B143" i="4"/>
  <c r="G142" i="4"/>
  <c r="H143" i="4" s="1"/>
  <c r="AW141" i="4" l="1"/>
  <c r="AZ141" i="4"/>
  <c r="AP142" i="4"/>
  <c r="AJ142" i="4"/>
  <c r="AW142" i="4" s="1"/>
  <c r="AY142" i="4"/>
  <c r="AU142" i="4"/>
  <c r="AI143" i="4"/>
  <c r="AH143" i="4"/>
  <c r="AU143" i="4" s="1"/>
  <c r="AC143" i="4"/>
  <c r="R143" i="4"/>
  <c r="Q143" i="4"/>
  <c r="BG143" i="4"/>
  <c r="AG143" i="4"/>
  <c r="AT143" i="4" s="1"/>
  <c r="AD143" i="4"/>
  <c r="AM142" i="4"/>
  <c r="AZ142" i="4" s="1"/>
  <c r="BF143" i="4"/>
  <c r="BC143" i="4"/>
  <c r="BH143" i="4"/>
  <c r="BB143" i="4"/>
  <c r="BI142" i="4"/>
  <c r="BL142" i="4"/>
  <c r="N142" i="4"/>
  <c r="BK142" i="4" s="1"/>
  <c r="L162" i="13"/>
  <c r="K162" i="13"/>
  <c r="I162" i="13"/>
  <c r="M162" i="13"/>
  <c r="F162" i="13"/>
  <c r="L143" i="4"/>
  <c r="AL143" i="4" s="1"/>
  <c r="K143" i="4"/>
  <c r="Z143" i="4" s="1"/>
  <c r="D163" i="13"/>
  <c r="M143" i="4"/>
  <c r="B144" i="4"/>
  <c r="G143" i="4"/>
  <c r="H144" i="4" s="1"/>
  <c r="AY143" i="4" l="1"/>
  <c r="AJ143" i="4"/>
  <c r="AW143" i="4" s="1"/>
  <c r="AP143" i="4"/>
  <c r="AV143" i="4"/>
  <c r="AQ143" i="4"/>
  <c r="AG144" i="4"/>
  <c r="AT144" i="4" s="1"/>
  <c r="AH144" i="4"/>
  <c r="BG144" i="4"/>
  <c r="AC144" i="4"/>
  <c r="R144" i="4"/>
  <c r="AI144" i="4"/>
  <c r="AV144" i="4" s="1"/>
  <c r="Q144" i="4"/>
  <c r="AD144" i="4"/>
  <c r="AM143" i="4"/>
  <c r="BI143" i="4"/>
  <c r="BL143" i="4"/>
  <c r="BF144" i="4"/>
  <c r="BB144" i="4"/>
  <c r="BC144" i="4"/>
  <c r="BH144" i="4"/>
  <c r="B145" i="4"/>
  <c r="G144" i="4"/>
  <c r="H145" i="4" s="1"/>
  <c r="M163" i="13"/>
  <c r="L163" i="13"/>
  <c r="K163" i="13"/>
  <c r="I163" i="13"/>
  <c r="F163" i="13"/>
  <c r="K144" i="4"/>
  <c r="Z144" i="4" s="1"/>
  <c r="L144" i="4"/>
  <c r="AL144" i="4" s="1"/>
  <c r="D164" i="13"/>
  <c r="M144" i="4"/>
  <c r="N143" i="4"/>
  <c r="BK143" i="4" s="1"/>
  <c r="AY144" i="4" l="1"/>
  <c r="AJ144" i="4"/>
  <c r="AP144" i="4"/>
  <c r="AU144" i="4"/>
  <c r="AZ143" i="4"/>
  <c r="AQ144" i="4"/>
  <c r="AI145" i="4"/>
  <c r="BG145" i="4"/>
  <c r="AG145" i="4"/>
  <c r="AT145" i="4" s="1"/>
  <c r="AD145" i="4"/>
  <c r="Q145" i="4"/>
  <c r="AC145" i="4"/>
  <c r="R145" i="4"/>
  <c r="AH145" i="4"/>
  <c r="AU145" i="4" s="1"/>
  <c r="AM144" i="4"/>
  <c r="AZ144" i="4" s="1"/>
  <c r="BB145" i="4"/>
  <c r="BC145" i="4"/>
  <c r="BF145" i="4"/>
  <c r="BH145" i="4"/>
  <c r="BL144" i="4"/>
  <c r="BI144" i="4"/>
  <c r="N144" i="4"/>
  <c r="BK144" i="4" s="1"/>
  <c r="F164" i="13"/>
  <c r="K164" i="13"/>
  <c r="L164" i="13"/>
  <c r="I164" i="13"/>
  <c r="M164" i="13"/>
  <c r="L145" i="4"/>
  <c r="AL145" i="4" s="1"/>
  <c r="D165" i="13"/>
  <c r="K145" i="4"/>
  <c r="Z145" i="4" s="1"/>
  <c r="M145" i="4"/>
  <c r="B146" i="4"/>
  <c r="G145" i="4"/>
  <c r="H146" i="4" s="1"/>
  <c r="AY145" i="4" l="1"/>
  <c r="AQ145" i="4"/>
  <c r="AW144" i="4"/>
  <c r="AJ145" i="4"/>
  <c r="AW145" i="4" s="1"/>
  <c r="AP145" i="4"/>
  <c r="AV145" i="4"/>
  <c r="AI146" i="4"/>
  <c r="AV146" i="4" s="1"/>
  <c r="BG146" i="4"/>
  <c r="AH146" i="4"/>
  <c r="AU146" i="4" s="1"/>
  <c r="AD146" i="4"/>
  <c r="Q146" i="4"/>
  <c r="AG146" i="4"/>
  <c r="AT146" i="4" s="1"/>
  <c r="AC146" i="4"/>
  <c r="R146" i="4"/>
  <c r="AQ146" i="4" s="1"/>
  <c r="AM145" i="4"/>
  <c r="AZ145" i="4" s="1"/>
  <c r="BB146" i="4"/>
  <c r="BC146" i="4"/>
  <c r="BH146" i="4"/>
  <c r="BF146" i="4"/>
  <c r="BL145" i="4"/>
  <c r="BI145" i="4"/>
  <c r="D166" i="13"/>
  <c r="K146" i="4"/>
  <c r="Z146" i="4" s="1"/>
  <c r="L146" i="4"/>
  <c r="AL146" i="4" s="1"/>
  <c r="M146" i="4"/>
  <c r="L165" i="13"/>
  <c r="M165" i="13"/>
  <c r="K165" i="13"/>
  <c r="I165" i="13"/>
  <c r="F165" i="13"/>
  <c r="N145" i="4"/>
  <c r="BK145" i="4" s="1"/>
  <c r="B147" i="4"/>
  <c r="G146" i="4"/>
  <c r="H147" i="4" s="1"/>
  <c r="AY146" i="4" l="1"/>
  <c r="AJ146" i="4"/>
  <c r="AW146" i="4" s="1"/>
  <c r="AP146" i="4"/>
  <c r="AI147" i="4"/>
  <c r="AV147" i="4" s="1"/>
  <c r="AH147" i="4"/>
  <c r="AU147" i="4" s="1"/>
  <c r="AG147" i="4"/>
  <c r="AT147" i="4" s="1"/>
  <c r="AC147" i="4"/>
  <c r="R147" i="4"/>
  <c r="AD147" i="4"/>
  <c r="Q147" i="4"/>
  <c r="BG147" i="4"/>
  <c r="AM146" i="4"/>
  <c r="AZ146" i="4" s="1"/>
  <c r="BB147" i="4"/>
  <c r="BF147" i="4"/>
  <c r="BC147" i="4"/>
  <c r="BH147" i="4"/>
  <c r="BI146" i="4"/>
  <c r="BL146" i="4"/>
  <c r="N146" i="4"/>
  <c r="BK146" i="4" s="1"/>
  <c r="B148" i="4"/>
  <c r="G147" i="4"/>
  <c r="H148" i="4" s="1"/>
  <c r="D167" i="13"/>
  <c r="K147" i="4"/>
  <c r="Z147" i="4" s="1"/>
  <c r="L147" i="4"/>
  <c r="AL147" i="4" s="1"/>
  <c r="M147" i="4"/>
  <c r="I166" i="13"/>
  <c r="M166" i="13"/>
  <c r="F166" i="13"/>
  <c r="L166" i="13"/>
  <c r="K166" i="13"/>
  <c r="AQ147" i="4" l="1"/>
  <c r="AY147" i="4"/>
  <c r="AJ147" i="4"/>
  <c r="AW147" i="4" s="1"/>
  <c r="AP147" i="4"/>
  <c r="AG148" i="4"/>
  <c r="AT148" i="4" s="1"/>
  <c r="AI148" i="4"/>
  <c r="AV148" i="4" s="1"/>
  <c r="AH148" i="4"/>
  <c r="AU148" i="4" s="1"/>
  <c r="BG148" i="4"/>
  <c r="AC148" i="4"/>
  <c r="R148" i="4"/>
  <c r="AD148" i="4"/>
  <c r="Q148" i="4"/>
  <c r="AM147" i="4"/>
  <c r="AZ147" i="4" s="1"/>
  <c r="BF148" i="4"/>
  <c r="BB148" i="4"/>
  <c r="BC148" i="4"/>
  <c r="BH148" i="4"/>
  <c r="BI147" i="4"/>
  <c r="BL147" i="4"/>
  <c r="N147" i="4"/>
  <c r="BK147" i="4" s="1"/>
  <c r="I167" i="13"/>
  <c r="F167" i="13"/>
  <c r="M167" i="13"/>
  <c r="L167" i="13"/>
  <c r="K167" i="13"/>
  <c r="L148" i="4"/>
  <c r="AL148" i="4" s="1"/>
  <c r="D168" i="13"/>
  <c r="K148" i="4"/>
  <c r="Z148" i="4" s="1"/>
  <c r="M148" i="4"/>
  <c r="B149" i="4"/>
  <c r="G148" i="4"/>
  <c r="H149" i="4" s="1"/>
  <c r="AY148" i="4" l="1"/>
  <c r="AM148" i="4"/>
  <c r="AZ148" i="4" s="1"/>
  <c r="AJ148" i="4"/>
  <c r="AW148" i="4" s="1"/>
  <c r="AP148" i="4"/>
  <c r="AQ148" i="4"/>
  <c r="AI149" i="4"/>
  <c r="AV149" i="4" s="1"/>
  <c r="BG149" i="4"/>
  <c r="AG149" i="4"/>
  <c r="AT149" i="4" s="1"/>
  <c r="AD149" i="4"/>
  <c r="Q149" i="4"/>
  <c r="AC149" i="4"/>
  <c r="AH149" i="4"/>
  <c r="AU149" i="4" s="1"/>
  <c r="R149" i="4"/>
  <c r="BF149" i="4"/>
  <c r="BB149" i="4"/>
  <c r="BH149" i="4"/>
  <c r="BC149" i="4"/>
  <c r="BL148" i="4"/>
  <c r="BI148" i="4"/>
  <c r="L149" i="4"/>
  <c r="AL149" i="4" s="1"/>
  <c r="D169" i="13"/>
  <c r="K149" i="4"/>
  <c r="Z149" i="4" s="1"/>
  <c r="M149" i="4"/>
  <c r="M168" i="13"/>
  <c r="L168" i="13"/>
  <c r="K168" i="13"/>
  <c r="F168" i="13"/>
  <c r="I168" i="13"/>
  <c r="B150" i="4"/>
  <c r="G149" i="4"/>
  <c r="H150" i="4" s="1"/>
  <c r="N148" i="4"/>
  <c r="BK148" i="4" s="1"/>
  <c r="AQ149" i="4" l="1"/>
  <c r="AY149" i="4"/>
  <c r="AJ149" i="4"/>
  <c r="AW149" i="4" s="1"/>
  <c r="AP149" i="4"/>
  <c r="BG150" i="4"/>
  <c r="AH150" i="4"/>
  <c r="AU150" i="4" s="1"/>
  <c r="AG150" i="4"/>
  <c r="AT150" i="4" s="1"/>
  <c r="AD150" i="4"/>
  <c r="Q150" i="4"/>
  <c r="R150" i="4"/>
  <c r="AI150" i="4"/>
  <c r="AV150" i="4" s="1"/>
  <c r="AC150" i="4"/>
  <c r="AM149" i="4"/>
  <c r="AZ149" i="4" s="1"/>
  <c r="BL149" i="4"/>
  <c r="BI149" i="4"/>
  <c r="BB150" i="4"/>
  <c r="BL150" i="4" s="1"/>
  <c r="BC150" i="4"/>
  <c r="BH150" i="4"/>
  <c r="BF150" i="4"/>
  <c r="N149" i="4"/>
  <c r="BK149" i="4" s="1"/>
  <c r="D170" i="13"/>
  <c r="L150" i="4"/>
  <c r="AL150" i="4" s="1"/>
  <c r="K150" i="4"/>
  <c r="Z150" i="4" s="1"/>
  <c r="M150" i="4"/>
  <c r="B151" i="4"/>
  <c r="G150" i="4"/>
  <c r="H151" i="4" s="1"/>
  <c r="I169" i="13"/>
  <c r="F169" i="13"/>
  <c r="L169" i="13"/>
  <c r="M169" i="13"/>
  <c r="K169" i="13"/>
  <c r="AY150" i="4" l="1"/>
  <c r="AM150" i="4"/>
  <c r="AZ150" i="4" s="1"/>
  <c r="AJ150" i="4"/>
  <c r="AW150" i="4" s="1"/>
  <c r="AP150" i="4"/>
  <c r="AQ150" i="4"/>
  <c r="AI151" i="4"/>
  <c r="AH151" i="4"/>
  <c r="AC151" i="4"/>
  <c r="R151" i="4"/>
  <c r="AG151" i="4"/>
  <c r="BG151" i="4"/>
  <c r="AD151" i="4"/>
  <c r="Q151" i="4"/>
  <c r="BC151" i="4"/>
  <c r="BH151" i="4"/>
  <c r="BF151" i="4"/>
  <c r="BB151" i="4"/>
  <c r="BI150" i="4"/>
  <c r="N150" i="4"/>
  <c r="BK150" i="4" s="1"/>
  <c r="K151" i="4"/>
  <c r="Z151" i="4" s="1"/>
  <c r="L151" i="4"/>
  <c r="AL151" i="4" s="1"/>
  <c r="D171" i="13"/>
  <c r="M151" i="4"/>
  <c r="B152" i="4"/>
  <c r="G151" i="4"/>
  <c r="H152" i="4" s="1"/>
  <c r="M170" i="13"/>
  <c r="F170" i="13"/>
  <c r="L170" i="13"/>
  <c r="K170" i="13"/>
  <c r="I170" i="13"/>
  <c r="AY151" i="4" l="1"/>
  <c r="AU151" i="4"/>
  <c r="AT151" i="4"/>
  <c r="AV151" i="4"/>
  <c r="AM151" i="4"/>
  <c r="AJ151" i="4"/>
  <c r="AP151" i="4"/>
  <c r="AQ151" i="4"/>
  <c r="AG152" i="4"/>
  <c r="AT152" i="4" s="1"/>
  <c r="AH152" i="4"/>
  <c r="AU152" i="4" s="1"/>
  <c r="AI152" i="4"/>
  <c r="AV152" i="4" s="1"/>
  <c r="BG152" i="4"/>
  <c r="AC152" i="4"/>
  <c r="R152" i="4"/>
  <c r="Q152" i="4"/>
  <c r="AD152" i="4"/>
  <c r="BF152" i="4"/>
  <c r="BC152" i="4"/>
  <c r="BH152" i="4"/>
  <c r="BB152" i="4"/>
  <c r="BL151" i="4"/>
  <c r="BI151" i="4"/>
  <c r="L171" i="13"/>
  <c r="K171" i="13"/>
  <c r="I171" i="13"/>
  <c r="F171" i="13"/>
  <c r="M171" i="13"/>
  <c r="D172" i="13"/>
  <c r="K152" i="4"/>
  <c r="Z152" i="4" s="1"/>
  <c r="L152" i="4"/>
  <c r="AL152" i="4" s="1"/>
  <c r="M152" i="4"/>
  <c r="B153" i="4"/>
  <c r="G152" i="4"/>
  <c r="H153" i="4" s="1"/>
  <c r="N151" i="4"/>
  <c r="BK151" i="4" s="1"/>
  <c r="AY152" i="4" l="1"/>
  <c r="AW151" i="4"/>
  <c r="AM152" i="4"/>
  <c r="AZ152" i="4" s="1"/>
  <c r="AJ152" i="4"/>
  <c r="AW152" i="4" s="1"/>
  <c r="AP152" i="4"/>
  <c r="AZ151" i="4"/>
  <c r="AQ152" i="4"/>
  <c r="AI153" i="4"/>
  <c r="AV153" i="4" s="1"/>
  <c r="BG153" i="4"/>
  <c r="AG153" i="4"/>
  <c r="AT153" i="4" s="1"/>
  <c r="AD153" i="4"/>
  <c r="Q153" i="4"/>
  <c r="AC153" i="4"/>
  <c r="R153" i="4"/>
  <c r="AH153" i="4"/>
  <c r="BL152" i="4"/>
  <c r="BI152" i="4"/>
  <c r="BC153" i="4"/>
  <c r="BH153" i="4"/>
  <c r="BF153" i="4"/>
  <c r="BB153" i="4"/>
  <c r="N152" i="4"/>
  <c r="BK152" i="4" s="1"/>
  <c r="L153" i="4"/>
  <c r="AL153" i="4" s="1"/>
  <c r="K153" i="4"/>
  <c r="Z153" i="4" s="1"/>
  <c r="D173" i="13"/>
  <c r="M153" i="4"/>
  <c r="B154" i="4"/>
  <c r="G153" i="4"/>
  <c r="H154" i="4" s="1"/>
  <c r="L172" i="13"/>
  <c r="K172" i="13"/>
  <c r="F172" i="13"/>
  <c r="I172" i="13"/>
  <c r="M172" i="13"/>
  <c r="AU153" i="4" l="1"/>
  <c r="AQ153" i="4"/>
  <c r="AY153" i="4"/>
  <c r="AJ153" i="4"/>
  <c r="AP153" i="4"/>
  <c r="AI154" i="4"/>
  <c r="BG154" i="4"/>
  <c r="AH154" i="4"/>
  <c r="AU154" i="4" s="1"/>
  <c r="AD154" i="4"/>
  <c r="Q154" i="4"/>
  <c r="R154" i="4"/>
  <c r="AC154" i="4"/>
  <c r="AG154" i="4"/>
  <c r="AT154" i="4" s="1"/>
  <c r="AM153" i="4"/>
  <c r="BF154" i="4"/>
  <c r="BC154" i="4"/>
  <c r="BH154" i="4"/>
  <c r="BB154" i="4"/>
  <c r="BL154" i="4" s="1"/>
  <c r="BL153" i="4"/>
  <c r="BI153" i="4"/>
  <c r="B155" i="4"/>
  <c r="G154" i="4"/>
  <c r="H155" i="4" s="1"/>
  <c r="L173" i="13"/>
  <c r="M173" i="13"/>
  <c r="K173" i="13"/>
  <c r="I173" i="13"/>
  <c r="F173" i="13"/>
  <c r="D174" i="13"/>
  <c r="K154" i="4"/>
  <c r="Z154" i="4" s="1"/>
  <c r="L154" i="4"/>
  <c r="AL154" i="4" s="1"/>
  <c r="M154" i="4"/>
  <c r="N153" i="4"/>
  <c r="BK153" i="4" s="1"/>
  <c r="AY154" i="4" l="1"/>
  <c r="AQ154" i="4"/>
  <c r="AW153" i="4"/>
  <c r="AZ153" i="4"/>
  <c r="AJ154" i="4"/>
  <c r="AW154" i="4" s="1"/>
  <c r="AP154" i="4"/>
  <c r="AV154" i="4"/>
  <c r="AH155" i="4"/>
  <c r="AU155" i="4" s="1"/>
  <c r="AI155" i="4"/>
  <c r="AV155" i="4" s="1"/>
  <c r="AG155" i="4"/>
  <c r="AT155" i="4" s="1"/>
  <c r="AC155" i="4"/>
  <c r="R155" i="4"/>
  <c r="AD155" i="4"/>
  <c r="Q155" i="4"/>
  <c r="BG155" i="4"/>
  <c r="AM154" i="4"/>
  <c r="AZ154" i="4" s="1"/>
  <c r="N154" i="4"/>
  <c r="BK154" i="4" s="1"/>
  <c r="BC155" i="4"/>
  <c r="BH155" i="4"/>
  <c r="BF155" i="4"/>
  <c r="BB155" i="4"/>
  <c r="BI154" i="4"/>
  <c r="K174" i="13"/>
  <c r="F174" i="13"/>
  <c r="M174" i="13"/>
  <c r="I174" i="13"/>
  <c r="L174" i="13"/>
  <c r="D175" i="13"/>
  <c r="L155" i="4"/>
  <c r="AL155" i="4" s="1"/>
  <c r="K155" i="4"/>
  <c r="Z155" i="4" s="1"/>
  <c r="M155" i="4"/>
  <c r="B156" i="4"/>
  <c r="G155" i="4"/>
  <c r="H156" i="4" s="1"/>
  <c r="AY155" i="4" l="1"/>
  <c r="AJ155" i="4"/>
  <c r="AW155" i="4" s="1"/>
  <c r="AP155" i="4"/>
  <c r="AQ155" i="4"/>
  <c r="AG156" i="4"/>
  <c r="AT156" i="4" s="1"/>
  <c r="AH156" i="4"/>
  <c r="AU156" i="4" s="1"/>
  <c r="BG156" i="4"/>
  <c r="AI156" i="4"/>
  <c r="AV156" i="4" s="1"/>
  <c r="AC156" i="4"/>
  <c r="R156" i="4"/>
  <c r="Q156" i="4"/>
  <c r="AD156" i="4"/>
  <c r="AM155" i="4"/>
  <c r="AZ155" i="4" s="1"/>
  <c r="BF156" i="4"/>
  <c r="BB156" i="4"/>
  <c r="BC156" i="4"/>
  <c r="BH156" i="4"/>
  <c r="BI155" i="4"/>
  <c r="BL155" i="4"/>
  <c r="N155" i="4"/>
  <c r="BK155" i="4" s="1"/>
  <c r="K156" i="4"/>
  <c r="Z156" i="4" s="1"/>
  <c r="L156" i="4"/>
  <c r="AL156" i="4" s="1"/>
  <c r="D176" i="13"/>
  <c r="M156" i="4"/>
  <c r="I175" i="13"/>
  <c r="F175" i="13"/>
  <c r="M175" i="13"/>
  <c r="L175" i="13"/>
  <c r="K175" i="13"/>
  <c r="B157" i="4"/>
  <c r="G156" i="4"/>
  <c r="H157" i="4" s="1"/>
  <c r="AQ156" i="4" l="1"/>
  <c r="AJ156" i="4"/>
  <c r="AP156" i="4"/>
  <c r="AY156" i="4"/>
  <c r="AM156" i="4"/>
  <c r="AZ156" i="4" s="1"/>
  <c r="BG157" i="4"/>
  <c r="AD157" i="4"/>
  <c r="Q157" i="4"/>
  <c r="AI157" i="4"/>
  <c r="AV157" i="4" s="1"/>
  <c r="AC157" i="4"/>
  <c r="AH157" i="4"/>
  <c r="AU157" i="4" s="1"/>
  <c r="AG157" i="4"/>
  <c r="AT157" i="4" s="1"/>
  <c r="R157" i="4"/>
  <c r="BL156" i="4"/>
  <c r="BI156" i="4"/>
  <c r="BB157" i="4"/>
  <c r="BF157" i="4"/>
  <c r="BH157" i="4"/>
  <c r="BC157" i="4"/>
  <c r="N156" i="4"/>
  <c r="BK156" i="4" s="1"/>
  <c r="B158" i="4"/>
  <c r="G157" i="4"/>
  <c r="H158" i="4" s="1"/>
  <c r="L157" i="4"/>
  <c r="AL157" i="4" s="1"/>
  <c r="K157" i="4"/>
  <c r="Z157" i="4" s="1"/>
  <c r="D177" i="13"/>
  <c r="M157" i="4"/>
  <c r="F176" i="13"/>
  <c r="K176" i="13"/>
  <c r="L176" i="13"/>
  <c r="I176" i="13"/>
  <c r="M176" i="13"/>
  <c r="F7" i="3"/>
  <c r="F8" i="3"/>
  <c r="F9" i="3"/>
  <c r="F10" i="3"/>
  <c r="F11" i="3"/>
  <c r="AY157" i="4" l="1"/>
  <c r="AQ157" i="4"/>
  <c r="AM157" i="4"/>
  <c r="AZ157" i="4" s="1"/>
  <c r="AJ157" i="4"/>
  <c r="AW157" i="4" s="1"/>
  <c r="AP157" i="4"/>
  <c r="AW156" i="4"/>
  <c r="AI158" i="4"/>
  <c r="AV158" i="4" s="1"/>
  <c r="BG158" i="4"/>
  <c r="AD158" i="4"/>
  <c r="Q158" i="4"/>
  <c r="AH158" i="4"/>
  <c r="AU158" i="4" s="1"/>
  <c r="AG158" i="4"/>
  <c r="AT158" i="4" s="1"/>
  <c r="AC158" i="4"/>
  <c r="R158" i="4"/>
  <c r="BB158" i="4"/>
  <c r="BL158" i="4" s="1"/>
  <c r="BC158" i="4"/>
  <c r="BH158" i="4"/>
  <c r="BF158" i="4"/>
  <c r="BL157" i="4"/>
  <c r="BI157" i="4"/>
  <c r="N157" i="4"/>
  <c r="BK157" i="4" s="1"/>
  <c r="L158" i="4"/>
  <c r="AL158" i="4" s="1"/>
  <c r="D178" i="13"/>
  <c r="K158" i="4"/>
  <c r="Z158" i="4" s="1"/>
  <c r="M158" i="4"/>
  <c r="K177" i="13"/>
  <c r="I177" i="13"/>
  <c r="M177" i="13"/>
  <c r="L177" i="13"/>
  <c r="F177" i="13"/>
  <c r="B159" i="4"/>
  <c r="G158" i="4"/>
  <c r="H159" i="4" s="1"/>
  <c r="G7" i="3"/>
  <c r="G8" i="3"/>
  <c r="G9" i="3"/>
  <c r="G10" i="3"/>
  <c r="G11" i="3"/>
  <c r="F7" i="2"/>
  <c r="F8" i="2"/>
  <c r="H8" i="2" s="1"/>
  <c r="F9" i="2"/>
  <c r="F10" i="2"/>
  <c r="F11" i="2"/>
  <c r="AQ158" i="4" l="1"/>
  <c r="AY158" i="4"/>
  <c r="AM158" i="4"/>
  <c r="AZ158" i="4" s="1"/>
  <c r="AJ158" i="4"/>
  <c r="AW158" i="4" s="1"/>
  <c r="AP158" i="4"/>
  <c r="AH159" i="4"/>
  <c r="AU159" i="4" s="1"/>
  <c r="AI159" i="4"/>
  <c r="AV159" i="4" s="1"/>
  <c r="AC159" i="4"/>
  <c r="R159" i="4"/>
  <c r="AD159" i="4"/>
  <c r="Q159" i="4"/>
  <c r="BG159" i="4"/>
  <c r="AG159" i="4"/>
  <c r="AT159" i="4" s="1"/>
  <c r="BI158" i="4"/>
  <c r="BF159" i="4"/>
  <c r="BB159" i="4"/>
  <c r="BC159" i="4"/>
  <c r="BH159" i="4"/>
  <c r="B160" i="4"/>
  <c r="G159" i="4"/>
  <c r="H160" i="4" s="1"/>
  <c r="F178" i="13"/>
  <c r="M178" i="13"/>
  <c r="I178" i="13"/>
  <c r="L178" i="13"/>
  <c r="K178" i="13"/>
  <c r="N158" i="4"/>
  <c r="BK158" i="4" s="1"/>
  <c r="L159" i="4"/>
  <c r="AL159" i="4" s="1"/>
  <c r="K159" i="4"/>
  <c r="Z159" i="4" s="1"/>
  <c r="D179" i="13"/>
  <c r="M159" i="4"/>
  <c r="G9" i="2"/>
  <c r="H9" i="2"/>
  <c r="I9" i="2" s="1"/>
  <c r="G8" i="2"/>
  <c r="I8" i="2"/>
  <c r="G7" i="2"/>
  <c r="H7" i="2"/>
  <c r="I7" i="2" s="1"/>
  <c r="H11" i="2"/>
  <c r="I11" i="2" s="1"/>
  <c r="G11" i="2"/>
  <c r="H10" i="2"/>
  <c r="I10" i="2" s="1"/>
  <c r="G10" i="2"/>
  <c r="AY159" i="4" l="1"/>
  <c r="AQ159" i="4"/>
  <c r="AJ159" i="4"/>
  <c r="AW159" i="4" s="1"/>
  <c r="AP159" i="4"/>
  <c r="AG160" i="4"/>
  <c r="AT160" i="4" s="1"/>
  <c r="AH160" i="4"/>
  <c r="AU160" i="4" s="1"/>
  <c r="AC160" i="4"/>
  <c r="R160" i="4"/>
  <c r="BG160" i="4"/>
  <c r="Q160" i="4"/>
  <c r="AI160" i="4"/>
  <c r="AV160" i="4" s="1"/>
  <c r="AD160" i="4"/>
  <c r="AM159" i="4"/>
  <c r="AZ159" i="4" s="1"/>
  <c r="BF160" i="4"/>
  <c r="BB160" i="4"/>
  <c r="BH160" i="4"/>
  <c r="BC160" i="4"/>
  <c r="BI159" i="4"/>
  <c r="BL159" i="4"/>
  <c r="N159" i="4"/>
  <c r="BK159" i="4" s="1"/>
  <c r="M179" i="13"/>
  <c r="L179" i="13"/>
  <c r="K179" i="13"/>
  <c r="I179" i="13"/>
  <c r="F179" i="13"/>
  <c r="L160" i="4"/>
  <c r="AL160" i="4" s="1"/>
  <c r="D180" i="13"/>
  <c r="K160" i="4"/>
  <c r="Z160" i="4" s="1"/>
  <c r="M160" i="4"/>
  <c r="B161" i="4"/>
  <c r="G160" i="4"/>
  <c r="H161" i="4" s="1"/>
  <c r="AY160" i="4" l="1"/>
  <c r="AJ160" i="4"/>
  <c r="AW160" i="4" s="1"/>
  <c r="AP160" i="4"/>
  <c r="AQ160" i="4"/>
  <c r="AM160" i="4"/>
  <c r="AZ160" i="4" s="1"/>
  <c r="BG161" i="4"/>
  <c r="AI161" i="4"/>
  <c r="AV161" i="4" s="1"/>
  <c r="AG161" i="4"/>
  <c r="AT161" i="4" s="1"/>
  <c r="AD161" i="4"/>
  <c r="Q161" i="4"/>
  <c r="AC161" i="4"/>
  <c r="AH161" i="4"/>
  <c r="AU161" i="4" s="1"/>
  <c r="R161" i="4"/>
  <c r="AQ161" i="4" s="1"/>
  <c r="BB161" i="4"/>
  <c r="BH161" i="4"/>
  <c r="BF161" i="4"/>
  <c r="BC161" i="4"/>
  <c r="BL160" i="4"/>
  <c r="BI160" i="4"/>
  <c r="N160" i="4"/>
  <c r="BK160" i="4" s="1"/>
  <c r="D181" i="13"/>
  <c r="K161" i="4"/>
  <c r="Z161" i="4" s="1"/>
  <c r="L161" i="4"/>
  <c r="AL161" i="4" s="1"/>
  <c r="M161" i="4"/>
  <c r="I180" i="13"/>
  <c r="M180" i="13"/>
  <c r="L180" i="13"/>
  <c r="K180" i="13"/>
  <c r="F180" i="13"/>
  <c r="B162" i="4"/>
  <c r="G161" i="4"/>
  <c r="H162" i="4" s="1"/>
  <c r="AY161" i="4" l="1"/>
  <c r="AJ161" i="4"/>
  <c r="AW161" i="4" s="1"/>
  <c r="AP161" i="4"/>
  <c r="AI162" i="4"/>
  <c r="AV162" i="4" s="1"/>
  <c r="BG162" i="4"/>
  <c r="AH162" i="4"/>
  <c r="AU162" i="4" s="1"/>
  <c r="AG162" i="4"/>
  <c r="AT162" i="4" s="1"/>
  <c r="AD162" i="4"/>
  <c r="Q162" i="4"/>
  <c r="AC162" i="4"/>
  <c r="R162" i="4"/>
  <c r="AM161" i="4"/>
  <c r="AZ161" i="4" s="1"/>
  <c r="BF162" i="4"/>
  <c r="BB162" i="4"/>
  <c r="BL162" i="4" s="1"/>
  <c r="BH162" i="4"/>
  <c r="BC162" i="4"/>
  <c r="BL161" i="4"/>
  <c r="BI161" i="4"/>
  <c r="D182" i="13"/>
  <c r="L162" i="4"/>
  <c r="AL162" i="4" s="1"/>
  <c r="K162" i="4"/>
  <c r="Z162" i="4" s="1"/>
  <c r="M162" i="4"/>
  <c r="F12" i="3" s="1"/>
  <c r="B163" i="4"/>
  <c r="G162" i="4"/>
  <c r="H163" i="4" s="1"/>
  <c r="N161" i="4"/>
  <c r="BK161" i="4" s="1"/>
  <c r="L181" i="13"/>
  <c r="M181" i="13"/>
  <c r="K181" i="13"/>
  <c r="I181" i="13"/>
  <c r="F181" i="13"/>
  <c r="AQ162" i="4" l="1"/>
  <c r="AY162" i="4"/>
  <c r="AJ162" i="4"/>
  <c r="AW162" i="4" s="1"/>
  <c r="AP162" i="4"/>
  <c r="AM162" i="4"/>
  <c r="AZ162" i="4" s="1"/>
  <c r="AH163" i="4"/>
  <c r="AU163" i="4" s="1"/>
  <c r="AI163" i="4"/>
  <c r="AV163" i="4" s="1"/>
  <c r="AC163" i="4"/>
  <c r="R163" i="4"/>
  <c r="AG163" i="4"/>
  <c r="AT163" i="4" s="1"/>
  <c r="AD163" i="4"/>
  <c r="Q163" i="4"/>
  <c r="BG163" i="4"/>
  <c r="BF163" i="4"/>
  <c r="BC163" i="4"/>
  <c r="BH163" i="4"/>
  <c r="BB163" i="4"/>
  <c r="BI162" i="4"/>
  <c r="N162" i="4"/>
  <c r="BK162" i="4" s="1"/>
  <c r="D183" i="13"/>
  <c r="L163" i="4"/>
  <c r="AL163" i="4" s="1"/>
  <c r="K163" i="4"/>
  <c r="Z163" i="4" s="1"/>
  <c r="M163" i="4"/>
  <c r="B164" i="4"/>
  <c r="G163" i="4"/>
  <c r="H164" i="4" s="1"/>
  <c r="K182" i="13"/>
  <c r="I182" i="13"/>
  <c r="M182" i="13"/>
  <c r="F182" i="13"/>
  <c r="L182" i="13"/>
  <c r="AQ163" i="4" l="1"/>
  <c r="AM163" i="4"/>
  <c r="AZ163" i="4" s="1"/>
  <c r="AP163" i="4"/>
  <c r="AJ163" i="4"/>
  <c r="AW163" i="4" s="1"/>
  <c r="AY163" i="4"/>
  <c r="AG164" i="4"/>
  <c r="AT164" i="4" s="1"/>
  <c r="AH164" i="4"/>
  <c r="AU164" i="4" s="1"/>
  <c r="BG164" i="4"/>
  <c r="AI164" i="4"/>
  <c r="AV164" i="4" s="1"/>
  <c r="AC164" i="4"/>
  <c r="R164" i="4"/>
  <c r="AD164" i="4"/>
  <c r="Q164" i="4"/>
  <c r="BL163" i="4"/>
  <c r="BI163" i="4"/>
  <c r="BF164" i="4"/>
  <c r="BC164" i="4"/>
  <c r="BH164" i="4"/>
  <c r="BB164" i="4"/>
  <c r="D184" i="13"/>
  <c r="L164" i="4"/>
  <c r="AL164" i="4" s="1"/>
  <c r="K164" i="4"/>
  <c r="Z164" i="4" s="1"/>
  <c r="M164" i="4"/>
  <c r="B165" i="4"/>
  <c r="G164" i="4"/>
  <c r="H165" i="4" s="1"/>
  <c r="I183" i="13"/>
  <c r="F183" i="13"/>
  <c r="M183" i="13"/>
  <c r="L183" i="13"/>
  <c r="K183" i="13"/>
  <c r="G12" i="3"/>
  <c r="F12" i="2"/>
  <c r="N163" i="4"/>
  <c r="BK163" i="4" s="1"/>
  <c r="AQ164" i="4" l="1"/>
  <c r="AM164" i="4"/>
  <c r="AZ164" i="4" s="1"/>
  <c r="AJ164" i="4"/>
  <c r="AW164" i="4" s="1"/>
  <c r="AP164" i="4"/>
  <c r="AY164" i="4"/>
  <c r="BG165" i="4"/>
  <c r="AD165" i="4"/>
  <c r="Q165" i="4"/>
  <c r="AC165" i="4"/>
  <c r="AH165" i="4"/>
  <c r="AU165" i="4" s="1"/>
  <c r="AI165" i="4"/>
  <c r="AV165" i="4" s="1"/>
  <c r="R165" i="4"/>
  <c r="AG165" i="4"/>
  <c r="AT165" i="4" s="1"/>
  <c r="BL164" i="4"/>
  <c r="BI164" i="4"/>
  <c r="BF165" i="4"/>
  <c r="BC165" i="4"/>
  <c r="BH165" i="4"/>
  <c r="BB165" i="4"/>
  <c r="N164" i="4"/>
  <c r="BK164" i="4" s="1"/>
  <c r="H12" i="2"/>
  <c r="G12" i="2"/>
  <c r="D185" i="13"/>
  <c r="L165" i="4"/>
  <c r="AL165" i="4" s="1"/>
  <c r="K165" i="4"/>
  <c r="Z165" i="4" s="1"/>
  <c r="M165" i="4"/>
  <c r="B166" i="4"/>
  <c r="G165" i="4"/>
  <c r="H166" i="4" s="1"/>
  <c r="L184" i="13"/>
  <c r="I184" i="13"/>
  <c r="F184" i="13"/>
  <c r="M184" i="13"/>
  <c r="K184" i="13"/>
  <c r="AQ165" i="4" l="1"/>
  <c r="AY165" i="4"/>
  <c r="AJ165" i="4"/>
  <c r="AW165" i="4" s="1"/>
  <c r="AP165" i="4"/>
  <c r="AM165" i="4"/>
  <c r="AZ165" i="4" s="1"/>
  <c r="AI166" i="4"/>
  <c r="AV166" i="4" s="1"/>
  <c r="BG166" i="4"/>
  <c r="AG166" i="4"/>
  <c r="AT166" i="4" s="1"/>
  <c r="AH166" i="4"/>
  <c r="AU166" i="4" s="1"/>
  <c r="AD166" i="4"/>
  <c r="Q166" i="4"/>
  <c r="AC166" i="4"/>
  <c r="R166" i="4"/>
  <c r="BL165" i="4"/>
  <c r="BI165" i="4"/>
  <c r="BC166" i="4"/>
  <c r="BH166" i="4"/>
  <c r="BF166" i="4"/>
  <c r="BB166" i="4"/>
  <c r="BL166" i="4" s="1"/>
  <c r="L166" i="4"/>
  <c r="AL166" i="4" s="1"/>
  <c r="D186" i="13"/>
  <c r="K166" i="4"/>
  <c r="Z166" i="4" s="1"/>
  <c r="M166" i="4"/>
  <c r="N165" i="4"/>
  <c r="BK165" i="4" s="1"/>
  <c r="B167" i="4"/>
  <c r="G166" i="4"/>
  <c r="H167" i="4" s="1"/>
  <c r="I12" i="2"/>
  <c r="I185" i="13"/>
  <c r="F185" i="13"/>
  <c r="L185" i="13"/>
  <c r="M185" i="13"/>
  <c r="K185" i="13"/>
  <c r="AQ166" i="4" l="1"/>
  <c r="AJ166" i="4"/>
  <c r="AW166" i="4" s="1"/>
  <c r="AP166" i="4"/>
  <c r="AY166" i="4"/>
  <c r="AM166" i="4"/>
  <c r="AZ166" i="4" s="1"/>
  <c r="AH167" i="4"/>
  <c r="AU167" i="4" s="1"/>
  <c r="AI167" i="4"/>
  <c r="AV167" i="4" s="1"/>
  <c r="AC167" i="4"/>
  <c r="R167" i="4"/>
  <c r="Q167" i="4"/>
  <c r="BG167" i="4"/>
  <c r="AG167" i="4"/>
  <c r="AT167" i="4" s="1"/>
  <c r="AD167" i="4"/>
  <c r="BI166" i="4"/>
  <c r="BF167" i="4"/>
  <c r="BB167" i="4"/>
  <c r="BC167" i="4"/>
  <c r="BH167" i="4"/>
  <c r="N166" i="4"/>
  <c r="BK166" i="4" s="1"/>
  <c r="L186" i="13"/>
  <c r="I186" i="13"/>
  <c r="K186" i="13"/>
  <c r="M186" i="13"/>
  <c r="F186" i="13"/>
  <c r="L167" i="4"/>
  <c r="AL167" i="4" s="1"/>
  <c r="D187" i="13"/>
  <c r="K167" i="4"/>
  <c r="Z167" i="4" s="1"/>
  <c r="M167" i="4"/>
  <c r="B168" i="4"/>
  <c r="G167" i="4"/>
  <c r="H168" i="4" s="1"/>
  <c r="AQ167" i="4" l="1"/>
  <c r="AY167" i="4"/>
  <c r="AJ167" i="4"/>
  <c r="AW167" i="4" s="1"/>
  <c r="AP167" i="4"/>
  <c r="AM167" i="4"/>
  <c r="AZ167" i="4" s="1"/>
  <c r="AG168" i="4"/>
  <c r="AT168" i="4" s="1"/>
  <c r="AH168" i="4"/>
  <c r="AU168" i="4" s="1"/>
  <c r="BG168" i="4"/>
  <c r="AC168" i="4"/>
  <c r="R168" i="4"/>
  <c r="AI168" i="4"/>
  <c r="AV168" i="4" s="1"/>
  <c r="Q168" i="4"/>
  <c r="AD168" i="4"/>
  <c r="BI167" i="4"/>
  <c r="BL167" i="4"/>
  <c r="BF168" i="4"/>
  <c r="BC168" i="4"/>
  <c r="BH168" i="4"/>
  <c r="BB168" i="4"/>
  <c r="N167" i="4"/>
  <c r="BK167" i="4" s="1"/>
  <c r="K168" i="4"/>
  <c r="Z168" i="4" s="1"/>
  <c r="D188" i="13"/>
  <c r="L168" i="4"/>
  <c r="AL168" i="4" s="1"/>
  <c r="M168" i="4"/>
  <c r="L187" i="13"/>
  <c r="I187" i="13"/>
  <c r="K187" i="13"/>
  <c r="F187" i="13"/>
  <c r="M187" i="13"/>
  <c r="B169" i="4"/>
  <c r="G168" i="4"/>
  <c r="H169" i="4" s="1"/>
  <c r="AM168" i="4" l="1"/>
  <c r="AZ168" i="4" s="1"/>
  <c r="AJ168" i="4"/>
  <c r="AW168" i="4" s="1"/>
  <c r="AP168" i="4"/>
  <c r="AQ168" i="4"/>
  <c r="AY168" i="4"/>
  <c r="BG169" i="4"/>
  <c r="AI169" i="4"/>
  <c r="AV169" i="4" s="1"/>
  <c r="AD169" i="4"/>
  <c r="Q169" i="4"/>
  <c r="AG169" i="4"/>
  <c r="AT169" i="4" s="1"/>
  <c r="AC169" i="4"/>
  <c r="R169" i="4"/>
  <c r="AH169" i="4"/>
  <c r="AU169" i="4" s="1"/>
  <c r="BF169" i="4"/>
  <c r="BC169" i="4"/>
  <c r="BH169" i="4"/>
  <c r="BB169" i="4"/>
  <c r="BI168" i="4"/>
  <c r="BL168" i="4"/>
  <c r="N168" i="4"/>
  <c r="BK168" i="4" s="1"/>
  <c r="B170" i="4"/>
  <c r="G169" i="4"/>
  <c r="H170" i="4" s="1"/>
  <c r="L188" i="13"/>
  <c r="I188" i="13"/>
  <c r="K188" i="13"/>
  <c r="M188" i="13"/>
  <c r="F188" i="13"/>
  <c r="K169" i="4"/>
  <c r="Z169" i="4" s="1"/>
  <c r="L169" i="4"/>
  <c r="AL169" i="4" s="1"/>
  <c r="D189" i="13"/>
  <c r="M169" i="4"/>
  <c r="AQ169" i="4" l="1"/>
  <c r="AY169" i="4"/>
  <c r="AM169" i="4"/>
  <c r="AZ169" i="4" s="1"/>
  <c r="AJ169" i="4"/>
  <c r="AW169" i="4" s="1"/>
  <c r="AP169" i="4"/>
  <c r="AI170" i="4"/>
  <c r="AV170" i="4" s="1"/>
  <c r="BG170" i="4"/>
  <c r="AH170" i="4"/>
  <c r="AU170" i="4" s="1"/>
  <c r="AD170" i="4"/>
  <c r="Q170" i="4"/>
  <c r="AG170" i="4"/>
  <c r="AT170" i="4" s="1"/>
  <c r="R170" i="4"/>
  <c r="AC170" i="4"/>
  <c r="BL169" i="4"/>
  <c r="BI169" i="4"/>
  <c r="BF170" i="4"/>
  <c r="BC170" i="4"/>
  <c r="BH170" i="4"/>
  <c r="BB170" i="4"/>
  <c r="BL170" i="4" s="1"/>
  <c r="N169" i="4"/>
  <c r="BK169" i="4" s="1"/>
  <c r="F189" i="13"/>
  <c r="M189" i="13"/>
  <c r="K189" i="13"/>
  <c r="L189" i="13"/>
  <c r="I189" i="13"/>
  <c r="D190" i="13"/>
  <c r="L170" i="4"/>
  <c r="AL170" i="4" s="1"/>
  <c r="K170" i="4"/>
  <c r="Z170" i="4" s="1"/>
  <c r="M170" i="4"/>
  <c r="B171" i="4"/>
  <c r="G170" i="4"/>
  <c r="H171" i="4" s="1"/>
  <c r="AQ170" i="4" l="1"/>
  <c r="AY170" i="4"/>
  <c r="AJ170" i="4"/>
  <c r="AW170" i="4" s="1"/>
  <c r="AP170" i="4"/>
  <c r="AH171" i="4"/>
  <c r="AU171" i="4" s="1"/>
  <c r="AI171" i="4"/>
  <c r="AV171" i="4" s="1"/>
  <c r="AG171" i="4"/>
  <c r="AT171" i="4" s="1"/>
  <c r="AC171" i="4"/>
  <c r="R171" i="4"/>
  <c r="AD171" i="4"/>
  <c r="Q171" i="4"/>
  <c r="BG171" i="4"/>
  <c r="AM170" i="4"/>
  <c r="AZ170" i="4" s="1"/>
  <c r="BI170" i="4"/>
  <c r="BC171" i="4"/>
  <c r="BH171" i="4"/>
  <c r="BB171" i="4"/>
  <c r="BF171" i="4"/>
  <c r="B172" i="4"/>
  <c r="G171" i="4"/>
  <c r="H172" i="4" s="1"/>
  <c r="M190" i="13"/>
  <c r="I190" i="13"/>
  <c r="L190" i="13"/>
  <c r="K190" i="13"/>
  <c r="F190" i="13"/>
  <c r="N170" i="4"/>
  <c r="BK170" i="4" s="1"/>
  <c r="D191" i="13"/>
  <c r="L171" i="4"/>
  <c r="AL171" i="4" s="1"/>
  <c r="K171" i="4"/>
  <c r="Z171" i="4" s="1"/>
  <c r="M171" i="4"/>
  <c r="AQ171" i="4" l="1"/>
  <c r="AY171" i="4"/>
  <c r="AJ171" i="4"/>
  <c r="AW171" i="4" s="1"/>
  <c r="AP171" i="4"/>
  <c r="AG172" i="4"/>
  <c r="AT172" i="4" s="1"/>
  <c r="AH172" i="4"/>
  <c r="AU172" i="4" s="1"/>
  <c r="BG172" i="4"/>
  <c r="AI172" i="4"/>
  <c r="AV172" i="4" s="1"/>
  <c r="AC172" i="4"/>
  <c r="R172" i="4"/>
  <c r="Q172" i="4"/>
  <c r="AD172" i="4"/>
  <c r="AM171" i="4"/>
  <c r="AZ171" i="4" s="1"/>
  <c r="BF172" i="4"/>
  <c r="BC172" i="4"/>
  <c r="BH172" i="4"/>
  <c r="BB172" i="4"/>
  <c r="BL171" i="4"/>
  <c r="BI171" i="4"/>
  <c r="N171" i="4"/>
  <c r="BK171" i="4" s="1"/>
  <c r="K172" i="4"/>
  <c r="Z172" i="4" s="1"/>
  <c r="D192" i="13"/>
  <c r="L172" i="4"/>
  <c r="AL172" i="4" s="1"/>
  <c r="M172" i="4"/>
  <c r="M191" i="13"/>
  <c r="K191" i="13"/>
  <c r="L191" i="13"/>
  <c r="I191" i="13"/>
  <c r="F191" i="13"/>
  <c r="B173" i="4"/>
  <c r="G172" i="4"/>
  <c r="H173" i="4" s="1"/>
  <c r="AY172" i="4" l="1"/>
  <c r="AQ172" i="4"/>
  <c r="AJ172" i="4"/>
  <c r="AW172" i="4" s="1"/>
  <c r="AP172" i="4"/>
  <c r="AM172" i="4"/>
  <c r="AZ172" i="4" s="1"/>
  <c r="BG173" i="4"/>
  <c r="AD173" i="4"/>
  <c r="Q173" i="4"/>
  <c r="AI173" i="4"/>
  <c r="AC173" i="4"/>
  <c r="AH173" i="4"/>
  <c r="AG173" i="4"/>
  <c r="R173" i="4"/>
  <c r="BF173" i="4"/>
  <c r="BC173" i="4"/>
  <c r="BH173" i="4"/>
  <c r="BB173" i="4"/>
  <c r="BL172" i="4"/>
  <c r="BI172" i="4"/>
  <c r="N172" i="4"/>
  <c r="BK172" i="4" s="1"/>
  <c r="D193" i="13"/>
  <c r="K173" i="4"/>
  <c r="Z173" i="4" s="1"/>
  <c r="L173" i="4"/>
  <c r="AL173" i="4" s="1"/>
  <c r="M173" i="4"/>
  <c r="F13" i="3" s="1"/>
  <c r="F14" i="3" s="1"/>
  <c r="F15" i="3" s="1"/>
  <c r="B174" i="4"/>
  <c r="G173" i="4"/>
  <c r="M192" i="13"/>
  <c r="F192" i="13"/>
  <c r="K192" i="13"/>
  <c r="L192" i="13"/>
  <c r="I192" i="13"/>
  <c r="AY173" i="4" l="1"/>
  <c r="AS9" i="2" s="1"/>
  <c r="U8" i="2"/>
  <c r="U9" i="2"/>
  <c r="Q27" i="3" s="1"/>
  <c r="U10" i="2"/>
  <c r="U11" i="2"/>
  <c r="U12" i="2"/>
  <c r="X8" i="2"/>
  <c r="X9" i="2"/>
  <c r="R18" i="3" s="1"/>
  <c r="X10" i="2"/>
  <c r="X11" i="2"/>
  <c r="X12" i="2"/>
  <c r="AQ173" i="4"/>
  <c r="M8" i="2"/>
  <c r="M9" i="2"/>
  <c r="Q19" i="3" s="1"/>
  <c r="M10" i="2"/>
  <c r="M11" i="2"/>
  <c r="M12" i="2"/>
  <c r="AV173" i="4"/>
  <c r="AD8" i="2"/>
  <c r="AD9" i="2"/>
  <c r="R24" i="3" s="1"/>
  <c r="S24" i="3" s="1"/>
  <c r="AD10" i="2"/>
  <c r="AD11" i="2"/>
  <c r="AD12" i="2"/>
  <c r="AT173" i="4"/>
  <c r="AB8" i="2"/>
  <c r="AB9" i="2"/>
  <c r="R22" i="3" s="1"/>
  <c r="S22" i="3" s="1"/>
  <c r="AB10" i="2"/>
  <c r="AB11" i="2"/>
  <c r="AB12" i="2"/>
  <c r="AJ173" i="4"/>
  <c r="AP173" i="4"/>
  <c r="L8" i="2"/>
  <c r="L9" i="2"/>
  <c r="Q18" i="3" s="1"/>
  <c r="L10" i="2"/>
  <c r="L11" i="2"/>
  <c r="L12" i="2"/>
  <c r="AG8" i="2"/>
  <c r="AG9" i="2"/>
  <c r="AG10" i="2"/>
  <c r="AG11" i="2"/>
  <c r="AG12" i="2"/>
  <c r="AU173" i="4"/>
  <c r="AO9" i="2" s="1"/>
  <c r="AC8" i="2"/>
  <c r="AC9" i="2"/>
  <c r="R23" i="3" s="1"/>
  <c r="S23" i="3" s="1"/>
  <c r="AC10" i="2"/>
  <c r="AC11" i="2"/>
  <c r="AC12" i="2"/>
  <c r="Y8" i="2"/>
  <c r="Y9" i="2"/>
  <c r="R19" i="3" s="1"/>
  <c r="S19" i="3" s="1"/>
  <c r="Y10" i="2"/>
  <c r="Y11" i="2"/>
  <c r="Y12" i="2"/>
  <c r="AM173" i="4"/>
  <c r="AW8" i="2"/>
  <c r="AW9" i="2"/>
  <c r="AW10" i="2"/>
  <c r="AW11" i="2"/>
  <c r="AW12" i="2"/>
  <c r="BA8" i="2"/>
  <c r="BA9" i="2"/>
  <c r="BA10" i="2"/>
  <c r="BA11" i="2"/>
  <c r="BA12" i="2"/>
  <c r="BB8" i="2"/>
  <c r="BB9" i="2"/>
  <c r="BB10" i="2"/>
  <c r="BB11" i="2"/>
  <c r="BB12" i="2"/>
  <c r="BL173" i="4"/>
  <c r="BI173" i="4"/>
  <c r="AV8" i="2"/>
  <c r="AV9" i="2"/>
  <c r="AV10" i="2"/>
  <c r="AV11" i="2"/>
  <c r="AV12" i="2"/>
  <c r="AZ8" i="2"/>
  <c r="AZ9" i="2"/>
  <c r="AZ10" i="2"/>
  <c r="AZ11" i="2"/>
  <c r="AZ12" i="2"/>
  <c r="E7" i="3"/>
  <c r="E8" i="3"/>
  <c r="E9" i="3"/>
  <c r="E10" i="3"/>
  <c r="E11" i="3"/>
  <c r="E12" i="3"/>
  <c r="E13" i="3"/>
  <c r="D7" i="3"/>
  <c r="D8" i="3"/>
  <c r="D9" i="3"/>
  <c r="D10" i="3"/>
  <c r="D11" i="3"/>
  <c r="N173" i="4"/>
  <c r="D12" i="3"/>
  <c r="D13" i="3"/>
  <c r="K193" i="13"/>
  <c r="K195" i="13" s="1"/>
  <c r="M193" i="13"/>
  <c r="M195" i="13" s="1"/>
  <c r="L193" i="13"/>
  <c r="L195" i="13" s="1"/>
  <c r="F193" i="13"/>
  <c r="F195" i="13" s="1"/>
  <c r="I193" i="13"/>
  <c r="S18" i="3" l="1"/>
  <c r="L42" i="3"/>
  <c r="X23" i="3"/>
  <c r="Y23" i="3" s="1"/>
  <c r="X27" i="3"/>
  <c r="Y27" i="3" s="1"/>
  <c r="R30" i="7"/>
  <c r="O30" i="7"/>
  <c r="AN8" i="2"/>
  <c r="M41" i="3" s="1"/>
  <c r="AN9" i="2"/>
  <c r="AN10" i="2"/>
  <c r="AN11" i="2"/>
  <c r="AN12" i="2"/>
  <c r="AK8" i="2"/>
  <c r="M38" i="3" s="1"/>
  <c r="AK9" i="2"/>
  <c r="AK10" i="2"/>
  <c r="AK11" i="2"/>
  <c r="AK12" i="2"/>
  <c r="AJ8" i="2"/>
  <c r="M37" i="3" s="1"/>
  <c r="AJ9" i="2"/>
  <c r="AJ10" i="2"/>
  <c r="AJ11" i="2"/>
  <c r="AJ12" i="2"/>
  <c r="AO8" i="2"/>
  <c r="M42" i="3" s="1"/>
  <c r="AO10" i="2"/>
  <c r="AO11" i="2"/>
  <c r="AO12" i="2"/>
  <c r="AW173" i="4"/>
  <c r="AQ9" i="2" s="1"/>
  <c r="X25" i="3" s="1"/>
  <c r="Y25" i="3" s="1"/>
  <c r="AE8" i="2"/>
  <c r="AE9" i="2"/>
  <c r="R25" i="3" s="1"/>
  <c r="S25" i="3" s="1"/>
  <c r="AE10" i="2"/>
  <c r="AE11" i="2"/>
  <c r="AE12" i="2"/>
  <c r="AP8" i="2"/>
  <c r="M43" i="3" s="1"/>
  <c r="AP9" i="2"/>
  <c r="AP10" i="2"/>
  <c r="AP11" i="2"/>
  <c r="AP12" i="2"/>
  <c r="AZ173" i="4"/>
  <c r="AH8" i="2"/>
  <c r="AH9" i="2"/>
  <c r="R28" i="3" s="1"/>
  <c r="S28" i="3" s="1"/>
  <c r="AH10" i="2"/>
  <c r="AH11" i="2"/>
  <c r="AH12" i="2"/>
  <c r="AS8" i="2"/>
  <c r="M46" i="3" s="1"/>
  <c r="L46" i="3"/>
  <c r="AS10" i="2"/>
  <c r="AS11" i="2"/>
  <c r="AS12" i="2"/>
  <c r="BK173" i="4"/>
  <c r="BE8" i="2"/>
  <c r="BE9" i="2"/>
  <c r="BE10" i="2"/>
  <c r="BE11" i="2"/>
  <c r="BE12" i="2"/>
  <c r="BF8" i="2"/>
  <c r="BF9" i="2"/>
  <c r="BF10" i="2"/>
  <c r="BF11" i="2"/>
  <c r="BF12" i="2"/>
  <c r="BC8" i="2"/>
  <c r="BC9" i="2"/>
  <c r="BC10" i="2"/>
  <c r="BC11" i="2"/>
  <c r="BC12" i="2"/>
  <c r="D14" i="3"/>
  <c r="D15" i="3" s="1"/>
  <c r="G13" i="3"/>
  <c r="G14" i="3" s="1"/>
  <c r="G15" i="3" s="1"/>
  <c r="F13" i="2"/>
  <c r="E14" i="3"/>
  <c r="E15" i="3" s="1"/>
  <c r="L37" i="3" l="1"/>
  <c r="X18" i="3"/>
  <c r="L43" i="3"/>
  <c r="X24" i="3"/>
  <c r="Y24" i="3" s="1"/>
  <c r="L38" i="3"/>
  <c r="X19" i="3"/>
  <c r="Y19" i="3" s="1"/>
  <c r="L41" i="3"/>
  <c r="X22" i="3"/>
  <c r="Y22" i="3" s="1"/>
  <c r="AT8" i="2"/>
  <c r="M47" i="3" s="1"/>
  <c r="AT9" i="2"/>
  <c r="AT10" i="2"/>
  <c r="AT11" i="2"/>
  <c r="AT12" i="2"/>
  <c r="AQ8" i="2"/>
  <c r="M44" i="3" s="1"/>
  <c r="L44" i="3"/>
  <c r="AQ10" i="2"/>
  <c r="AQ11" i="2"/>
  <c r="AQ12" i="2"/>
  <c r="G13" i="2"/>
  <c r="H13" i="2"/>
  <c r="F15" i="2"/>
  <c r="L47" i="3" l="1"/>
  <c r="X28" i="3"/>
  <c r="Y28" i="3" s="1"/>
  <c r="I13" i="2"/>
  <c r="H15" i="2"/>
  <c r="G15" i="2"/>
  <c r="G14" i="2"/>
  <c r="I15" i="2" l="1"/>
  <c r="I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tc={CAE5E70B-0AE4-4A89-B6A3-4C953AC735BF}</author>
  </authors>
  <commentList>
    <comment ref="B65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60 month (12*5)= 5 years in which the first sold filter come to its retirement stage.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Chanvibol Meng</author>
  </authors>
  <commentList>
    <comment ref="D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only to calculate the ER per unit. Usage is factored into the calculations in the "Units per Month" tab.</t>
        </r>
      </text>
    </comment>
    <comment ref="D16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This is only to calculate the ER per unit. Water quality passed rate  is factored into the calculations in the "Units per Month" tab.</t>
        </r>
      </text>
    </comment>
    <comment ref="D33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Added for tpddtec ver 3.0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Chanvibol Meng</author>
  </authors>
  <commentList>
    <comment ref="I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This is made to 0% for a conservative calculation purpose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30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HSE HH MP5 Sales Database</t>
        </r>
      </text>
    </comment>
  </commentList>
</comments>
</file>

<file path=xl/sharedStrings.xml><?xml version="1.0" encoding="utf-8"?>
<sst xmlns="http://schemas.openxmlformats.org/spreadsheetml/2006/main" count="1797" uniqueCount="805">
  <si>
    <t xml:space="preserve">Where: </t>
  </si>
  <si>
    <t>Number of person.days consuming water supplied by project scenario p through year y</t>
  </si>
  <si>
    <t>Expressed as a percentage, this is the portion of users of the project technology j who in the baseline were already consuming safe water without boiling it</t>
  </si>
  <si>
    <t>Quantity of safe water in litres consumed in the project scenario p and supplied by project technology per person per day</t>
  </si>
  <si>
    <t>Quantity of raw water boiled in the project scenario p per person per day</t>
  </si>
  <si>
    <t>Project Scenario Fuel Consumption Calculation</t>
  </si>
  <si>
    <t>Where:</t>
  </si>
  <si>
    <t>Quantity of fuel consumed in project scenario p during the year y in tons</t>
  </si>
  <si>
    <t>Quantity of safe water boiled in the project scenario p per person per day</t>
  </si>
  <si>
    <t>Quantity of wood fuel or fossil fuel in tons required to treat 1 litre of water per day using technologies representative of the project scenario p during project year y</t>
  </si>
  <si>
    <t>Emission Reductions</t>
  </si>
  <si>
    <t>Quantity of fuel consumed in baseline scenario b during year y, in tons, as per by-default factors</t>
  </si>
  <si>
    <t xml:space="preserve">Fraction of biomass used during year y for the considered scenario that can be established as non-renewable biomass </t>
  </si>
  <si>
    <t>Net calorific value of the fuel that is substituted or reduced (IPCC default for wood fuel,0.015TJ/ton)</t>
  </si>
  <si>
    <t>Cumulative usage rate for technologies in project scenario p during year y, based on cumulative installation rate and drop off rate</t>
  </si>
  <si>
    <t>Baseline Scenario</t>
  </si>
  <si>
    <t>Quantity of charcoal in tons required to treat 1 litre of water using technologies representative of baseline scenario b during project year y, as per Baseline Water Boiling Test</t>
  </si>
  <si>
    <t>Wood</t>
  </si>
  <si>
    <t>Charcoal</t>
  </si>
  <si>
    <t>Quantity of raw or unsafe water boiled in the project scenario p per person per day</t>
  </si>
  <si>
    <r>
      <t>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</t>
    </r>
  </si>
  <si>
    <r>
      <t>Q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</t>
    </r>
  </si>
  <si>
    <r>
      <t>Q</t>
    </r>
    <r>
      <rPr>
        <vertAlign val="subscript"/>
        <sz val="11"/>
        <color theme="1"/>
        <rFont val="Calibri"/>
        <family val="2"/>
        <scheme val="minor"/>
      </rPr>
      <t>p,rawboil,y</t>
    </r>
  </si>
  <si>
    <r>
      <t>B</t>
    </r>
    <r>
      <rPr>
        <vertAlign val="subscript"/>
        <sz val="11"/>
        <color theme="1"/>
        <rFont val="Calibri"/>
        <family val="2"/>
        <scheme val="minor"/>
      </rPr>
      <t>p,j</t>
    </r>
    <r>
      <rPr>
        <sz val="11"/>
        <color theme="1"/>
        <rFont val="Calibri"/>
        <family val="2"/>
        <scheme val="minor"/>
      </rPr>
      <t xml:space="preserve"> = Number of person.days * Project Fuel used to boil water (T/L) * Total volume of water boiled in project scenario (L/p/d)</t>
    </r>
  </si>
  <si>
    <r>
      <t>N</t>
    </r>
    <r>
      <rPr>
        <vertAlign val="subscript"/>
        <sz val="11"/>
        <color theme="1"/>
        <rFont val="Calibri"/>
        <family val="2"/>
        <scheme val="minor"/>
      </rPr>
      <t>p,y</t>
    </r>
  </si>
  <si>
    <r>
      <t>C</t>
    </r>
    <r>
      <rPr>
        <vertAlign val="subscript"/>
        <sz val="11"/>
        <color theme="1"/>
        <rFont val="Calibri"/>
        <family val="2"/>
        <scheme val="minor"/>
      </rPr>
      <t>j</t>
    </r>
  </si>
  <si>
    <r>
      <t>Expressed as a percentage, this is the portion of users of the project technology j</t>
    </r>
    <r>
      <rPr>
        <i/>
        <sz val="11"/>
        <color theme="1"/>
        <rFont val="Calibri"/>
        <family val="2"/>
        <scheme val="minor"/>
      </rPr>
      <t xml:space="preserve"> or who in the baseline were already consuming safe water without boiling it</t>
    </r>
  </si>
  <si>
    <r>
      <t>Q</t>
    </r>
    <r>
      <rPr>
        <vertAlign val="subscript"/>
        <sz val="11"/>
        <color theme="1"/>
        <rFont val="Calibri"/>
        <family val="2"/>
        <scheme val="minor"/>
      </rPr>
      <t>p,cleanboil,y</t>
    </r>
  </si>
  <si>
    <r>
      <t>Emissions for baseline scenario b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</si>
  <si>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ʄ</t>
    </r>
    <r>
      <rPr>
        <vertAlign val="subscript"/>
        <sz val="11"/>
        <color theme="1"/>
        <rFont val="Calibri"/>
        <family val="2"/>
        <scheme val="minor"/>
      </rPr>
      <t>NRB,y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</si>
  <si>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reduced. 112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 for Wood/Wood waste, or the IPCC default value of the relevant fuel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</si>
  <si>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is substituted or reduced</t>
    </r>
  </si>
  <si>
    <r>
      <t>U</t>
    </r>
    <r>
      <rPr>
        <vertAlign val="subscript"/>
        <sz val="11"/>
        <color theme="1"/>
        <rFont val="Calibri"/>
        <family val="2"/>
        <scheme val="minor"/>
      </rPr>
      <t>p,y</t>
    </r>
  </si>
  <si>
    <r>
      <t>Emissions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</si>
  <si>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rPr>
        <sz val="11"/>
        <color theme="1"/>
        <rFont val="Calibri"/>
        <family val="2"/>
        <scheme val="minor"/>
      </rPr>
      <t>LE</t>
    </r>
    <r>
      <rPr>
        <vertAlign val="subscript"/>
        <sz val="11"/>
        <color theme="1"/>
        <rFont val="Calibri"/>
        <family val="2"/>
        <scheme val="minor"/>
      </rPr>
      <t>p,y</t>
    </r>
  </si>
  <si>
    <r>
      <t>Leakage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</si>
  <si>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</si>
  <si>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>BE</t>
    </r>
    <r>
      <rPr>
        <vertAlign val="subscript"/>
        <sz val="11"/>
        <color theme="1"/>
        <rFont val="Calibri"/>
        <family val="2"/>
        <scheme val="minor"/>
      </rPr>
      <t>b,y</t>
    </r>
  </si>
  <si>
    <r>
      <rPr>
        <sz val="11"/>
        <color theme="1"/>
        <rFont val="Calibri"/>
        <family val="2"/>
        <scheme val="minor"/>
      </rPr>
      <t>PE</t>
    </r>
    <r>
      <rPr>
        <vertAlign val="subscript"/>
        <sz val="11"/>
        <color theme="1"/>
        <rFont val="Calibri"/>
        <family val="2"/>
        <scheme val="minor"/>
      </rPr>
      <t>p,y</t>
    </r>
  </si>
  <si>
    <r>
      <t>Baseline emissions for baseline scenario b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</si>
  <si>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Emissions reductions for total project activity in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</si>
  <si>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Project emissions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</si>
  <si>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Number of days in use</t>
  </si>
  <si>
    <r>
      <t>BE</t>
    </r>
    <r>
      <rPr>
        <vertAlign val="subscript"/>
        <sz val="11"/>
        <color theme="1"/>
        <rFont val="Calibri"/>
        <family val="2"/>
        <scheme val="minor"/>
      </rPr>
      <t>b,y,wood</t>
    </r>
  </si>
  <si>
    <r>
      <t>PE</t>
    </r>
    <r>
      <rPr>
        <vertAlign val="subscript"/>
        <sz val="11"/>
        <color theme="1"/>
        <rFont val="Calibri"/>
        <family val="2"/>
        <scheme val="minor"/>
      </rPr>
      <t>p,y,wood</t>
    </r>
  </si>
  <si>
    <r>
      <t>B</t>
    </r>
    <r>
      <rPr>
        <vertAlign val="subscript"/>
        <sz val="11"/>
        <color theme="1"/>
        <rFont val="Calibri"/>
        <family val="2"/>
        <scheme val="minor"/>
      </rPr>
      <t>b,y,wood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</si>
  <si>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p,y,wood</t>
    </r>
  </si>
  <si>
    <r>
      <t>B</t>
    </r>
    <r>
      <rPr>
        <vertAlign val="subscript"/>
        <sz val="11"/>
        <color theme="1"/>
        <rFont val="Calibri"/>
        <family val="2"/>
        <scheme val="minor"/>
      </rPr>
      <t>b,y,charcoal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</si>
  <si>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p,y,charcoal</t>
    </r>
  </si>
  <si>
    <r>
      <t>BE</t>
    </r>
    <r>
      <rPr>
        <vertAlign val="subscript"/>
        <sz val="11"/>
        <color theme="1"/>
        <rFont val="Calibri"/>
        <family val="2"/>
        <scheme val="minor"/>
      </rPr>
      <t>b,y,charcoal</t>
    </r>
  </si>
  <si>
    <r>
      <t>PE</t>
    </r>
    <r>
      <rPr>
        <vertAlign val="subscript"/>
        <sz val="11"/>
        <color theme="1"/>
        <rFont val="Calibri"/>
        <family val="2"/>
        <scheme val="minor"/>
      </rPr>
      <t>p,y,charcoal</t>
    </r>
  </si>
  <si>
    <r>
      <t>B</t>
    </r>
    <r>
      <rPr>
        <vertAlign val="subscript"/>
        <sz val="11"/>
        <color theme="1"/>
        <rFont val="Calibri"/>
        <family val="2"/>
        <scheme val="minor"/>
      </rPr>
      <t>b,y,charcaol</t>
    </r>
  </si>
  <si>
    <r>
      <t>NCV</t>
    </r>
    <r>
      <rPr>
        <vertAlign val="subscript"/>
        <sz val="11"/>
        <color theme="1"/>
        <rFont val="Calibri"/>
        <family val="2"/>
        <scheme val="minor"/>
      </rPr>
      <t>b,wood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</si>
  <si>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b,wood,nonCO2</t>
    </r>
  </si>
  <si>
    <r>
      <t>BE</t>
    </r>
    <r>
      <rPr>
        <vertAlign val="subscript"/>
        <sz val="11"/>
        <color theme="1"/>
        <rFont val="Calibri"/>
        <family val="2"/>
        <scheme val="minor"/>
      </rPr>
      <t>b,y,wood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b,y,wood</t>
    </r>
    <r>
      <rPr>
        <sz val="11"/>
        <color theme="1"/>
        <rFont val="Calibri"/>
        <family val="2"/>
        <scheme val="minor"/>
      </rPr>
      <t xml:space="preserve"> * ((ʄ</t>
    </r>
    <r>
      <rPr>
        <vertAlign val="subscript"/>
        <sz val="11"/>
        <color theme="1"/>
        <rFont val="Calibri"/>
        <family val="2"/>
        <scheme val="minor"/>
      </rPr>
      <t xml:space="preserve">NRB,b,y </t>
    </r>
    <r>
      <rPr>
        <sz val="11"/>
        <color theme="1"/>
        <rFont val="Calibri"/>
        <family val="2"/>
        <scheme val="minor"/>
      </rPr>
      <t>* EF</t>
    </r>
    <r>
      <rPr>
        <vertAlign val="subscript"/>
        <sz val="11"/>
        <color theme="1"/>
        <rFont val="Calibri"/>
        <family val="2"/>
        <scheme val="minor"/>
      </rPr>
      <t>b,wood,CO2</t>
    </r>
    <r>
      <rPr>
        <sz val="11"/>
        <color theme="1"/>
        <rFont val="Calibri"/>
        <family val="2"/>
        <scheme val="minor"/>
      </rPr>
      <t>) + EF</t>
    </r>
    <r>
      <rPr>
        <vertAlign val="subscript"/>
        <sz val="11"/>
        <color theme="1"/>
        <rFont val="Calibri"/>
        <family val="2"/>
        <scheme val="minor"/>
      </rPr>
      <t>b,wood,nonCO2</t>
    </r>
    <r>
      <rPr>
        <sz val="11"/>
        <color theme="1"/>
        <rFont val="Calibri"/>
        <family val="2"/>
        <scheme val="minor"/>
      </rPr>
      <t>) * NCV</t>
    </r>
    <r>
      <rPr>
        <vertAlign val="subscript"/>
        <sz val="11"/>
        <color theme="1"/>
        <rFont val="Calibri"/>
        <family val="2"/>
        <scheme val="minor"/>
      </rPr>
      <t>b,wood</t>
    </r>
  </si>
  <si>
    <r>
      <t>PE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* ((ʄ</t>
    </r>
    <r>
      <rPr>
        <vertAlign val="subscript"/>
        <sz val="11"/>
        <color theme="1"/>
        <rFont val="Calibri"/>
        <family val="2"/>
        <scheme val="minor"/>
      </rPr>
      <t>NRB,p,y</t>
    </r>
    <r>
      <rPr>
        <sz val="11"/>
        <color theme="1"/>
        <rFont val="Calibri"/>
        <family val="2"/>
        <scheme val="minor"/>
      </rPr>
      <t xml:space="preserve"> * EF</t>
    </r>
    <r>
      <rPr>
        <vertAlign val="subscript"/>
        <sz val="11"/>
        <color theme="1"/>
        <rFont val="Calibri"/>
        <family val="2"/>
        <scheme val="minor"/>
      </rPr>
      <t>p,wood,CO2</t>
    </r>
    <r>
      <rPr>
        <sz val="11"/>
        <color theme="1"/>
        <rFont val="Calibri"/>
        <family val="2"/>
        <scheme val="minor"/>
      </rPr>
      <t>) + EF</t>
    </r>
    <r>
      <rPr>
        <vertAlign val="subscript"/>
        <sz val="11"/>
        <color theme="1"/>
        <rFont val="Calibri"/>
        <family val="2"/>
        <scheme val="minor"/>
      </rPr>
      <t>p,wood,nonCO2</t>
    </r>
    <r>
      <rPr>
        <sz val="11"/>
        <color theme="1"/>
        <rFont val="Calibri"/>
        <family val="2"/>
        <scheme val="minor"/>
      </rPr>
      <t>) * NCV</t>
    </r>
    <r>
      <rPr>
        <vertAlign val="subscript"/>
        <sz val="11"/>
        <color theme="1"/>
        <rFont val="Calibri"/>
        <family val="2"/>
        <scheme val="minor"/>
      </rPr>
      <t>p,wood</t>
    </r>
  </si>
  <si>
    <t>Core data</t>
  </si>
  <si>
    <t>tCO2e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</si>
  <si>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b,wood,CO2 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</si>
  <si>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p,wood,CO2 </t>
    </r>
  </si>
  <si>
    <r>
      <t>EF</t>
    </r>
    <r>
      <rPr>
        <vertAlign val="subscript"/>
        <sz val="11"/>
        <color theme="1"/>
        <rFont val="Calibri"/>
        <family val="2"/>
        <scheme val="minor"/>
      </rPr>
      <t>p,wood,nonCO2</t>
    </r>
  </si>
  <si>
    <r>
      <t>NCV</t>
    </r>
    <r>
      <rPr>
        <vertAlign val="subscript"/>
        <sz val="11"/>
        <color theme="1"/>
        <rFont val="Calibri"/>
        <family val="2"/>
        <scheme val="minor"/>
      </rPr>
      <t>p,wood</t>
    </r>
  </si>
  <si>
    <t>Description</t>
  </si>
  <si>
    <t>Parameter</t>
  </si>
  <si>
    <t>Value</t>
  </si>
  <si>
    <t>Unit</t>
  </si>
  <si>
    <t>Number of person.days supplied by CWP</t>
  </si>
  <si>
    <t>person.days</t>
  </si>
  <si>
    <t>Quantity of safe water consumed</t>
  </si>
  <si>
    <t>litres per person per day</t>
  </si>
  <si>
    <t>Quantity of raw water boiled</t>
  </si>
  <si>
    <t>Wood required to boil 1 litre of water</t>
  </si>
  <si>
    <t>Charcoal required to boil 1 litre of water</t>
  </si>
  <si>
    <t>Baseline emissions for wood</t>
  </si>
  <si>
    <t>Project emissions for wood</t>
  </si>
  <si>
    <t>Baseline emissions for charcoal</t>
  </si>
  <si>
    <t>Project emissions for charcoal</t>
  </si>
  <si>
    <t>Non Renewable Biomass</t>
  </si>
  <si>
    <t>TJ/ton</t>
  </si>
  <si>
    <t>Net Calorific Value wood</t>
  </si>
  <si>
    <t>CO2 Emission Factor wood</t>
  </si>
  <si>
    <t>CH4 and N2O Emission Factor for wood</t>
  </si>
  <si>
    <t>Project Emissions</t>
  </si>
  <si>
    <t>Baseline Emissions</t>
  </si>
  <si>
    <t>Usage rate</t>
  </si>
  <si>
    <t>Leakage</t>
  </si>
  <si>
    <t>People drinking safe water without boiling it</t>
  </si>
  <si>
    <t>Standard</t>
  </si>
  <si>
    <t>Methodology</t>
  </si>
  <si>
    <t>Gold Standard VER</t>
  </si>
  <si>
    <t>Year</t>
  </si>
  <si>
    <t>Month</t>
  </si>
  <si>
    <t>Units sold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</si>
  <si>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</si>
  <si>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</si>
  <si>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</si>
  <si>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</si>
  <si>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</si>
  <si>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</si>
  <si>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</si>
  <si>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</si>
  <si>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</si>
  <si>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</si>
  <si>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</si>
  <si>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</si>
  <si>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</t>
  </si>
  <si>
    <t>Total emissions reduction</t>
  </si>
  <si>
    <t>Average annual emissions</t>
  </si>
  <si>
    <t>Emission Reductions per unit</t>
  </si>
  <si>
    <t>Summary of ex-ante estimation of emissions reductions</t>
  </si>
  <si>
    <t>The overall GHG reductions per unit are calculated as follows:</t>
  </si>
  <si>
    <t>Reference</t>
  </si>
  <si>
    <t>Version</t>
  </si>
  <si>
    <t>Estimation of project activity emissions (tCO2e)</t>
  </si>
  <si>
    <t>Estimation of baseline emissions (tCO2e)</t>
  </si>
  <si>
    <t>Estimation of leakage (tCO2e)</t>
  </si>
  <si>
    <t>Estimation of overall emission reductions (tCO2e)</t>
  </si>
  <si>
    <t>Cumulative usage rate %</t>
  </si>
  <si>
    <t>Baseline Emissions - tCO2e/mo</t>
  </si>
  <si>
    <t>Project Activity - tCO2e/mo</t>
  </si>
  <si>
    <t>Leakage - tCO2e/mo</t>
  </si>
  <si>
    <t>Number of people drinking water per household</t>
  </si>
  <si>
    <t>Quantity of wood in tons required to treat 1 litre of water using technologies representative of baseline scenario b during project year y, as per Baseline Water Boiling Test</t>
  </si>
  <si>
    <t>Quantity of safe water boiled</t>
  </si>
  <si>
    <t>Monitoring Period (MP)</t>
  </si>
  <si>
    <t>Vintage (start)</t>
  </si>
  <si>
    <t>Vintage (end)</t>
  </si>
  <si>
    <t>Issuance</t>
  </si>
  <si>
    <t>Total ER vintage (tCO2e) / MP</t>
  </si>
  <si>
    <t>Total ER vintage (tCO2e) / MP after 2% GS fee</t>
  </si>
  <si>
    <t>Total ER (tCO2e) / MP after 2% GS fee</t>
  </si>
  <si>
    <t>Important information</t>
  </si>
  <si>
    <t>Average emissions reduction per monitoring period</t>
  </si>
  <si>
    <t>Total emissions reductions</t>
  </si>
  <si>
    <t>Name of the Project</t>
  </si>
  <si>
    <t>Project Manager</t>
  </si>
  <si>
    <t>Summary</t>
  </si>
  <si>
    <t>General knowledge</t>
  </si>
  <si>
    <t>Number of months per year</t>
  </si>
  <si>
    <t>months/ year</t>
  </si>
  <si>
    <t>TJ/tonne</t>
  </si>
  <si>
    <t>Usage</t>
  </si>
  <si>
    <t>CWP</t>
  </si>
  <si>
    <t>"Production and Dissemination of Ceramic Water Purifiers by Hydrologic in the Kingdom of Cambodia"</t>
  </si>
  <si>
    <t>Total ER (tCO2e) / MP</t>
  </si>
  <si>
    <t>Summary Units in Use per month</t>
  </si>
  <si>
    <t>Units sold / Monitoring Period Age Group</t>
  </si>
  <si>
    <t>Cumulative Total Units Sold</t>
  </si>
  <si>
    <t>Age Group</t>
  </si>
  <si>
    <t>0 -1.0</t>
  </si>
  <si>
    <t>1.0 - 2.0</t>
  </si>
  <si>
    <t>2.0 - 3.0</t>
  </si>
  <si>
    <t>3.0 - 4.0</t>
  </si>
  <si>
    <t>4.0 - 5.0</t>
  </si>
  <si>
    <t>5.0 - 6.0</t>
  </si>
  <si>
    <t>6.0 - 7.0</t>
  </si>
  <si>
    <t>Age Groups Claimed</t>
  </si>
  <si>
    <t>Percentage of Total Sales for each age group</t>
  </si>
  <si>
    <t>Weighted Usage Rate</t>
  </si>
  <si>
    <t>Cumulative Weighted Usage rate</t>
  </si>
  <si>
    <t>Number of systems</t>
  </si>
  <si>
    <t>For calculations for 1 unit per year</t>
  </si>
  <si>
    <t>Number of households</t>
  </si>
  <si>
    <t>HH</t>
  </si>
  <si>
    <t>For calculations for 1 unit per household per year</t>
  </si>
  <si>
    <t>Usage rate at age 0</t>
  </si>
  <si>
    <t>fraction</t>
  </si>
  <si>
    <t>Assume usage rate of 1.00 for calculations for 1 unit per year</t>
  </si>
  <si>
    <t>pp/HH</t>
  </si>
  <si>
    <t>days</t>
  </si>
  <si>
    <t>Everyday Use</t>
  </si>
  <si>
    <t>Number of systems * Number of households * Number of people drinking water per household * Number of days in use</t>
  </si>
  <si>
    <t>Years of crediting period</t>
  </si>
  <si>
    <t>years</t>
  </si>
  <si>
    <t>Number of expected monitoring periods</t>
  </si>
  <si>
    <t>MP</t>
  </si>
  <si>
    <t>Based on timing of crediting and verification</t>
  </si>
  <si>
    <t>Conversion factor (grams to tonnes)</t>
  </si>
  <si>
    <t>Conversion factor (tonnes to kilograms)</t>
  </si>
  <si>
    <t>Conversion factor (Gigagram to tonnes)</t>
  </si>
  <si>
    <t>Wood Emission CH4 Conversion Factor</t>
  </si>
  <si>
    <t xml:space="preserve"> tCH4/TJ</t>
  </si>
  <si>
    <t>IPCC (2006) "IPCC Guidelines for National Greenhouse Gas Inventories", Volume 2, Energy, Chapter 2, Stationary Combustion, Table 2.5</t>
  </si>
  <si>
    <t>Wood Emission N20 Conversion Factor</t>
  </si>
  <si>
    <t>tN2O/TJ</t>
  </si>
  <si>
    <t>Charcoal Emission CH4 Conversion Factor</t>
  </si>
  <si>
    <t>Charcoal Emission N20 Conversion Factor</t>
  </si>
  <si>
    <t>Direct Global Warming Potential Equivalency (CH4 to CO2)</t>
  </si>
  <si>
    <t>tCO2/tCH4</t>
  </si>
  <si>
    <t>IPCC (2007) "IPCC Fourth Assessment Report: Climate Change 2007/ Climate Change 2007/ Working Group I: The Physical Science Basis 2.10.2 Direct Global Warming Potential" available at [last accessed 05-12-2012]: http://www.ipcc.ch/publications_and_data/ar4/wg1/en/ch2s2-10-2.html</t>
  </si>
  <si>
    <t>Direct Global Warming Potential Equivalency (N20 to CO2)</t>
  </si>
  <si>
    <t>tCO2/tN20</t>
  </si>
  <si>
    <t>Percentage of Traditional Stove Users with wood in the baseline</t>
  </si>
  <si>
    <t>Percentage of Improved Stove Users with wood in the baseline</t>
  </si>
  <si>
    <t>Percentage of Traditional Stove Users with charcoal in the baseline</t>
  </si>
  <si>
    <t>Percentage of Improved Stove Users with charcoal in the baseline</t>
  </si>
  <si>
    <t>liters/person/day</t>
  </si>
  <si>
    <t>Raw or unsafe water still boiled in the project scenario (litres per person per day)</t>
  </si>
  <si>
    <t>Safe water boiled in the project scenario (litres per person per day)</t>
  </si>
  <si>
    <t>Fraction</t>
  </si>
  <si>
    <t>Baseline Factor/CWP/mo</t>
  </si>
  <si>
    <t>tCO2e/CWP/mo</t>
  </si>
  <si>
    <t>Baseline emissions for baseline scenario b during the year y in tCO2e / Number of months per year</t>
  </si>
  <si>
    <t>Project Factor/CWP/mo</t>
  </si>
  <si>
    <t>Project emissions for project scenario p during the year y in tCO2e / Number of months per year</t>
  </si>
  <si>
    <t>Leakage Factor/CWP/mo</t>
  </si>
  <si>
    <t>Leakage for project scenario p during the year y in tCO2e / Number of months per year</t>
  </si>
  <si>
    <r>
      <t>N</t>
    </r>
    <r>
      <rPr>
        <vertAlign val="subscript"/>
        <sz val="11"/>
        <color theme="1"/>
        <rFont val="Calibri"/>
        <family val="2"/>
        <scheme val="minor"/>
      </rPr>
      <t>j,y</t>
    </r>
    <r>
      <rPr>
        <sz val="11"/>
        <color theme="1"/>
        <rFont val="Calibri"/>
        <family val="2"/>
        <scheme val="minor"/>
      </rPr>
      <t xml:space="preserve"> /N</t>
    </r>
    <r>
      <rPr>
        <vertAlign val="subscript"/>
        <sz val="11"/>
        <color theme="1"/>
        <rFont val="Calibri"/>
        <family val="2"/>
        <scheme val="minor"/>
      </rPr>
      <t>p,y</t>
    </r>
  </si>
  <si>
    <t>Cumulative number of project technology-days included in the project database for project scenario p against baseline scenario b in year y</t>
  </si>
  <si>
    <t>technology-days</t>
  </si>
  <si>
    <t>Number of systems * Number of days per year (assuming everyday use)</t>
  </si>
  <si>
    <t>tonnes/liter</t>
  </si>
  <si>
    <r>
      <t>W</t>
    </r>
    <r>
      <rPr>
        <vertAlign val="subscript"/>
        <sz val="11"/>
        <color theme="1"/>
        <rFont val="Calibri"/>
        <family val="2"/>
        <scheme val="minor"/>
      </rPr>
      <t>b,y,TRAD,wood</t>
    </r>
  </si>
  <si>
    <r>
      <t>W</t>
    </r>
    <r>
      <rPr>
        <vertAlign val="subscript"/>
        <sz val="11"/>
        <color theme="1"/>
        <rFont val="Calibri"/>
        <family val="2"/>
        <scheme val="minor"/>
      </rPr>
      <t>b,y,TRAD,charcoal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</si>
  <si>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p,y,TRAD,wood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</si>
  <si>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p,y,TRAD,charcoal</t>
    </r>
  </si>
  <si>
    <r>
      <t>W</t>
    </r>
    <r>
      <rPr>
        <vertAlign val="subscript"/>
        <sz val="11"/>
        <color theme="1"/>
        <rFont val="Calibri"/>
        <family val="2"/>
        <scheme val="minor"/>
      </rPr>
      <t>b,y,IMP,wood</t>
    </r>
  </si>
  <si>
    <r>
      <t>W</t>
    </r>
    <r>
      <rPr>
        <vertAlign val="subscript"/>
        <sz val="11"/>
        <color theme="1"/>
        <rFont val="Calibri"/>
        <family val="2"/>
        <scheme val="minor"/>
      </rPr>
      <t>b,y,IMP,charcoal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</si>
  <si>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p,y,IMP,wood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</si>
  <si>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p,y,IMP,charcoal</t>
    </r>
  </si>
  <si>
    <r>
      <t>NCV</t>
    </r>
    <r>
      <rPr>
        <vertAlign val="subscript"/>
        <sz val="11"/>
        <color theme="1"/>
        <rFont val="Calibri"/>
        <family val="2"/>
        <scheme val="minor"/>
      </rPr>
      <t>b,wood</t>
    </r>
    <r>
      <rPr>
        <sz val="11"/>
        <color theme="1"/>
        <rFont val="Calibri"/>
        <family val="2"/>
        <scheme val="minor"/>
      </rPr>
      <t xml:space="preserve"> / NCV</t>
    </r>
    <r>
      <rPr>
        <vertAlign val="subscript"/>
        <sz val="11"/>
        <color theme="1"/>
        <rFont val="Calibri"/>
        <family val="2"/>
        <scheme val="minor"/>
      </rPr>
      <t>p,wood</t>
    </r>
  </si>
  <si>
    <t>IPCC (2006) "IPCC Guidelines for National Greenhouse Gas Inventories", Volume 2, Energy, Chapter 1, Introduction, Table 1.2, p 1.19</t>
  </si>
  <si>
    <r>
      <t>EF</t>
    </r>
    <r>
      <rPr>
        <vertAlign val="subscript"/>
        <sz val="11"/>
        <color theme="1"/>
        <rFont val="Calibri"/>
        <family val="2"/>
        <scheme val="minor"/>
      </rPr>
      <t>b,wood,CO2</t>
    </r>
    <r>
      <rPr>
        <sz val="11"/>
        <color theme="1"/>
        <rFont val="Calibri"/>
        <family val="2"/>
        <scheme val="minor"/>
      </rPr>
      <t xml:space="preserve"> / EF</t>
    </r>
    <r>
      <rPr>
        <vertAlign val="subscript"/>
        <sz val="11"/>
        <color theme="1"/>
        <rFont val="Calibri"/>
        <family val="2"/>
        <scheme val="minor"/>
      </rPr>
      <t>p,wood,CO2</t>
    </r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</si>
  <si>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</t>
    </r>
  </si>
  <si>
    <t>GS Methodology "Technologies and Practices to Displace Decentralized Thermal Energy Consumption - 11/04/2011, pg. 15. AND/OR: IPCC (2006) "IPCC Guidelines for National Greenhouse Gas Inventories", Volume 2, Energy, Chapter 2, Stationary Combustion, Table 2.5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</si>
  <si>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b,wood,nonCO2 </t>
    </r>
    <r>
      <rPr>
        <sz val="11"/>
        <color theme="1"/>
        <rFont val="Calibri"/>
        <family val="2"/>
        <scheme val="minor"/>
      </rPr>
      <t>/ EF</t>
    </r>
    <r>
      <rPr>
        <vertAlign val="subscript"/>
        <sz val="11"/>
        <color theme="1"/>
        <rFont val="Calibri"/>
        <family val="2"/>
        <scheme val="minor"/>
      </rPr>
      <t>p,wood,nonCO2</t>
    </r>
  </si>
  <si>
    <t>(Wood Emission Conversion Factor CH4 * Global Warming Potential Equivalency of CH4) + (Wood Emission Conversion Factor N20 * Global Warming Potential Equivalency of N20)</t>
  </si>
  <si>
    <t>Leakage emissions for project scenario p in year y (tCO2e/yr)</t>
  </si>
  <si>
    <t>Number of person.days</t>
  </si>
  <si>
    <t>Hydrologic (2014) PDD Design Change</t>
  </si>
  <si>
    <t>Quantity of wood required to treat 1 litre of water using traditional stoves in baseline scenario</t>
  </si>
  <si>
    <t>Quantity of charcoal required to treat 1 litre of water using traditional stoves in baseline scenario</t>
  </si>
  <si>
    <t>Quantity of wood required to treat 1 litre of water using traditional stoves in project scenario</t>
  </si>
  <si>
    <t>Quantity of charcoal required to treat 1 litre of water using traditional stoves in project scenario</t>
  </si>
  <si>
    <t>Quantity of wood required to treat 1 litre of water using improved stoves in baseline scenario</t>
  </si>
  <si>
    <t>Quantity of charcoal required to treat 1 litre of water using improved stoves in baseline scenario</t>
  </si>
  <si>
    <t>Quantity of wood required to treat 1 litre of water using improved stoves in project scenario</t>
  </si>
  <si>
    <t>Quantity of charcoal required to treat 1 litre of water using improved stoves in project scenario</t>
  </si>
  <si>
    <t>(Quantity of wood required to treat 1 litre of water using traditional stoves in baseline scenario * Percentage of Traditional Stove Users with wood in the baseline) + (Quantity of wood required to treat 1 litre of water using improved stoves in baseline scenario * Percentage of Improved Stove Users with wood in the baseline)</t>
  </si>
  <si>
    <t>(Quantity of wood required to treat 1 litre of water using traditional stoves in project scenario * Percentage of Traditional Stove Users with wood in the project) + (Quantity of wood required to treat 1 litre of water using improved stoves in project scenario * Percentage of Improved Stove Users with wood in the project)</t>
  </si>
  <si>
    <t>(Quantity of charcoal required to treat 1 litre of water using traditional stoves in baseline scenario * Percentage of Traditional Stove Users with charcoal in the baseline) + (Quantity of charcoal required to treat 1 litre of water using improved stoves in baseline scenario * Percentage of Improved Stove Users with charcoal in the baseline)</t>
  </si>
  <si>
    <t>(Quantity of charcoal required to treat 1 litre of water using traditional stoves in project scenario * Percentage of Traditional Stove Users with charcoal in the project) + (Quantity of charcoal required to treat 1 litre of water using improved stoves in project scenario * Percentage of Improved Stove Users with charcoal in the project)</t>
  </si>
  <si>
    <t>Summary of Emission Reductions and Parameters</t>
  </si>
  <si>
    <t>Summary of VERs After GS SOP per vintage</t>
  </si>
  <si>
    <t>Nexus Summary of VERs Generated</t>
  </si>
  <si>
    <t>Emission Reduction Calculations per Unit</t>
  </si>
  <si>
    <t>Total</t>
  </si>
  <si>
    <t>Wood required to treat 1 litre of water using traditional stoves in baseline scenario</t>
  </si>
  <si>
    <t>Wood required to treat 1 litre of water using traditional stoves in project scenario</t>
  </si>
  <si>
    <t>Charcoal required to treat 1 litre of water using traditional stoves in baseline scenario</t>
  </si>
  <si>
    <t>Charcoal required to treat 1 litre of water using traditional stoves in project scenario</t>
  </si>
  <si>
    <t>Wood required to treat 1 litre of water using improved stoves in baseline scenario</t>
  </si>
  <si>
    <t>Charcoal required to treat 1 litre of water using improved stoves in baseline scenario</t>
  </si>
  <si>
    <t>Wood required to treat 1 litre of water using improved stoves in project scenario</t>
  </si>
  <si>
    <t>Charcoal required to treat 1 litre of water using improved stoves in project scenario</t>
  </si>
  <si>
    <t>grams/liter</t>
  </si>
  <si>
    <t xml:space="preserve">Hydrologic uses wood to fire the kilns to produce the pots. The carbon emissions arising from this activity will be accounted and considered as leakage. </t>
  </si>
  <si>
    <t>Amount</t>
  </si>
  <si>
    <t>m3</t>
  </si>
  <si>
    <t>Number of CWP per Montoring Period</t>
  </si>
  <si>
    <t>unit</t>
  </si>
  <si>
    <t xml:space="preserve">Purchase record of wood </t>
  </si>
  <si>
    <t>Item Description</t>
  </si>
  <si>
    <t>Fire Wood</t>
  </si>
  <si>
    <t>0.0 - 1.0</t>
  </si>
  <si>
    <t>Leakage CO2 emissions calculations</t>
  </si>
  <si>
    <t>Leakage calculation</t>
  </si>
  <si>
    <t>Total Leakage emissions</t>
  </si>
  <si>
    <t>Leakage emissions per unit</t>
  </si>
  <si>
    <t>Emissions Reduction Calculation per Month</t>
  </si>
  <si>
    <t>GS Issuance Fee (Share of Proceeds)</t>
  </si>
  <si>
    <t>Percentage of credits taken by GS for Issuance (GS Annex L: Fee Schedule, http://www.goldstandard.org/wp-content/uploads/2013/01/v2.2_ANNEX-L.pdf)</t>
  </si>
  <si>
    <t>Quantity of wood in 1m3</t>
  </si>
  <si>
    <t>kg/m3</t>
  </si>
  <si>
    <t>-</t>
  </si>
  <si>
    <t>Carbon content in wood</t>
  </si>
  <si>
    <t>IPCC (2006) "IPCC Guidelines for National Greenhouse Gas Inventories", Chapter 12, Harvested Wood Products, Table 12.4, p.12.19. The value for temperate and tropical wood species was selected because 100% of Cambodia's forests are tropical forests (see  http://rainforests.mongabay.com/deforestation/archive/Cambodia.htm).</t>
  </si>
  <si>
    <t>Molecular weight of CO2</t>
  </si>
  <si>
    <t>EPA (2011) "Clean Energy, Calculations and References, Therms of Natural Gas," Section "Number of tree seedlings grown for 10 years" available at http://www.epa.gov/cleanenergy/energy-resources/refs.html</t>
  </si>
  <si>
    <t>Molecular weight of C</t>
  </si>
  <si>
    <t>Ratio of the molecular weight of carbon dioxide to that of carbon (44 units CO2 / 12 units C)</t>
  </si>
  <si>
    <t>Conversion from kg to tonnes</t>
  </si>
  <si>
    <t>Summary firewood measurement and weight in a truck load</t>
  </si>
  <si>
    <t>Date: 17 November 2011</t>
  </si>
  <si>
    <t>Location and weight:</t>
  </si>
  <si>
    <t>CWP factory in Kampong Chhnang</t>
  </si>
  <si>
    <t>Reference: Hydrologic (2011) "Summary data of weighing firewood.xls"</t>
  </si>
  <si>
    <t>Truck size (m)</t>
  </si>
  <si>
    <t>Total volume (m3)</t>
  </si>
  <si>
    <t>W</t>
  </si>
  <si>
    <t>L</t>
  </si>
  <si>
    <t>H</t>
  </si>
  <si>
    <t>Total pieces of firewood in a truck load:</t>
  </si>
  <si>
    <t>Weight of firewood in a truck load</t>
  </si>
  <si>
    <t>No of weighting</t>
  </si>
  <si>
    <t>Quantity (Piece)</t>
  </si>
  <si>
    <t>Weight (Kg)</t>
  </si>
  <si>
    <t>In the record sheet 1</t>
  </si>
  <si>
    <t>1 to 29</t>
  </si>
  <si>
    <t>30 to 58</t>
  </si>
  <si>
    <t>59 to 87</t>
  </si>
  <si>
    <t>In the record sheet 2</t>
  </si>
  <si>
    <t>88 to 129</t>
  </si>
  <si>
    <t>130 to 171</t>
  </si>
  <si>
    <t>172-213</t>
  </si>
  <si>
    <t>In the record sheet 3</t>
  </si>
  <si>
    <t>214 to 255</t>
  </si>
  <si>
    <t>256 to 297</t>
  </si>
  <si>
    <t>298 to 339</t>
  </si>
  <si>
    <t>In the record sheet 4</t>
  </si>
  <si>
    <t>340 to 381</t>
  </si>
  <si>
    <t>382 to 423</t>
  </si>
  <si>
    <t>424 to 465</t>
  </si>
  <si>
    <t>In the record sheet 5</t>
  </si>
  <si>
    <t>466 to 507</t>
  </si>
  <si>
    <t>508 to 515</t>
  </si>
  <si>
    <t>Based on this record data, 1m3 of firewood:</t>
  </si>
  <si>
    <t>Kg</t>
  </si>
  <si>
    <t>Cumulative Units Credited</t>
  </si>
  <si>
    <t>6.0+</t>
  </si>
  <si>
    <t>Monitoring Period</t>
  </si>
  <si>
    <t>Average Usage Rate</t>
  </si>
  <si>
    <t>tonnes/year</t>
  </si>
  <si>
    <t>tCO2/TJ</t>
  </si>
  <si>
    <t>Percentage</t>
  </si>
  <si>
    <t>percentage</t>
  </si>
  <si>
    <t>Qty Consumed (m3)</t>
  </si>
  <si>
    <t>Wood consumed for Factory</t>
  </si>
  <si>
    <t xml:space="preserve">CDM-SSCWG43-A04 (Information Note-Default values of fraction of non-renewable biomass for Cambodia, version 01.0)
CDM-EB-77 (Meeting report CDM Executive Board seventy-seventh meeting, version 01.0) Para 58, page 14)
</t>
  </si>
  <si>
    <t>Calculated</t>
  </si>
  <si>
    <t>CP2-MP1</t>
  </si>
  <si>
    <t>CP2-MP2</t>
  </si>
  <si>
    <t>CP2-MP3</t>
  </si>
  <si>
    <t>CP2-MP4</t>
  </si>
  <si>
    <t>CP2-MP5</t>
  </si>
  <si>
    <t>CP2-MP6</t>
  </si>
  <si>
    <t>CP2-MP7</t>
  </si>
  <si>
    <t>Age
Group</t>
  </si>
  <si>
    <t>Xboil</t>
  </si>
  <si>
    <t>Percentage of premises that would have used other non-GHG emitting technologies like chlorine treatment techniques, if available, in the absence of project activities.</t>
  </si>
  <si>
    <t>Quantity of safe water in litres consumed in the porject scenario p and supplied by project technology per person per day</t>
  </si>
  <si>
    <t>HSECP2_Baseline Stove-Fuel Mix Simplification20170921, Tab Final table ER Calc, Cell D7</t>
  </si>
  <si>
    <t>HSECP2_Baseline Stove-Fuel Mix Simplification20170921, Tab Final table ER Calc, Cell C7</t>
  </si>
  <si>
    <t>HSECP2_Baseline Stove-Fuel Mix Simplification20170921, Tab Final Table ER Calc, Cell D8</t>
  </si>
  <si>
    <t>HSECP2_Baseline Stove-Fuel Mix Simplification20170921, Tab Final Table ER Calc, Cell C8</t>
  </si>
  <si>
    <t>CP2 Usage Rate Calculation &amp; Estimated Usage Rates for all Monitoring Periods</t>
  </si>
  <si>
    <t>Water quality test result</t>
  </si>
  <si>
    <t>% of Passing Water quality test</t>
  </si>
  <si>
    <r>
      <t>N</t>
    </r>
    <r>
      <rPr>
        <vertAlign val="subscript"/>
        <sz val="11"/>
        <color theme="1"/>
        <rFont val="Calibri"/>
        <family val="2"/>
        <scheme val="minor"/>
      </rPr>
      <t xml:space="preserve">j,y 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p,y</t>
    </r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</si>
  <si>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b,wood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p,wood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</si>
  <si>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b,wood,nonCO2 </t>
    </r>
    <r>
      <rPr>
        <sz val="11"/>
        <color theme="1"/>
        <rFont val="Calibri"/>
        <family val="2"/>
        <scheme val="minor"/>
      </rPr>
      <t>/ 
EF</t>
    </r>
    <r>
      <rPr>
        <vertAlign val="subscript"/>
        <sz val="11"/>
        <color theme="1"/>
        <rFont val="Calibri"/>
        <family val="2"/>
        <scheme val="minor"/>
      </rPr>
      <t>p,wood,nonCO2</t>
    </r>
  </si>
  <si>
    <t>Net calorific value of the fuel that is substituted or reduced (IPCC default for Charcoal,0.029TJ/ton)</t>
  </si>
  <si>
    <t xml:space="preserve"> IPCC (2006) "IPCC Guidelines for National Greenhouse Gas Inventories", Volume 2, Energy, Chapter 2, Stationary Combustion, Table 2.5</t>
  </si>
  <si>
    <t>(Charcoal Emission Conversion Factor CH4 * Global Warming Potential Equivalency of CH4) + (Charcoal Emission Conversion Factor N20 * Global Warming Potential Equivalency of N20)</t>
  </si>
  <si>
    <t>CH4 and N2O Emission Factor for charcoal</t>
  </si>
  <si>
    <r>
      <t>EF</t>
    </r>
    <r>
      <rPr>
        <vertAlign val="subscript"/>
        <sz val="11"/>
        <rFont val="Calibri"/>
        <family val="2"/>
        <scheme val="minor"/>
      </rPr>
      <t xml:space="preserve">b,charcoal,nonCO2 </t>
    </r>
    <r>
      <rPr>
        <sz val="11"/>
        <rFont val="Calibri"/>
        <family val="2"/>
        <scheme val="minor"/>
      </rPr>
      <t>/ EF</t>
    </r>
    <r>
      <rPr>
        <vertAlign val="subscript"/>
        <sz val="11"/>
        <rFont val="Calibri"/>
        <family val="2"/>
        <scheme val="minor"/>
      </rPr>
      <t>p,charcoal,nonCO2</t>
    </r>
  </si>
  <si>
    <t>LPG</t>
  </si>
  <si>
    <t>BE,b,y,LPG</t>
  </si>
  <si>
    <t>PE,p,y,LPG</t>
  </si>
  <si>
    <t>Quantity of fuel consumed in baseline scenario b during year y, in tons</t>
  </si>
  <si>
    <t>Fraction of non renewable biomass of fossil fuels</t>
  </si>
  <si>
    <t>Fraction of non renewable biomass of fossil fuels (LPG)</t>
  </si>
  <si>
    <t>SEC</t>
  </si>
  <si>
    <t>Specific  energy  consumption  required  to  boil  one  litre  of  water</t>
  </si>
  <si>
    <t>WH</t>
  </si>
  <si>
    <t xml:space="preserve">Specific heat of water </t>
  </si>
  <si>
    <t>Tf</t>
  </si>
  <si>
    <t>Final temperature</t>
  </si>
  <si>
    <t>Ti</t>
  </si>
  <si>
    <t>Initial temperature</t>
  </si>
  <si>
    <t>WHE</t>
  </si>
  <si>
    <t xml:space="preserve">Latent heat of water evaporation </t>
  </si>
  <si>
    <t>η wb, LPG</t>
  </si>
  <si>
    <t>Percentage of LPG Stove Users in the baseline</t>
  </si>
  <si>
    <t>HSECP2_Baseline Stove-Fuel Mix Simplification20170921, Tab Final Table ER Calc, Cell C9</t>
  </si>
  <si>
    <r>
      <t>W</t>
    </r>
    <r>
      <rPr>
        <vertAlign val="subscript"/>
        <sz val="11"/>
        <color theme="1"/>
        <rFont val="Calibri"/>
        <family val="2"/>
        <scheme val="minor"/>
      </rPr>
      <t>b,y,LPG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</si>
  <si>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p,y,LPG</t>
    </r>
  </si>
  <si>
    <t>KJ/L</t>
  </si>
  <si>
    <t>kJ/L oC</t>
  </si>
  <si>
    <t>oC</t>
  </si>
  <si>
    <t>kJ/L</t>
  </si>
  <si>
    <t xml:space="preserve">Net calorific value of the fuel that is substituted or reduced </t>
  </si>
  <si>
    <t>Tj/tonne</t>
  </si>
  <si>
    <t>IPCC (2006) "IPCC Guidelines for National Greenhouse Gas Inventories", Volume 2, Energy, Chapter 1, Introduction, Table 1.2, p 1.18</t>
  </si>
  <si>
    <t>Conversion factor from TJ to kJ</t>
  </si>
  <si>
    <t>Genral knowledge</t>
  </si>
  <si>
    <r>
      <t>B</t>
    </r>
    <r>
      <rPr>
        <vertAlign val="subscript"/>
        <sz val="11"/>
        <color theme="1"/>
        <rFont val="Calibri"/>
        <family val="2"/>
        <scheme val="minor"/>
      </rPr>
      <t>b,y,LPG</t>
    </r>
  </si>
  <si>
    <t>LPG consumption in the baseline scenario</t>
  </si>
  <si>
    <t>Wood consumption in the baseline scenario</t>
  </si>
  <si>
    <t>Charcoal consumptionn in the baseline scenario</t>
  </si>
  <si>
    <t>Quantity of wood consumed in the project scenario</t>
  </si>
  <si>
    <t>Quantity of charcoal consumed in the project scenario</t>
  </si>
  <si>
    <t>Quantity of LPG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</si>
  <si>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p,y,LPG</t>
    </r>
  </si>
  <si>
    <r>
      <t>BE</t>
    </r>
    <r>
      <rPr>
        <vertAlign val="subscript"/>
        <sz val="11"/>
        <color theme="1"/>
        <rFont val="Calibri"/>
        <family val="2"/>
        <scheme val="minor"/>
      </rPr>
      <t>b,y,LPG</t>
    </r>
  </si>
  <si>
    <r>
      <t>PE</t>
    </r>
    <r>
      <rPr>
        <vertAlign val="subscript"/>
        <sz val="11"/>
        <color theme="1"/>
        <rFont val="Calibri"/>
        <family val="2"/>
        <scheme val="minor"/>
      </rPr>
      <t>p,y,LPG</t>
    </r>
  </si>
  <si>
    <t>Baseline emissions for LPG</t>
  </si>
  <si>
    <t>Project emissions for LPG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</si>
  <si>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wood,CO2</t>
    </r>
    <r>
      <rPr>
        <sz val="11"/>
        <color theme="1"/>
        <rFont val="Calibri"/>
        <family val="2"/>
        <scheme val="minor"/>
      </rPr>
      <t xml:space="preserve"> </t>
    </r>
  </si>
  <si>
    <t>Net Calorific Value charcoal</t>
  </si>
  <si>
    <t>Net Calorific Value LPG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</si>
  <si>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b,charcoal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p,charcoal</t>
    </r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</si>
  <si>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b,LPG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p,LPG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</si>
  <si>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b,charcoal,CO2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charcoal,CO2</t>
    </r>
    <r>
      <rPr>
        <sz val="11"/>
        <color theme="1"/>
        <rFont val="Calibri"/>
        <family val="2"/>
        <scheme val="minor"/>
      </rPr>
      <t xml:space="preserve"> </t>
    </r>
  </si>
  <si>
    <t>CO2 Emission Factor charcoal</t>
  </si>
  <si>
    <t>CO2 Emission Factor LPG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</si>
  <si>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b,LPG,CO2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LPG,CO2</t>
    </r>
    <r>
      <rPr>
        <sz val="11"/>
        <color theme="1"/>
        <rFont val="Calibri"/>
        <family val="2"/>
        <scheme val="minor"/>
      </rPr>
      <t xml:space="preserve"> </t>
    </r>
  </si>
  <si>
    <t>Wood to charcoal conversion factor</t>
  </si>
  <si>
    <t>AMS II.G "Energy efficiency measures in thermal applications of non-renewable biomass"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</si>
  <si>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</t>
    </r>
  </si>
  <si>
    <r>
      <t>Non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</t>
    </r>
  </si>
  <si>
    <t>HSE_CP2_Cj&amp;Xboil_20171002</t>
  </si>
  <si>
    <r>
      <t>W</t>
    </r>
    <r>
      <rPr>
        <vertAlign val="subscript"/>
        <sz val="11"/>
        <rFont val="Calibri"/>
        <family val="2"/>
        <scheme val="minor"/>
      </rPr>
      <t>p,y,LPG</t>
    </r>
  </si>
  <si>
    <r>
      <t>Non-CO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factor of the fuel that is substituted or reduced</t>
    </r>
  </si>
  <si>
    <r>
      <t>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</si>
  <si>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factor of the fuel that it substituted or reduced. 112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 for Charcoal</t>
    </r>
  </si>
  <si>
    <r>
      <t>NCV</t>
    </r>
    <r>
      <rPr>
        <vertAlign val="subscript"/>
        <sz val="11"/>
        <rFont val="Calibri"/>
        <family val="2"/>
        <scheme val="minor"/>
      </rPr>
      <t>b,charcoal</t>
    </r>
    <r>
      <rPr>
        <sz val="11"/>
        <rFont val="Calibri"/>
        <family val="2"/>
        <scheme val="minor"/>
      </rPr>
      <t xml:space="preserve"> / NCV</t>
    </r>
    <r>
      <rPr>
        <vertAlign val="subscript"/>
        <sz val="11"/>
        <rFont val="Calibri"/>
        <family val="2"/>
        <scheme val="minor"/>
      </rPr>
      <t>p,charcoal</t>
    </r>
  </si>
  <si>
    <r>
      <t>EF</t>
    </r>
    <r>
      <rPr>
        <vertAlign val="subscript"/>
        <sz val="11"/>
        <rFont val="Calibri"/>
        <family val="2"/>
        <scheme val="minor"/>
      </rPr>
      <t>b,LPG,CO2</t>
    </r>
  </si>
  <si>
    <r>
      <t>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emissions factor of the fuel that it substituted or reduced</t>
    </r>
  </si>
  <si>
    <r>
      <t>tCO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>/TJ</t>
    </r>
  </si>
  <si>
    <r>
      <t>EF</t>
    </r>
    <r>
      <rPr>
        <vertAlign val="subscript"/>
        <sz val="11"/>
        <rFont val="Calibri"/>
        <family val="2"/>
        <scheme val="minor"/>
      </rPr>
      <t>p,LPG,CO2</t>
    </r>
  </si>
  <si>
    <r>
      <t>EF</t>
    </r>
    <r>
      <rPr>
        <vertAlign val="subscript"/>
        <sz val="11"/>
        <rFont val="Calibri"/>
        <family val="2"/>
        <scheme val="minor"/>
      </rPr>
      <t>b,LPG,nonCO2</t>
    </r>
  </si>
  <si>
    <r>
      <t>Non 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emissions factor of the fuel that it substituted or reduced</t>
    </r>
  </si>
  <si>
    <r>
      <t>EF</t>
    </r>
    <r>
      <rPr>
        <vertAlign val="subscript"/>
        <sz val="11"/>
        <rFont val="Calibri"/>
        <family val="2"/>
        <scheme val="minor"/>
      </rPr>
      <t>p,LPG,nonCO2</t>
    </r>
  </si>
  <si>
    <r>
      <t>NCV</t>
    </r>
    <r>
      <rPr>
        <vertAlign val="subscript"/>
        <sz val="11"/>
        <rFont val="Calibri"/>
        <family val="2"/>
        <scheme val="minor"/>
      </rPr>
      <t>b,LPG</t>
    </r>
  </si>
  <si>
    <r>
      <t>NCV</t>
    </r>
    <r>
      <rPr>
        <vertAlign val="subscript"/>
        <sz val="11"/>
        <rFont val="Calibri"/>
        <family val="2"/>
        <scheme val="minor"/>
      </rPr>
      <t>p,LPG</t>
    </r>
  </si>
  <si>
    <r>
      <t>ʄ</t>
    </r>
    <r>
      <rPr>
        <vertAlign val="subscript"/>
        <sz val="11"/>
        <rFont val="Calibri"/>
        <family val="2"/>
        <scheme val="minor"/>
      </rPr>
      <t>FF,b, y</t>
    </r>
  </si>
  <si>
    <r>
      <t>ʄ</t>
    </r>
    <r>
      <rPr>
        <vertAlign val="subscript"/>
        <sz val="11"/>
        <rFont val="Calibri"/>
        <family val="2"/>
        <scheme val="minor"/>
      </rPr>
      <t>FF,p, y</t>
    </r>
  </si>
  <si>
    <r>
      <t>EF</t>
    </r>
    <r>
      <rPr>
        <vertAlign val="subscript"/>
        <sz val="11"/>
        <rFont val="Calibri"/>
        <family val="2"/>
        <scheme val="minor"/>
      </rPr>
      <t>b,charcoal,CO2</t>
    </r>
    <r>
      <rPr>
        <sz val="11"/>
        <rFont val="Calibri"/>
        <family val="2"/>
        <scheme val="minor"/>
      </rPr>
      <t xml:space="preserve"> / EF</t>
    </r>
    <r>
      <rPr>
        <vertAlign val="subscript"/>
        <sz val="11"/>
        <rFont val="Calibri"/>
        <family val="2"/>
        <scheme val="minor"/>
      </rPr>
      <t>p,charcoal,CO2</t>
    </r>
  </si>
  <si>
    <r>
      <t>BE</t>
    </r>
    <r>
      <rPr>
        <vertAlign val="subscript"/>
        <sz val="11"/>
        <rFont val="Calibri"/>
        <family val="2"/>
        <scheme val="minor"/>
      </rPr>
      <t>b,y,charcoal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b,y,charcoal</t>
    </r>
    <r>
      <rPr>
        <sz val="11"/>
        <rFont val="Calibri"/>
        <family val="2"/>
        <scheme val="minor"/>
      </rPr>
      <t xml:space="preserve"> * Wood to Charcoal factor * ((ʄ</t>
    </r>
    <r>
      <rPr>
        <vertAlign val="subscript"/>
        <sz val="11"/>
        <rFont val="Calibri"/>
        <family val="2"/>
        <scheme val="minor"/>
      </rPr>
      <t xml:space="preserve">NRB,b,y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b,wood,CO2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b,wood,nonCO2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b,wood</t>
    </r>
  </si>
  <si>
    <r>
      <t>BE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* ((ʄ</t>
    </r>
    <r>
      <rPr>
        <vertAlign val="subscript"/>
        <sz val="11"/>
        <rFont val="Calibri"/>
        <family val="2"/>
        <scheme val="minor"/>
      </rPr>
      <t xml:space="preserve">ff,b,y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b,LPG,CO2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b,LPG,nonCO2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b,LPG</t>
    </r>
  </si>
  <si>
    <r>
      <t>PE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* ((ʄ</t>
    </r>
    <r>
      <rPr>
        <vertAlign val="subscript"/>
        <sz val="11"/>
        <rFont val="Calibri"/>
        <family val="2"/>
        <scheme val="minor"/>
      </rPr>
      <t xml:space="preserve">ff,p,y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p,LPG,CO2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p,LPG,nonCO2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p,LPG</t>
    </r>
  </si>
  <si>
    <r>
      <t>Emissions for baseline scenario b during the year y in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</si>
  <si>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Emissions for project scenario p during the year y in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</si>
  <si>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B</t>
    </r>
    <r>
      <rPr>
        <vertAlign val="subscript"/>
        <sz val="11"/>
        <rFont val="Calibri"/>
        <family val="2"/>
        <scheme val="minor"/>
      </rPr>
      <t>b,y,LPG</t>
    </r>
  </si>
  <si>
    <r>
      <t>ʄ</t>
    </r>
    <r>
      <rPr>
        <vertAlign val="subscript"/>
        <sz val="11"/>
        <rFont val="Calibri"/>
        <family val="2"/>
        <scheme val="minor"/>
      </rPr>
      <t>NRB,y</t>
    </r>
  </si>
  <si>
    <r>
      <t>ʄ</t>
    </r>
    <r>
      <rPr>
        <vertAlign val="subscript"/>
        <sz val="11"/>
        <rFont val="Calibri"/>
        <family val="2"/>
        <scheme val="minor"/>
      </rPr>
      <t xml:space="preserve">FF,b, y  /  ʄFF,b, y
</t>
    </r>
  </si>
  <si>
    <r>
      <t>NCV</t>
    </r>
    <r>
      <rPr>
        <vertAlign val="subscript"/>
        <sz val="11"/>
        <rFont val="Calibri"/>
        <family val="2"/>
        <scheme val="minor"/>
      </rPr>
      <t>b,LPG/
NCVp,LPG</t>
    </r>
  </si>
  <si>
    <r>
      <t>EF</t>
    </r>
    <r>
      <rPr>
        <vertAlign val="subscript"/>
        <sz val="11"/>
        <rFont val="Calibri"/>
        <family val="2"/>
        <scheme val="minor"/>
      </rPr>
      <t xml:space="preserve">b,LPG,CO2/
EFp,LPG,CO2
</t>
    </r>
  </si>
  <si>
    <r>
      <t>EF</t>
    </r>
    <r>
      <rPr>
        <vertAlign val="subscript"/>
        <sz val="11"/>
        <rFont val="Calibri"/>
        <family val="2"/>
        <scheme val="minor"/>
      </rPr>
      <t xml:space="preserve">b,LPG,nonCO2/
EFb,LPG,nonCO2
</t>
    </r>
  </si>
  <si>
    <t>Specific  energy  consumption  required  to  boil  one  litre  of  water (kJ)</t>
  </si>
  <si>
    <t>Calculating specific energy consumption required to boil one litre of water (LPG stove)</t>
  </si>
  <si>
    <t>Water quality</t>
  </si>
  <si>
    <t>Water quality, it is the passed rate of CWP that pass the water quality test</t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</si>
  <si>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 (∑BE</t>
    </r>
    <r>
      <rPr>
        <vertAlign val="subscript"/>
        <sz val="11"/>
        <color theme="1"/>
        <rFont val="Calibri"/>
        <family val="2"/>
        <scheme val="minor"/>
      </rPr>
      <t>b,y</t>
    </r>
    <r>
      <rPr>
        <sz val="11"/>
        <color theme="1"/>
        <rFont val="Calibri"/>
        <family val="2"/>
        <scheme val="minor"/>
      </rPr>
      <t xml:space="preserve"> - ∑PE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) * U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Water quality  - ∑LE</t>
    </r>
    <r>
      <rPr>
        <vertAlign val="subscript"/>
        <sz val="11"/>
        <color theme="1"/>
        <rFont val="Calibri"/>
        <family val="2"/>
        <scheme val="minor"/>
      </rPr>
      <t>p,y</t>
    </r>
  </si>
  <si>
    <t>Calculating specific cenergy consumption required to boil one litre of water (LPG stove)</t>
  </si>
  <si>
    <t>AMS III.AV Version 5</t>
  </si>
  <si>
    <r>
      <t>PE</t>
    </r>
    <r>
      <rPr>
        <vertAlign val="subscript"/>
        <sz val="11"/>
        <rFont val="Calibri"/>
        <family val="2"/>
        <scheme val="minor"/>
      </rPr>
      <t>p,y,charcoal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p,y,charcoal</t>
    </r>
    <r>
      <rPr>
        <sz val="11"/>
        <rFont val="Calibri"/>
        <family val="2"/>
        <scheme val="minor"/>
      </rPr>
      <t xml:space="preserve"> *Wood to charcoal factor* ((ʄ</t>
    </r>
    <r>
      <rPr>
        <vertAlign val="subscript"/>
        <sz val="11"/>
        <rFont val="Calibri"/>
        <family val="2"/>
        <scheme val="minor"/>
      </rPr>
      <t>NRB,p,y</t>
    </r>
    <r>
      <rPr>
        <sz val="11"/>
        <rFont val="Calibri"/>
        <family val="2"/>
        <scheme val="minor"/>
      </rPr>
      <t xml:space="preserve"> * EF</t>
    </r>
    <r>
      <rPr>
        <vertAlign val="subscript"/>
        <sz val="11"/>
        <rFont val="Calibri"/>
        <family val="2"/>
        <scheme val="minor"/>
      </rPr>
      <t>p,wood,CO2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p,wood,nonCO2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p,wood</t>
    </r>
  </si>
  <si>
    <t>Slop</t>
  </si>
  <si>
    <t>Sale</t>
  </si>
  <si>
    <t>Intercept</t>
  </si>
  <si>
    <t>Y = SlopX + Intercept</t>
  </si>
  <si>
    <t>HSE_CP2_Cj&amp;Xboil_201710023</t>
  </si>
  <si>
    <t>Quantity of fuel consumed in baseline scenario p during the year y (tonnes)</t>
  </si>
  <si>
    <t>Percentage of passed rate</t>
  </si>
  <si>
    <t>"Technologies and Practices to Displace Decentralized Thermal Energy Consumption" version 3.0, July 2015</t>
  </si>
  <si>
    <t>Checked by changing retirement age</t>
  </si>
  <si>
    <t>CP2-MP1 (END)</t>
  </si>
  <si>
    <t>CP2-MP7 (END)</t>
  </si>
  <si>
    <t>CP2-MP6 (END)</t>
  </si>
  <si>
    <t>CP2-MP5 (END)</t>
  </si>
  <si>
    <t>CP2-MP4 (END)</t>
  </si>
  <si>
    <t>CP2-MP3 (END)</t>
  </si>
  <si>
    <t>CP2-MP2 (END)</t>
  </si>
  <si>
    <t>LPG required to treat 1 litre of water using LPG stove (small)</t>
  </si>
  <si>
    <t>LPG required to treat 1 litre of water using LPG stove (biger than 10kg of gas tank)</t>
  </si>
  <si>
    <t>Percentage of LPG stove (small stove)</t>
  </si>
  <si>
    <t>Percentage of LPG stove (big stove)</t>
  </si>
  <si>
    <t>Average quantity of LPG in tons required to treat 1 litre of water using LPG stove in baseline scenario b during project year y</t>
  </si>
  <si>
    <t>Average Quantity of LPG in tons required to treat 1 litre of water using LPG stove in the project scenario p during project year y</t>
  </si>
  <si>
    <t>Diesel emission</t>
  </si>
  <si>
    <t>Quantity of Diesel in Litre</t>
  </si>
  <si>
    <t>Diesel density</t>
  </si>
  <si>
    <t>Kg/L</t>
  </si>
  <si>
    <t>https://www.dieselnet.com/standards/eu/fuel_reference.php, Table 1.1; Value is 837 kg/m3 converted to Liters = 837 /1000 m3/L = 0.837 kg/L</t>
  </si>
  <si>
    <t>General kowledge</t>
  </si>
  <si>
    <t>Net Calorific Value of Deisel</t>
  </si>
  <si>
    <t>GJ/tonne</t>
  </si>
  <si>
    <t>Emission factor of diesel</t>
  </si>
  <si>
    <t>Number of CWP per monitoring period</t>
  </si>
  <si>
    <t>Total emssion via Diesel use</t>
  </si>
  <si>
    <t>tCO2</t>
  </si>
  <si>
    <t>% compare to Total ER</t>
  </si>
  <si>
    <t>Qty Consumed (L)</t>
  </si>
  <si>
    <t>Diesel</t>
  </si>
  <si>
    <t>Date</t>
  </si>
  <si>
    <t>#Month</t>
  </si>
  <si>
    <t>Summary of Cumulative weighted usage rate</t>
  </si>
  <si>
    <t>CP-MP</t>
  </si>
  <si>
    <t>ER
tCO2e/mo</t>
  </si>
  <si>
    <t xml:space="preserve">Usage Rates from Monitoring Survey, </t>
  </si>
  <si>
    <t>Note:</t>
  </si>
  <si>
    <t>Purchase record of Diesel</t>
  </si>
  <si>
    <t>Source of data</t>
  </si>
  <si>
    <t>HSE(2019)_MonitoringSurvey_V6Final, Tabl 27, page 30</t>
  </si>
  <si>
    <t>Data from Actual sale</t>
  </si>
  <si>
    <t>Percentage of Traditional Stove Users with wood in the project scenario</t>
  </si>
  <si>
    <t>Percentage of Improved Stove Users with wood in the project scenario</t>
  </si>
  <si>
    <t>Percentage of Traditional Stove Users with charcoal in the project scenario</t>
  </si>
  <si>
    <t>Percentage of Improved Stove Users with charcoal in the project scenario</t>
  </si>
  <si>
    <t>Percentage of LPG Stove Users in the project scenario</t>
  </si>
  <si>
    <t>Quantity of Water filtered and fuel saved</t>
  </si>
  <si>
    <t>MP1</t>
  </si>
  <si>
    <t>MP2</t>
  </si>
  <si>
    <t>MP3</t>
  </si>
  <si>
    <t>MP4</t>
  </si>
  <si>
    <t>MP5</t>
  </si>
  <si>
    <t>MP6</t>
  </si>
  <si>
    <t>MP7</t>
  </si>
  <si>
    <t>Average Wood Saved per year per CWP (tonnes/year/CWP)</t>
  </si>
  <si>
    <t>Average Charcoal Saved per yr per CWP (tonnes/year/CWP)</t>
  </si>
  <si>
    <t>Average Wood Saved per mo per CWP (tonnes/month/CWP)</t>
  </si>
  <si>
    <t>Average Charcoal Saved per mo per CWP (tonnes/month/CWP)</t>
  </si>
  <si>
    <t>Number of CWP per household (unit/HH)</t>
  </si>
  <si>
    <t>Cumulative Units in use with passing water quality test</t>
  </si>
  <si>
    <t>Number of days</t>
  </si>
  <si>
    <t>Water consumption (litres per household per month)</t>
  </si>
  <si>
    <t>Total Water consumption per year</t>
  </si>
  <si>
    <t>Water consumption per MP</t>
  </si>
  <si>
    <t>Cumulative Number of people served</t>
  </si>
  <si>
    <t>Wood savings (tonnes per month)</t>
  </si>
  <si>
    <t>Charcoal Savings (tonnes/mo)</t>
  </si>
  <si>
    <t>Annual average</t>
  </si>
  <si>
    <t>Average Annual per MP</t>
  </si>
  <si>
    <t>Water consumption
 (litres per person per day)</t>
  </si>
  <si>
    <t>Number of people per household 
(persons/HH)</t>
  </si>
  <si>
    <t>Average LPG Saved per yr per CWP (tonnes/year/CWP)</t>
  </si>
  <si>
    <t>Average LPG Saved per mo per CWP (tonnes/month/CWP)</t>
  </si>
  <si>
    <t>LPG Savings (tonnes/mo)</t>
  </si>
  <si>
    <t>Calculated based on theorically formular [SEC/NPV_LPG / coverstion factor (TJ to kJ)*conversion factor (tonne to gram)] which is conservative compared to the result from the field test for LPG samll stove.</t>
  </si>
  <si>
    <t>HSE's Projection</t>
  </si>
  <si>
    <t>Chanvibol Meng, Technical Services Manager, Nexus for development</t>
  </si>
  <si>
    <t>HSE(2019)_MonitoringSurvey_V6Final, Table 54</t>
  </si>
  <si>
    <t>HSE(2019)_MonitoringSurvey_V6Final,Table 54</t>
  </si>
  <si>
    <t>HSE(2019)_MonitoringSurvey_V6Final, Table 54, Using lower limit value due to the margin of error (36.45) is greater than the tolerated value (30%).</t>
  </si>
  <si>
    <t>Source</t>
  </si>
  <si>
    <t>Date of testing</t>
  </si>
  <si>
    <t>HSE_CP2-MP1_Wter_Quality_Survey_20181231</t>
  </si>
  <si>
    <t>Dec 2017, March 2018, June 2018, Sept 2018, Dec 2018</t>
  </si>
  <si>
    <t>Units Retired due to application of previous usage approach (up to MP2)</t>
  </si>
  <si>
    <t>Units Retired due age reaching 5 years old or older</t>
  </si>
  <si>
    <r>
      <t>B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= (1-C</t>
    </r>
    <r>
      <rPr>
        <vertAlign val="subscript"/>
        <sz val="11"/>
        <rFont val="Calibri"/>
        <family val="2"/>
        <scheme val="minor"/>
      </rPr>
      <t>j</t>
    </r>
    <r>
      <rPr>
        <sz val="11"/>
        <rFont val="Calibri"/>
        <family val="2"/>
        <scheme val="minor"/>
      </rPr>
      <t>) * N</t>
    </r>
    <r>
      <rPr>
        <vertAlign val="subscript"/>
        <sz val="11"/>
        <rFont val="Calibri"/>
        <family val="2"/>
        <scheme val="minor"/>
      </rPr>
      <t>p,y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* (Q</t>
    </r>
    <r>
      <rPr>
        <vertAlign val="subscript"/>
        <sz val="11"/>
        <rFont val="Calibri"/>
        <family val="2"/>
        <scheme val="minor"/>
      </rPr>
      <t>p,rawboil,y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p,cleanboil,y</t>
    </r>
    <r>
      <rPr>
        <sz val="11"/>
        <rFont val="Calibri"/>
        <family val="2"/>
        <scheme val="minor"/>
      </rPr>
      <t>)</t>
    </r>
    <phoneticPr fontId="56" type="noConversion"/>
  </si>
  <si>
    <r>
      <t>B</t>
    </r>
    <r>
      <rPr>
        <vertAlign val="subscript"/>
        <sz val="11"/>
        <rFont val="Calibri"/>
        <family val="3"/>
        <charset val="134"/>
        <scheme val="minor"/>
      </rPr>
      <t>p,y,LPG</t>
    </r>
    <phoneticPr fontId="56" type="noConversion"/>
  </si>
  <si>
    <t>Quantity of fuel consumed in baseline scenario b during the year y (tonnes)</t>
  </si>
  <si>
    <t>Quantity of charcoal or fossil fuel in tons required to treat 1 litre of water per day using technologies representative of the project scenario p during project year y</t>
  </si>
  <si>
    <t>Quantity of LPG in tons required to treat 1 litre of water per day using technologies representative of the project scenario p during project year y</t>
  </si>
  <si>
    <t>Quantity of LPG  in tons required to treat 1 litre of water per day using technologies representative of the baseline scenario b during project year y as per Baseline Water Boiling Test.</t>
  </si>
  <si>
    <r>
      <t>B</t>
    </r>
    <r>
      <rPr>
        <vertAlign val="subscript"/>
        <sz val="11"/>
        <rFont val="Calibri"/>
        <family val="3"/>
        <charset val="134"/>
        <scheme val="minor"/>
      </rPr>
      <t>b,y</t>
    </r>
    <r>
      <rPr>
        <sz val="11"/>
        <rFont val="Calibri"/>
        <family val="3"/>
        <charset val="134"/>
        <scheme val="minor"/>
      </rPr>
      <t xml:space="preserve"> = Number of person-days * Baseline Fuel used to Treat Water (T/L) * Total Safe Water consumed in project scenario (L/p/d)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</si>
  <si>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b,y,wood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</si>
  <si>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b,y,charcoal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</si>
  <si>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b,y,LPG</t>
    </r>
  </si>
  <si>
    <r>
      <t>N</t>
    </r>
    <r>
      <rPr>
        <vertAlign val="subscript"/>
        <sz val="11"/>
        <rFont val="Calibri"/>
        <family val="3"/>
        <charset val="134"/>
        <scheme val="minor"/>
      </rPr>
      <t>j,y</t>
    </r>
  </si>
  <si>
    <r>
      <t>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 xml:space="preserve"> </t>
    </r>
  </si>
  <si>
    <r>
      <t>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</t>
    </r>
  </si>
  <si>
    <r>
      <t>Q</t>
    </r>
    <r>
      <rPr>
        <vertAlign val="subscript"/>
        <sz val="11"/>
        <rFont val="Calibri"/>
        <family val="3"/>
        <charset val="134"/>
        <scheme val="minor"/>
      </rPr>
      <t>p,rawboil,y</t>
    </r>
  </si>
  <si>
    <r>
      <t>W</t>
    </r>
    <r>
      <rPr>
        <vertAlign val="subscript"/>
        <sz val="11"/>
        <rFont val="Calibri"/>
        <family val="3"/>
        <charset val="134"/>
        <scheme val="minor"/>
      </rPr>
      <t>b,y,LPG</t>
    </r>
  </si>
  <si>
    <t>Calculating SDG constribution</t>
  </si>
  <si>
    <t>Fuel saving (tonne)</t>
  </si>
  <si>
    <t># People less smoke</t>
  </si>
  <si>
    <t># Women</t>
  </si>
  <si>
    <t># People access to safe drinking water</t>
  </si>
  <si>
    <t>Amount of energy save 
(TJ)</t>
  </si>
  <si>
    <t># new job created</t>
  </si>
  <si>
    <t>VERs 
(tCO2e)</t>
  </si>
  <si>
    <t>Area of forest 
(Ha)</t>
  </si>
  <si>
    <t>SDG1</t>
  </si>
  <si>
    <t>SDG3</t>
  </si>
  <si>
    <t>SDG5</t>
  </si>
  <si>
    <t>SDG6</t>
  </si>
  <si>
    <t>SDG7</t>
  </si>
  <si>
    <t>SDG8</t>
  </si>
  <si>
    <t>SDG13</t>
  </si>
  <si>
    <t>SDG15</t>
  </si>
  <si>
    <t>SDG1 (a) Biomass saved</t>
  </si>
  <si>
    <t>SDG1 (b) 
LPG saved</t>
  </si>
  <si>
    <t>SDG1 (c) % of HH noted on money save</t>
  </si>
  <si>
    <t>SDG1 (d) 
of % of HH noted on time save</t>
  </si>
  <si>
    <t>SDG3
# People noted less smoke</t>
  </si>
  <si>
    <t>SDG5
# of women and girl boiling</t>
  </si>
  <si>
    <t>SDG6 
# People access to safe drinking water</t>
  </si>
  <si>
    <t>SDG7
Energy save</t>
  </si>
  <si>
    <t>SDG8
# of people</t>
  </si>
  <si>
    <t>ER</t>
  </si>
  <si>
    <t>Area of forest save 
(Ha)</t>
  </si>
  <si>
    <t xml:space="preserve">Result from monitoring survey </t>
  </si>
  <si>
    <r>
      <t>Average percentage of household noted</t>
    </r>
    <r>
      <rPr>
        <sz val="11"/>
        <color rgb="FFFF0000"/>
        <rFont val="Calibri"/>
        <family val="2"/>
        <scheme val="minor"/>
      </rPr>
      <t xml:space="preserve"> on </t>
    </r>
    <r>
      <rPr>
        <b/>
        <sz val="11"/>
        <color rgb="FFFF0000"/>
        <rFont val="Calibri"/>
        <family val="2"/>
        <scheme val="minor"/>
      </rPr>
      <t>money save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after using CWP</t>
    </r>
  </si>
  <si>
    <r>
      <t xml:space="preserve">Average percentage of household noted </t>
    </r>
    <r>
      <rPr>
        <b/>
        <sz val="11"/>
        <color rgb="FFFF0000"/>
        <rFont val="Calibri"/>
        <family val="2"/>
        <scheme val="minor"/>
      </rPr>
      <t>on time save</t>
    </r>
    <r>
      <rPr>
        <sz val="11"/>
        <color theme="1"/>
        <rFont val="Calibri"/>
        <family val="2"/>
        <scheme val="minor"/>
      </rPr>
      <t xml:space="preserve"> after using CWP</t>
    </r>
  </si>
  <si>
    <r>
      <t>Average percentage of people noted</t>
    </r>
    <r>
      <rPr>
        <b/>
        <sz val="11"/>
        <color rgb="FFFF0000"/>
        <rFont val="Calibri"/>
        <family val="2"/>
        <scheme val="minor"/>
      </rPr>
      <t xml:space="preserve"> less smoke</t>
    </r>
    <r>
      <rPr>
        <sz val="11"/>
        <color theme="1"/>
        <rFont val="Calibri"/>
        <family val="2"/>
        <scheme val="minor"/>
      </rPr>
      <t xml:space="preserve"> in kitchen after using CWP</t>
    </r>
  </si>
  <si>
    <r>
      <t xml:space="preserve">Average percentage of </t>
    </r>
    <r>
      <rPr>
        <b/>
        <sz val="11"/>
        <color rgb="FFFF0000"/>
        <rFont val="Calibri"/>
        <family val="2"/>
        <scheme val="minor"/>
      </rPr>
      <t>women and girl</t>
    </r>
    <r>
      <rPr>
        <sz val="11"/>
        <color theme="1"/>
        <rFont val="Calibri"/>
        <family val="2"/>
        <scheme val="minor"/>
      </rPr>
      <t xml:space="preserve"> per household </t>
    </r>
  </si>
  <si>
    <r>
      <t xml:space="preserve">Average percentage of </t>
    </r>
    <r>
      <rPr>
        <b/>
        <sz val="11"/>
        <color rgb="FFFF0000"/>
        <rFont val="Calibri"/>
        <family val="2"/>
        <scheme val="minor"/>
      </rPr>
      <t>women and girl</t>
    </r>
    <r>
      <rPr>
        <sz val="11"/>
        <color theme="1"/>
        <rFont val="Calibri"/>
        <family val="2"/>
        <scheme val="minor"/>
      </rPr>
      <t xml:space="preserve"> boiling and collecting fuel</t>
    </r>
  </si>
  <si>
    <r>
      <t>Average number of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employed staffs</t>
    </r>
  </si>
  <si>
    <t>Calculating Growing stock of forest</t>
  </si>
  <si>
    <t>Growing Stock (tonnes) per Hectare - Cambodia</t>
  </si>
  <si>
    <t>Data from FAO data for Cambodia forest (m3/ha)</t>
  </si>
  <si>
    <t>m3/ha</t>
  </si>
  <si>
    <t>Global Forest Resources Assessment 2015, Page 79, Table 13 Growing stock in forest and other wooded land 2015</t>
  </si>
  <si>
    <t>Biomass default 69tonne/ha: 40m3/ha=1.7 (tonne/m3)</t>
  </si>
  <si>
    <t>tonne/m3</t>
  </si>
  <si>
    <t>Page 12, Chpater 3: LUCF sector Good Practice Guidance IPCC.</t>
  </si>
  <si>
    <t>tonne/ha</t>
  </si>
  <si>
    <t>Fuel saving (tonne) and % of HH noted on money save and time save</t>
  </si>
  <si>
    <t>March 2019, July 2019, Sept 2019, Dec 2019</t>
  </si>
  <si>
    <t>Do not touch tab highlighted in orange.</t>
  </si>
  <si>
    <t>Feel free to edit tab highligted in Yellow.</t>
  </si>
  <si>
    <t>Percentage of 3-stone stove users with wood in the project scenario</t>
  </si>
  <si>
    <t>Percentage of Traditional Stove Users with wood in the project scenario (combined)</t>
  </si>
  <si>
    <t>HSE(2019)_MonitoringSurvey_V6Final, page 37, considered as baseline because this monitoring survey is the closest study to that of baseline study.</t>
  </si>
  <si>
    <t>HSE(2019)_MonitoringSurvey_V6Final, page 37, considered as baseline because this monitoring survey is the closest study to that of baseline study</t>
  </si>
  <si>
    <t>ARC_HSE_MS_2020_Final_Report_V12_final, Table 25</t>
  </si>
  <si>
    <t>Hydrologic staff report 2020</t>
  </si>
  <si>
    <t>ARC_HSE_MS_2020_Final_Report_V12_final, Table 20</t>
  </si>
  <si>
    <t>Water quality test results in 2019</t>
  </si>
  <si>
    <t>Quantity of gasoline in Litre</t>
  </si>
  <si>
    <t>Gasoline</t>
  </si>
  <si>
    <t>Gasoline density</t>
  </si>
  <si>
    <t>REDD Methodological Module “Estimation of emissions from fossil fuel combustion”</t>
  </si>
  <si>
    <t>kg/L</t>
  </si>
  <si>
    <t>TJ/Gg</t>
  </si>
  <si>
    <t>IPCC Vol 2,  Energy, Chapter 1, table 1.2</t>
  </si>
  <si>
    <t>Net Calorific Value of Gasoline</t>
  </si>
  <si>
    <t>Total emssion via Gasoline use</t>
  </si>
  <si>
    <t>CO2</t>
  </si>
  <si>
    <t>CH4</t>
  </si>
  <si>
    <t>N2O</t>
  </si>
  <si>
    <t>Emission Gasoline (kg/TJ)</t>
  </si>
  <si>
    <t>Table 2.4, Volume 2.2 Energy, IPCC 2006</t>
  </si>
  <si>
    <t>Emission Diesel (kg/TJ)</t>
  </si>
  <si>
    <t>Global Warming Potential (GWP)</t>
  </si>
  <si>
    <t>IPCC Fourth Assessment Report (AR4)</t>
  </si>
  <si>
    <t>Emission factor of gasoline</t>
  </si>
  <si>
    <t>Conversion from kg to Gg</t>
  </si>
  <si>
    <t xml:space="preserve">Combine total emmission </t>
  </si>
  <si>
    <t>tCO2e/CWP</t>
  </si>
  <si>
    <t>Calculating SDG's Project scenario</t>
  </si>
  <si>
    <t>Calculating SDG's baseline scenario</t>
  </si>
  <si>
    <t>Calculating Net SDG's contribution</t>
  </si>
  <si>
    <t>Calculating SDG's project scenario</t>
  </si>
  <si>
    <t>Calculating SDG' net contribution</t>
  </si>
  <si>
    <t>Emission</t>
  </si>
  <si>
    <t>Weighted aveage usage rate</t>
  </si>
  <si>
    <t>% of passing water quality test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</si>
  <si>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b,y,WEIGHTED,charcoal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</si>
  <si>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p,y,WEIGHTED,charcoal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</si>
  <si>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p,y,WEIGHTED,wood</t>
    </r>
  </si>
  <si>
    <r>
      <t>W</t>
    </r>
    <r>
      <rPr>
        <vertAlign val="subscript"/>
        <sz val="11"/>
        <color theme="1"/>
        <rFont val="Calibri"/>
        <family val="2"/>
        <scheme val="minor"/>
      </rPr>
      <t>b,y,WEIGHTED,wood</t>
    </r>
  </si>
  <si>
    <t>Quantity of charcoal in tons required to treat 1 litre of water per day using technologies representative of the project scenario p during project year y</t>
  </si>
  <si>
    <t>Quantity of LPG in tons required to treat 1 litre of water per day using technologies representative of baseline scenario b during project year y</t>
  </si>
  <si>
    <r>
      <t>B</t>
    </r>
    <r>
      <rPr>
        <vertAlign val="subscript"/>
        <sz val="11"/>
        <rFont val="Calibri"/>
        <family val="3"/>
        <charset val="134"/>
        <scheme val="minor"/>
      </rPr>
      <t>b,y,LPG</t>
    </r>
    <r>
      <rPr>
        <sz val="11"/>
        <rFont val="Calibri"/>
        <family val="3"/>
        <charset val="134"/>
        <scheme val="minor"/>
      </rPr>
      <t xml:space="preserve"> = (1-Xboil) *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3"/>
        <charset val="134"/>
        <scheme val="minor"/>
      </rPr>
      <t xml:space="preserve">j,y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b,y,LPG</t>
    </r>
    <r>
      <rPr>
        <sz val="11"/>
        <rFont val="Calibri"/>
        <family val="2"/>
        <scheme val="minor"/>
      </rPr>
      <t>)</t>
    </r>
    <r>
      <rPr>
        <sz val="11"/>
        <rFont val="Calibri"/>
        <family val="3"/>
        <charset val="134"/>
        <scheme val="minor"/>
      </rPr>
      <t xml:space="preserve"> 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</si>
  <si>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b,y,charcoal</t>
    </r>
    <r>
      <rPr>
        <sz val="11"/>
        <rFont val="Calibri"/>
        <family val="3"/>
        <charset val="134"/>
        <scheme val="minor"/>
      </rPr>
      <t xml:space="preserve"> = (1-Xboil) *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3"/>
        <charset val="134"/>
        <scheme val="minor"/>
      </rPr>
      <t xml:space="preserve">j,y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b,y,WEIGHTED,charcoal</t>
    </r>
    <r>
      <rPr>
        <sz val="11"/>
        <rFont val="Calibri"/>
        <family val="2"/>
        <scheme val="minor"/>
      </rPr>
      <t xml:space="preserve">) </t>
    </r>
    <r>
      <rPr>
        <sz val="11"/>
        <rFont val="Calibri"/>
        <family val="3"/>
        <charset val="134"/>
        <scheme val="minor"/>
      </rPr>
      <t>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</si>
  <si>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b,y,wood</t>
    </r>
    <r>
      <rPr>
        <sz val="11"/>
        <rFont val="Calibri"/>
        <family val="3"/>
        <charset val="134"/>
        <scheme val="minor"/>
      </rPr>
      <t xml:space="preserve"> = (1-Xboil) * 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3"/>
        <charset val="134"/>
        <scheme val="minor"/>
      </rPr>
      <t xml:space="preserve">j,y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b,y,WEIGHTED,wood</t>
    </r>
    <r>
      <rPr>
        <sz val="11"/>
        <rFont val="Calibri"/>
        <family val="2"/>
        <scheme val="minor"/>
      </rPr>
      <t>)</t>
    </r>
    <r>
      <rPr>
        <sz val="11"/>
        <rFont val="Calibri"/>
        <family val="3"/>
        <charset val="134"/>
        <scheme val="minor"/>
      </rPr>
      <t xml:space="preserve"> 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</si>
  <si>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r>
      <t>W</t>
    </r>
    <r>
      <rPr>
        <vertAlign val="subscript"/>
        <sz val="11"/>
        <rFont val="Calibri"/>
        <family val="3"/>
        <charset val="134"/>
        <scheme val="minor"/>
      </rPr>
      <t>b,y,WEIGHTED,wood</t>
    </r>
  </si>
  <si>
    <r>
      <t>W</t>
    </r>
    <r>
      <rPr>
        <vertAlign val="subscript"/>
        <sz val="11"/>
        <rFont val="Calibri"/>
        <family val="3"/>
        <charset val="134"/>
        <scheme val="minor"/>
      </rPr>
      <t>b,y,WEIGHTED,charcoal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</si>
  <si>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= (1-C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 * N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p,y,WEIGHTED,wood</t>
    </r>
    <r>
      <rPr>
        <sz val="11"/>
        <color theme="1"/>
        <rFont val="Calibri"/>
        <family val="2"/>
        <scheme val="minor"/>
      </rPr>
      <t xml:space="preserve"> * (Q</t>
    </r>
    <r>
      <rPr>
        <vertAlign val="subscript"/>
        <sz val="11"/>
        <color theme="1"/>
        <rFont val="Calibri"/>
        <family val="2"/>
        <scheme val="minor"/>
      </rPr>
      <t>p,rawboil,y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p,cleanboil,y</t>
    </r>
    <r>
      <rPr>
        <sz val="11"/>
        <color theme="1"/>
        <rFont val="Calibri"/>
        <family val="2"/>
        <scheme val="minor"/>
      </rPr>
      <t>)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</si>
  <si>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p,y,charcoal</t>
    </r>
    <r>
      <rPr>
        <sz val="11"/>
        <color theme="1"/>
        <rFont val="Calibri"/>
        <family val="2"/>
        <scheme val="minor"/>
      </rPr>
      <t xml:space="preserve"> = (1-C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 * N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p,y,WEIGHTED,charcoal</t>
    </r>
    <r>
      <rPr>
        <sz val="11"/>
        <color theme="1"/>
        <rFont val="Calibri"/>
        <family val="2"/>
        <scheme val="minor"/>
      </rPr>
      <t xml:space="preserve"> * (Q</t>
    </r>
    <r>
      <rPr>
        <vertAlign val="subscript"/>
        <sz val="11"/>
        <color theme="1"/>
        <rFont val="Calibri"/>
        <family val="2"/>
        <scheme val="minor"/>
      </rPr>
      <t>p,rawboil,y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p,cleanboil,y</t>
    </r>
    <r>
      <rPr>
        <sz val="11"/>
        <color theme="1"/>
        <rFont val="Calibri"/>
        <family val="2"/>
        <scheme val="minor"/>
      </rPr>
      <t>)</t>
    </r>
  </si>
  <si>
    <r>
      <t>W</t>
    </r>
    <r>
      <rPr>
        <vertAlign val="subscript"/>
        <sz val="11"/>
        <color theme="1"/>
        <rFont val="Calibri"/>
        <family val="2"/>
        <scheme val="minor"/>
      </rPr>
      <t>b,y,WEIGHTED,LPG</t>
    </r>
  </si>
  <si>
    <r>
      <t>W</t>
    </r>
    <r>
      <rPr>
        <vertAlign val="subscript"/>
        <sz val="11"/>
        <color theme="1"/>
        <rFont val="Calibri"/>
        <family val="2"/>
        <scheme val="minor"/>
      </rPr>
      <t>p,y,WEIGHTED,LPG</t>
    </r>
  </si>
  <si>
    <t>Average quantity of LPG in tons required to treat 1 litre of water using LPG stove in baseline scenario b during project year y * Percentage of LPG stove used in basline scenario</t>
  </si>
  <si>
    <t>Average quantity of LPG in tons required to treat 1 litre of water using LPG stove in project scenario b during project year y * Percentage of LPG stove used in project scenario</t>
  </si>
  <si>
    <t xml:space="preserve">It is to little too be considered. IPCC (2006) "IPCC Guidelines for National Greenhouse Gas Inventories", Volume 2, Energy, Chapter 2, Stationary Combustion, Table 2.5
</t>
  </si>
  <si>
    <t>Check ARC Report 2021</t>
  </si>
  <si>
    <t>Ok checked</t>
  </si>
  <si>
    <t>Ok, checked</t>
  </si>
  <si>
    <t>© (2021) Nexus-Carbon for Development</t>
  </si>
  <si>
    <t>Sale database</t>
  </si>
  <si>
    <t>No wood purchased in other months beside mentioned above from 1st Jan to 31st Dec 2020</t>
  </si>
  <si>
    <t>HSE CP2-MP3 Wood and Diesel purchase</t>
  </si>
  <si>
    <r>
      <t>Reference:</t>
    </r>
    <r>
      <rPr>
        <sz val="11"/>
        <color theme="1"/>
        <rFont val="Calibri"/>
        <family val="2"/>
        <scheme val="minor"/>
      </rPr>
      <t xml:space="preserve"> "HSE_CP2_MP3_Wood&amp;Diesel_Purchase"</t>
    </r>
  </si>
  <si>
    <t>Percentage of concrete stove users with wood in the project scenario</t>
  </si>
  <si>
    <t>Calculated, for similicity and conservativeness 3-stone stove and concrete stove are included in Traditional cookstove</t>
  </si>
  <si>
    <t>ARC_HSE_CP2-MP3_2021_Final_Report_V8_Clean</t>
  </si>
  <si>
    <t>ARC_HSE_CP2-MP3_2021_Final_Report_V8_Clean, Table 24</t>
  </si>
  <si>
    <t>ARC_HSE_CP2-MP3_2021_Final_Report_V8_Clean, Table 38</t>
  </si>
  <si>
    <t>ARC_HSE_CP2-MP3_2021_Final_Report_V8_Clean, Table 38, uisng upper limit value due to the margin of error is greater than 10%</t>
  </si>
  <si>
    <t>ARC_HSE_CP2-MP3_2021_Final_Report_V8_Clean, page 30</t>
  </si>
  <si>
    <t>ARC_HSE_CP2-MP3_2021_Final_Report_V8_Clean, Table 19</t>
  </si>
  <si>
    <t>ARC_HSE_CP2-MP3_2021_Final_Report_V8_Clean, Table 33</t>
  </si>
  <si>
    <t>ARC_HSE_CP2-MP3_2021_Final_Report_V8_Clean, Table 32, 34</t>
  </si>
  <si>
    <t>ARC_HSE_CP2-MP3_2021_Final_Report_V8_Clean, Table 32</t>
  </si>
  <si>
    <t>ARC_HSE_CP2-MP3_2021_Final_Report_V8_Clean, Table 3</t>
  </si>
  <si>
    <t>ARC_HSE_CP2-MP3_2021_Final_Report_V8_Clean, Table 25, calculated (average of women and girl boiling and collecting fuel before having Tunsai)</t>
  </si>
  <si>
    <t>March 2020, June 2020, Sept 2020, Dec 2020</t>
  </si>
  <si>
    <t>Total distributed water purifier</t>
  </si>
  <si>
    <t>Weighted average usage rate</t>
  </si>
  <si>
    <t xml:space="preserve">Water quality passing rate </t>
  </si>
  <si>
    <t>Hygiene Campaigns</t>
  </si>
  <si>
    <t>Number of people attending hygiene meeting</t>
  </si>
  <si>
    <r>
      <t xml:space="preserve">Number of people attends the meeting </t>
    </r>
    <r>
      <rPr>
        <sz val="11"/>
        <color rgb="FFFF0000"/>
        <rFont val="Calibri"/>
        <family val="2"/>
        <scheme val="minor"/>
      </rPr>
      <t>Hygiene campaigns</t>
    </r>
  </si>
  <si>
    <t>HSE-CP2MP3 Hygiene Campaign</t>
  </si>
  <si>
    <t>%</t>
  </si>
  <si>
    <t>People</t>
  </si>
  <si>
    <t>Quantity of purified water consumed in the project scenario p per person per day</t>
  </si>
  <si>
    <t>Litres/person/day</t>
  </si>
  <si>
    <t>The raw or unsafe water that is still boiled after installation of the CWP</t>
  </si>
  <si>
    <t>Quantity of safe water (treated or from safe supply) boiled in the project scenario p, after installation of the CWP</t>
  </si>
  <si>
    <t>Women%_HH</t>
  </si>
  <si>
    <t>Average percentage of women and girls per household who use CWP</t>
  </si>
  <si>
    <t>Women%</t>
  </si>
  <si>
    <t>Average percentage of women and girls responsible for water boiling and collecting/purchasing cooking fuel before having CWPs</t>
  </si>
  <si>
    <t>% of households notice that their kitchen is less smoke</t>
  </si>
  <si>
    <t>Percentage of LPG stove usage in the project scenario</t>
  </si>
  <si>
    <t>Percentage of small LPG stove usage in the project scenario</t>
  </si>
  <si>
    <t>Percentage of large LPG stove usage in the project scenario</t>
  </si>
  <si>
    <t>Leakage emissions for project scenario p during year y</t>
  </si>
  <si>
    <t>tCO2e/Unit</t>
  </si>
  <si>
    <t>Net benefit (a) of SDG1</t>
  </si>
  <si>
    <t>Total amount of biomass fuel saves</t>
  </si>
  <si>
    <t>Net benefit (b) of SDG1</t>
  </si>
  <si>
    <t>Total amount of LPG saves</t>
  </si>
  <si>
    <t>tonne</t>
  </si>
  <si>
    <t>Net benefit (c) of SDG1</t>
  </si>
  <si>
    <t>Percentage of household noted on money save after using the project technology</t>
  </si>
  <si>
    <t>Net benefit (d) of SDG1</t>
  </si>
  <si>
    <t>Percentage of household noted on time save after using the project technology</t>
  </si>
  <si>
    <t>Net benefits of SDG3</t>
  </si>
  <si>
    <t>Number of people using CWP and note that their kitchen is less smoke</t>
  </si>
  <si>
    <t>Net benefits of SDG5</t>
  </si>
  <si>
    <t>The number of women and girls benefiting from stop/reduce boiling water and collecting/purchasing cooking fuel</t>
  </si>
  <si>
    <t>Net benefits of SDG6</t>
  </si>
  <si>
    <t>Number of people with access to safe drinking water</t>
  </si>
  <si>
    <t>Net benefits of SDG7</t>
  </si>
  <si>
    <t>Amount of energy saved from avoiding boiling water</t>
  </si>
  <si>
    <t>TJ</t>
  </si>
  <si>
    <t>Net benefit of SDG8</t>
  </si>
  <si>
    <t>Number of new job created by the project with safe and healthy work environment</t>
  </si>
  <si>
    <t>Net benefits of SDG13</t>
  </si>
  <si>
    <t>Amount of ER</t>
  </si>
  <si>
    <t>Net benefits of SDG15</t>
  </si>
  <si>
    <t>No</t>
  </si>
  <si>
    <t>Area of forest save</t>
  </si>
  <si>
    <t>Hectare</t>
  </si>
  <si>
    <t>Staff</t>
  </si>
  <si>
    <r>
      <t>T</t>
    </r>
    <r>
      <rPr>
        <vertAlign val="subscript"/>
        <sz val="10"/>
        <rFont val="Verdana"/>
        <family val="2"/>
      </rPr>
      <t>p,y</t>
    </r>
  </si>
  <si>
    <r>
      <t>U</t>
    </r>
    <r>
      <rPr>
        <vertAlign val="subscript"/>
        <sz val="10"/>
        <rFont val="Verdana"/>
        <family val="2"/>
      </rPr>
      <t>p,y</t>
    </r>
  </si>
  <si>
    <r>
      <t>WQ</t>
    </r>
    <r>
      <rPr>
        <vertAlign val="subscript"/>
        <sz val="10"/>
        <rFont val="Verdana"/>
        <family val="2"/>
      </rPr>
      <t>Passed,y</t>
    </r>
  </si>
  <si>
    <r>
      <t>N</t>
    </r>
    <r>
      <rPr>
        <vertAlign val="subscript"/>
        <sz val="10"/>
        <rFont val="Calibri"/>
        <family val="2"/>
        <scheme val="minor"/>
      </rPr>
      <t>p,y</t>
    </r>
  </si>
  <si>
    <r>
      <t>Q</t>
    </r>
    <r>
      <rPr>
        <vertAlign val="subscript"/>
        <sz val="10"/>
        <rFont val="Verdana"/>
        <family val="2"/>
      </rPr>
      <t>p,y</t>
    </r>
  </si>
  <si>
    <r>
      <t>Q</t>
    </r>
    <r>
      <rPr>
        <vertAlign val="subscript"/>
        <sz val="10"/>
        <rFont val="Verdana"/>
        <family val="2"/>
      </rPr>
      <t>p,rawboil,y</t>
    </r>
  </si>
  <si>
    <r>
      <t>Q</t>
    </r>
    <r>
      <rPr>
        <vertAlign val="subscript"/>
        <sz val="10"/>
        <rFont val="Verdana"/>
        <family val="2"/>
      </rPr>
      <t>p,cleanboil,y</t>
    </r>
  </si>
  <si>
    <r>
      <t>N</t>
    </r>
    <r>
      <rPr>
        <vertAlign val="subscript"/>
        <sz val="10"/>
        <rFont val="Calibri"/>
        <family val="2"/>
        <scheme val="minor"/>
      </rPr>
      <t>Less_smoke,y</t>
    </r>
  </si>
  <si>
    <r>
      <t>LE</t>
    </r>
    <r>
      <rPr>
        <vertAlign val="subscript"/>
        <sz val="10"/>
        <rFont val="Verdana"/>
        <family val="2"/>
      </rPr>
      <t>p,y</t>
    </r>
  </si>
  <si>
    <t>ARC_HSE_MS_2020_Final_Report_V12_final, Table 35</t>
  </si>
  <si>
    <t>ARC_HSE_MS_2020_Final_Report_V12_final, Table 34 and Table 36</t>
  </si>
  <si>
    <t>ARC_HSE_MS_2020_Final_Report_V12_final, Table 34</t>
  </si>
  <si>
    <t>ARC_HSE_MS_2020_Final_Report_V12_final, Table 3</t>
  </si>
  <si>
    <t>ARC_HSE_MS_2020_Final_Report_V12_final, Table 26, calculated (average of women and girl boiling and collecting fuel before having Tunsai)</t>
  </si>
  <si>
    <t>Hygiene Champaign Attendant list 2019</t>
  </si>
  <si>
    <t>PDD</t>
  </si>
  <si>
    <t>HSE(2019)_MonitoringSurvey_V6Final, page 44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</si>
  <si>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</si>
  <si>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P,y</t>
    </r>
  </si>
  <si>
    <r>
      <t>Q</t>
    </r>
    <r>
      <rPr>
        <b/>
        <vertAlign val="subscript"/>
        <sz val="10"/>
        <rFont val="Verdana"/>
        <family val="2"/>
      </rPr>
      <t>p,y</t>
    </r>
  </si>
  <si>
    <r>
      <t>Q</t>
    </r>
    <r>
      <rPr>
        <b/>
        <vertAlign val="subscript"/>
        <sz val="10"/>
        <rFont val="Verdana"/>
        <family val="2"/>
      </rPr>
      <t>p,rawboil,y</t>
    </r>
  </si>
  <si>
    <r>
      <t>Q</t>
    </r>
    <r>
      <rPr>
        <b/>
        <vertAlign val="subscript"/>
        <sz val="10"/>
        <rFont val="Verdana"/>
        <family val="2"/>
      </rPr>
      <t>p,cleanboil,y</t>
    </r>
  </si>
  <si>
    <t>Percentage of Traditional Stove Users with wood in the project scenario_survey</t>
  </si>
  <si>
    <t>Calculated, for similicity and conservativeness 3-stone stove is included in Traditional cookstove</t>
  </si>
  <si>
    <t>ARC_HSE_MS_2020_Final_Report_V12_final, page  31</t>
  </si>
  <si>
    <t>Reference: "HSE_CP2MP3_Wood&amp;Diesel_Record"</t>
  </si>
  <si>
    <t>Leakage record</t>
  </si>
  <si>
    <t>HSE_CP2-MP2_ER_Cal_V2.0_20200511</t>
  </si>
  <si>
    <t>Value obtained in this Monitoring period (CP2-MP3)</t>
  </si>
  <si>
    <t>Value obtained last monitoring period (CP2-MP2)</t>
  </si>
  <si>
    <t>Baseline outcome</t>
  </si>
  <si>
    <t>SDG1 (a) Biomass use</t>
  </si>
  <si>
    <t>SDG1 (b) LPG use</t>
  </si>
  <si>
    <t>SDG1 (d) of % of HH noted on time save</t>
  </si>
  <si>
    <t>Net benefits</t>
  </si>
  <si>
    <t>SDG 3</t>
  </si>
  <si>
    <t>SDG 5</t>
  </si>
  <si>
    <t>SDG 6</t>
  </si>
  <si>
    <t>SDG 8</t>
  </si>
  <si>
    <t>SDG 13</t>
  </si>
  <si>
    <t>Summary of net benefits</t>
  </si>
  <si>
    <t>Values estimated in ex ante calculation of approved PDD/Transition Annex</t>
  </si>
  <si>
    <t>Actual values achieved during this monitoring period</t>
  </si>
  <si>
    <t>SDG 1 (a)</t>
  </si>
  <si>
    <t>The amount of biomass save (tonnes)</t>
  </si>
  <si>
    <t>SDG 1 (b)</t>
  </si>
  <si>
    <t>The amount of LPG save  (tonnes)</t>
  </si>
  <si>
    <t>SDG 1 (c)</t>
  </si>
  <si>
    <t>% Of household noted on money save after using the project technology</t>
  </si>
  <si>
    <t>SDG 1 (d)</t>
  </si>
  <si>
    <t xml:space="preserve"> % Of household noted on time save after using the project technology </t>
  </si>
  <si>
    <t xml:space="preserve">Number of people who notice less smoke in kitchen after having water filter  </t>
  </si>
  <si>
    <t>Number of women and girls benefiting from stop/reduce boiling water and collecting/purchasing cooking fuel</t>
  </si>
  <si>
    <t xml:space="preserve">Number of people access to safe drinking water </t>
  </si>
  <si>
    <t>Amount of energy saves from avoiding boiling water in the project activity (TJ)</t>
  </si>
  <si>
    <t>The number of new job created by the project with safe and healthy work environment</t>
  </si>
  <si>
    <t>Amount of emission (tCO2e)</t>
  </si>
  <si>
    <t>The areas of forest save (Hectare)</t>
  </si>
  <si>
    <t>CP2-MP3 in PDD</t>
  </si>
  <si>
    <t>CP2-MP3 (Actual)</t>
  </si>
  <si>
    <t>See Leakage tab</t>
  </si>
  <si>
    <t>WQ_test</t>
  </si>
  <si>
    <t>Weighted Usage Rate for filters credited in this monitoring period</t>
  </si>
  <si>
    <t>% of passing water quality test in this monitoring period</t>
  </si>
  <si>
    <t>Water quality test</t>
  </si>
  <si>
    <t>ER spread sheet of PDD</t>
  </si>
  <si>
    <t>Project outcome + Leakage</t>
  </si>
  <si>
    <t xml:space="preserve">Below is the calculation of the weighted usage rate for CP2-MP3 and for subsequent monitoring periods based on usage rate in CP2-MP3
</t>
  </si>
  <si>
    <r>
      <t>NOTE ON REFERENCE: 
- Units sold  (column D) from Dec 2010 to Dec 2018 were verified during the 1st, 2nd, 3rd, 4th, 5th, 6th, 7th, 8th (CP2-MP1), CP2-MP2 Verifications. For this CP2-MP3, the sale come from "HSE_CP2MP3_Sales_Database". Future sales projections a</t>
    </r>
    <r>
      <rPr>
        <sz val="11"/>
        <color theme="1"/>
        <rFont val="Calibri"/>
        <family val="2"/>
        <scheme val="minor"/>
      </rPr>
      <t xml:space="preserve">re based on hydrologic sale projection plan. </t>
    </r>
    <r>
      <rPr>
        <i/>
        <sz val="11"/>
        <color theme="1"/>
        <rFont val="Calibri"/>
        <family val="2"/>
        <scheme val="minor"/>
      </rPr>
      <t>This data will be updated for the following verification and is only an estimate at the moment.</t>
    </r>
  </si>
  <si>
    <t>SDG</t>
  </si>
  <si>
    <t>SDG Impacts</t>
  </si>
  <si>
    <t>Water quality test results in 2020, see detail in "HSE_CP2-MP3_Water_Quality_Result"</t>
  </si>
  <si>
    <t>CP2-MP1 and its sequential MPs</t>
  </si>
  <si>
    <t>Version 3.0, 12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</si>
</sst>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0"/>
    <numFmt numFmtId="167" formatCode="0.000"/>
    <numFmt numFmtId="168" formatCode="_-* #,##0.000000_-;\-* #,##0.000000_-;_-* &quot;-&quot;??_-;_-@_-"/>
    <numFmt numFmtId="169" formatCode="0.00000"/>
    <numFmt numFmtId="170" formatCode="_-* #,##0.000_-;\-* #,##0.000_-;_-* &quot;-&quot;??_-;_-@_-"/>
    <numFmt numFmtId="171" formatCode="_-* #,##0.0000_-;\-* #,##0.0000_-;_-* &quot;-&quot;??_-;_-@_-"/>
    <numFmt numFmtId="172" formatCode="_(* #,##0_);_(* \(#,##0\);_(* &quot;-&quot;??_);_(@_)"/>
    <numFmt numFmtId="173" formatCode="_(* #,##0.000_);_(* \(#,##0.000\);_(* &quot;-&quot;??_);_(@_)"/>
    <numFmt numFmtId="174" formatCode="[$-409]d\-mmm\-yy;@"/>
    <numFmt numFmtId="175" formatCode="#,##0.00;\-#,##0.00;* ??"/>
    <numFmt numFmtId="176" formatCode="0.0%"/>
    <numFmt numFmtId="177" formatCode="#,##0.00_ ;\-#,##0.00\ "/>
    <numFmt numFmtId="178" formatCode="0.000%"/>
    <numFmt numFmtId="179" formatCode="_(* #,##0.0000_);_(* \(#,##0.0000\);_(* &quot;-&quot;??_);_(@_)"/>
    <numFmt numFmtId="180" formatCode="[$-409]mmm/yy;@"/>
    <numFmt numFmtId="181" formatCode="0.0000000"/>
    <numFmt numFmtId="182" formatCode="_-* #,##0.0000000_-;\-* #,##0.0000000_-;_-* &quot;-&quot;??_-;_-@_-"/>
    <numFmt numFmtId="183" formatCode="_(* #,##0.00000000_);_(* \(#,##0.00000000\);_(* &quot;-&quot;??_);_(@_)"/>
    <numFmt numFmtId="184" formatCode="[$-409]mmmm\-yy;@"/>
    <numFmt numFmtId="185" formatCode="_(* #,##0.0000000_);_(* \(#,##0.0000000\);_(* &quot;-&quot;??_);_(@_)"/>
  </numFmts>
  <fonts count="7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FF0000"/>
      <name val="Calibri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vertAlign val="subscript"/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464849"/>
      <name val="Calibri"/>
      <family val="2"/>
      <scheme val="minor"/>
    </font>
    <font>
      <sz val="11"/>
      <color rgb="FF464849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3"/>
      <charset val="134"/>
      <scheme val="minor"/>
    </font>
    <font>
      <vertAlign val="subscript"/>
      <sz val="1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color theme="8"/>
      <name val="Calibri"/>
      <family val="2"/>
      <scheme val="minor"/>
    </font>
    <font>
      <sz val="12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Avenir Book"/>
      <family val="2"/>
    </font>
    <font>
      <sz val="8"/>
      <name val="Calibri"/>
      <family val="2"/>
      <scheme val="minor"/>
    </font>
    <font>
      <sz val="10"/>
      <name val="Verdana"/>
      <family val="2"/>
    </font>
    <font>
      <vertAlign val="subscript"/>
      <sz val="10"/>
      <name val="Verdana"/>
      <family val="2"/>
    </font>
    <font>
      <vertAlign val="subscript"/>
      <sz val="10"/>
      <name val="Calibri"/>
      <family val="2"/>
      <scheme val="minor"/>
    </font>
    <font>
      <sz val="11"/>
      <color theme="1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FFFFFF"/>
      <name val="Arial"/>
      <family val="2"/>
    </font>
    <font>
      <b/>
      <sz val="10"/>
      <color rgb="FF000000"/>
      <name val="Times New Roman"/>
      <family val="1"/>
    </font>
    <font>
      <sz val="10"/>
      <color rgb="FF4D4D4C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6E7A"/>
        <bgColor indexed="64"/>
      </patternFill>
    </fill>
    <fill>
      <patternFill patternType="solid">
        <fgColor rgb="FF6EA47A"/>
        <bgColor indexed="64"/>
      </patternFill>
    </fill>
    <fill>
      <patternFill patternType="solid">
        <fgColor rgb="FF92A43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E79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A053"/>
        <bgColor indexed="64"/>
      </patternFill>
    </fill>
  </fills>
  <borders count="28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6E7A"/>
      </left>
      <right/>
      <top style="medium">
        <color rgb="FF006E7A"/>
      </top>
      <bottom/>
      <diagonal/>
    </border>
    <border>
      <left/>
      <right/>
      <top style="medium">
        <color rgb="FF006E7A"/>
      </top>
      <bottom/>
      <diagonal/>
    </border>
    <border>
      <left/>
      <right style="medium">
        <color rgb="FF006E7A"/>
      </right>
      <top style="medium">
        <color rgb="FF006E7A"/>
      </top>
      <bottom/>
      <diagonal/>
    </border>
    <border>
      <left style="medium">
        <color rgb="FF006E7A"/>
      </left>
      <right/>
      <top/>
      <bottom style="medium">
        <color rgb="FF006E7A"/>
      </bottom>
      <diagonal/>
    </border>
    <border>
      <left/>
      <right/>
      <top/>
      <bottom style="medium">
        <color rgb="FF006E7A"/>
      </bottom>
      <diagonal/>
    </border>
    <border>
      <left/>
      <right style="medium">
        <color rgb="FF006E7A"/>
      </right>
      <top/>
      <bottom style="medium">
        <color rgb="FF006E7A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/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rgb="FF92A43B"/>
      </bottom>
      <diagonal/>
    </border>
    <border>
      <left style="thin">
        <color rgb="FF92A43B"/>
      </left>
      <right style="medium">
        <color rgb="FF92A43B"/>
      </right>
      <top style="thin">
        <color rgb="FF92A43B"/>
      </top>
      <bottom style="medium">
        <color rgb="FF92A43B"/>
      </bottom>
      <diagonal/>
    </border>
    <border>
      <left style="medium">
        <color rgb="FF92A43B"/>
      </left>
      <right/>
      <top style="medium">
        <color rgb="FF92A43B"/>
      </top>
      <bottom/>
      <diagonal/>
    </border>
    <border>
      <left style="medium">
        <color rgb="FF92A43B"/>
      </left>
      <right/>
      <top/>
      <bottom style="medium">
        <color rgb="FF92A43B"/>
      </bottom>
      <diagonal/>
    </border>
    <border>
      <left/>
      <right style="thin">
        <color rgb="FF92A43B"/>
      </right>
      <top style="thin">
        <color rgb="FF92A43B"/>
      </top>
      <bottom style="thin">
        <color rgb="FF92A43B"/>
      </bottom>
      <diagonal/>
    </border>
    <border>
      <left/>
      <right/>
      <top/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/>
      <bottom style="medium">
        <color rgb="FF92A43B"/>
      </bottom>
      <diagonal/>
    </border>
    <border>
      <left style="medium">
        <color rgb="FF92A43B"/>
      </left>
      <right style="thin">
        <color rgb="FF92A43B"/>
      </right>
      <top/>
      <bottom style="thin">
        <color rgb="FF92A43B"/>
      </bottom>
      <diagonal/>
    </border>
    <border>
      <left/>
      <right/>
      <top style="thin">
        <color rgb="FF92A43B"/>
      </top>
      <bottom style="thin">
        <color rgb="FF92A43B"/>
      </bottom>
      <diagonal/>
    </border>
    <border>
      <left style="medium">
        <color rgb="FF006E7A"/>
      </left>
      <right/>
      <top style="medium">
        <color rgb="FF006E7A"/>
      </top>
      <bottom style="medium">
        <color rgb="FF006E7A"/>
      </bottom>
      <diagonal/>
    </border>
    <border>
      <left/>
      <right/>
      <top style="medium">
        <color rgb="FF006E7A"/>
      </top>
      <bottom style="medium">
        <color rgb="FF006E7A"/>
      </bottom>
      <diagonal/>
    </border>
    <border>
      <left/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/>
      <top/>
      <bottom/>
      <diagonal/>
    </border>
    <border>
      <left/>
      <right style="thin">
        <color rgb="FF92A43B"/>
      </right>
      <top/>
      <bottom/>
      <diagonal/>
    </border>
    <border>
      <left style="thin">
        <color rgb="FF92A43B"/>
      </left>
      <right/>
      <top/>
      <bottom/>
      <diagonal/>
    </border>
    <border>
      <left style="thin">
        <color rgb="FF92A43B"/>
      </left>
      <right/>
      <top/>
      <bottom style="thin">
        <color rgb="FF92A43B"/>
      </bottom>
      <diagonal/>
    </border>
    <border>
      <left/>
      <right/>
      <top style="thin">
        <color rgb="FF92A43B"/>
      </top>
      <bottom/>
      <diagonal/>
    </border>
    <border>
      <left/>
      <right style="medium">
        <color rgb="FF006E7A"/>
      </right>
      <top/>
      <bottom/>
      <diagonal/>
    </border>
    <border>
      <left/>
      <right/>
      <top/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medium">
        <color rgb="FF006E7A"/>
      </left>
      <right style="thin">
        <color rgb="FF006E7A"/>
      </right>
      <top style="medium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medium">
        <color rgb="FF006E7A"/>
      </top>
      <bottom style="thin">
        <color rgb="FF006E7A"/>
      </bottom>
      <diagonal/>
    </border>
    <border>
      <left style="medium">
        <color rgb="FF006E7A"/>
      </left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 style="medium">
        <color rgb="FF006E7A"/>
      </bottom>
      <diagonal/>
    </border>
    <border>
      <left style="thin">
        <color rgb="FF006E7A"/>
      </left>
      <right style="medium">
        <color rgb="FF006E7A"/>
      </right>
      <top style="thin">
        <color rgb="FF006E7A"/>
      </top>
      <bottom style="medium">
        <color rgb="FF006E7A"/>
      </bottom>
      <diagonal/>
    </border>
    <border>
      <left/>
      <right/>
      <top style="thin">
        <color rgb="FF006E7A"/>
      </top>
      <bottom/>
      <diagonal/>
    </border>
    <border>
      <left style="medium">
        <color rgb="FF006E7A"/>
      </left>
      <right/>
      <top style="thin">
        <color rgb="FF006E7A"/>
      </top>
      <bottom/>
      <diagonal/>
    </border>
    <border>
      <left/>
      <right style="medium">
        <color rgb="FF006E7A"/>
      </right>
      <top style="thin">
        <color rgb="FF006E7A"/>
      </top>
      <bottom/>
      <diagonal/>
    </border>
    <border>
      <left style="thin">
        <color rgb="FF006E7A"/>
      </left>
      <right style="thin">
        <color rgb="FF006E7A"/>
      </right>
      <top/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/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/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/>
      <bottom style="medium">
        <color rgb="FF006E7A"/>
      </bottom>
      <diagonal/>
    </border>
    <border>
      <left style="thin">
        <color rgb="FF92A43B"/>
      </left>
      <right style="medium">
        <color rgb="FF92A43B"/>
      </right>
      <top/>
      <bottom style="medium">
        <color rgb="FF92A43B"/>
      </bottom>
      <diagonal/>
    </border>
    <border>
      <left/>
      <right/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thin">
        <color rgb="FF006E7A"/>
      </left>
      <right/>
      <top style="thin">
        <color rgb="FF006E7A"/>
      </top>
      <bottom style="thin">
        <color rgb="FF006E7A"/>
      </bottom>
      <diagonal/>
    </border>
    <border>
      <left/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/>
      <bottom/>
      <diagonal/>
    </border>
    <border>
      <left style="thin">
        <color rgb="FF006E7A"/>
      </left>
      <right/>
      <top/>
      <bottom style="thin">
        <color rgb="FF006E7A"/>
      </bottom>
      <diagonal/>
    </border>
    <border>
      <left style="medium">
        <color rgb="FF006E7A"/>
      </left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 style="medium">
        <color rgb="FF006E7A"/>
      </top>
      <bottom style="medium">
        <color rgb="FF006E7A"/>
      </bottom>
      <diagonal/>
    </border>
    <border>
      <left style="thin">
        <color rgb="FF006E7A"/>
      </left>
      <right style="thin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/>
      <bottom/>
      <diagonal/>
    </border>
    <border>
      <left style="thin">
        <color rgb="FF006E7A"/>
      </left>
      <right style="medium">
        <color rgb="FF006E7A"/>
      </right>
      <top/>
      <bottom/>
      <diagonal/>
    </border>
    <border>
      <left/>
      <right style="thin">
        <color rgb="FF006E7A"/>
      </right>
      <top/>
      <bottom/>
      <diagonal/>
    </border>
    <border>
      <left style="medium">
        <color rgb="FF92A43B"/>
      </left>
      <right/>
      <top style="medium">
        <color rgb="FF92A43B"/>
      </top>
      <bottom style="medium">
        <color rgb="FF92A43B"/>
      </bottom>
      <diagonal/>
    </border>
    <border>
      <left/>
      <right style="medium">
        <color rgb="FF92A43B"/>
      </right>
      <top style="medium">
        <color rgb="FF92A43B"/>
      </top>
      <bottom style="medium">
        <color rgb="FF92A43B"/>
      </bottom>
      <diagonal/>
    </border>
    <border>
      <left/>
      <right/>
      <top style="medium">
        <color rgb="FF92A43B"/>
      </top>
      <bottom/>
      <diagonal/>
    </border>
    <border>
      <left style="medium">
        <color rgb="FF92A43B"/>
      </left>
      <right/>
      <top/>
      <bottom/>
      <diagonal/>
    </border>
    <border>
      <left style="thin">
        <color rgb="FF92A43B"/>
      </left>
      <right style="medium">
        <color rgb="FF92A43B"/>
      </right>
      <top/>
      <bottom/>
      <diagonal/>
    </border>
    <border>
      <left/>
      <right/>
      <top/>
      <bottom style="medium">
        <color rgb="FF92A43B"/>
      </bottom>
      <diagonal/>
    </border>
    <border>
      <left/>
      <right style="medium">
        <color rgb="FF92A43B"/>
      </right>
      <top style="medium">
        <color rgb="FF92A43B"/>
      </top>
      <bottom/>
      <diagonal/>
    </border>
    <border>
      <left/>
      <right style="medium">
        <color rgb="FF92A43B"/>
      </right>
      <top/>
      <bottom/>
      <diagonal/>
    </border>
    <border>
      <left/>
      <right style="medium">
        <color rgb="FF92A43B"/>
      </right>
      <top/>
      <bottom style="medium">
        <color rgb="FF92A43B"/>
      </bottom>
      <diagonal/>
    </border>
    <border>
      <left style="medium">
        <color rgb="FF92A43B"/>
      </left>
      <right/>
      <top/>
      <bottom style="thin">
        <color rgb="FF92A43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92A43B"/>
      </right>
      <top/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/>
      <diagonal/>
    </border>
    <border>
      <left/>
      <right style="medium">
        <color rgb="FF92A43B"/>
      </right>
      <top style="thin">
        <color rgb="FF92A43B"/>
      </top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/>
      <bottom/>
      <diagonal/>
    </border>
    <border>
      <left/>
      <right/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thin">
        <color rgb="FF92A43B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6E7A"/>
      </left>
      <right style="medium">
        <color indexed="64"/>
      </right>
      <top style="thin">
        <color rgb="FF006E7A"/>
      </top>
      <bottom style="thin">
        <color rgb="FF006E7A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6E7A"/>
      </left>
      <right/>
      <top style="thin">
        <color rgb="FF006E7A"/>
      </top>
      <bottom style="medium">
        <color rgb="FF006E7A"/>
      </bottom>
      <diagonal/>
    </border>
    <border>
      <left style="thin">
        <color rgb="FF006E7A"/>
      </left>
      <right/>
      <top style="thin">
        <color rgb="FF006E7A"/>
      </top>
      <bottom style="medium">
        <color indexed="64"/>
      </bottom>
      <diagonal/>
    </border>
    <border>
      <left style="thin">
        <color rgb="FF006E7A"/>
      </left>
      <right/>
      <top style="thin">
        <color rgb="FF006E7A"/>
      </top>
      <bottom/>
      <diagonal/>
    </border>
    <border>
      <left style="thin">
        <color rgb="FF006E7A"/>
      </left>
      <right/>
      <top/>
      <bottom style="medium">
        <color rgb="FF006E7A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6E7A"/>
      </left>
      <right style="medium">
        <color indexed="64"/>
      </right>
      <top style="thin">
        <color rgb="FF006E7A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6E7A"/>
      </right>
      <top style="thin">
        <color rgb="FF006E7A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 style="thin">
        <color indexed="64"/>
      </bottom>
      <diagonal/>
    </border>
    <border>
      <left style="thin">
        <color rgb="FF006E7A"/>
      </left>
      <right style="medium">
        <color rgb="FF006E7A"/>
      </right>
      <top style="thin">
        <color rgb="FF006E7A"/>
      </top>
      <bottom style="thin">
        <color indexed="64"/>
      </bottom>
      <diagonal/>
    </border>
    <border>
      <left style="thin">
        <color rgb="FF006E7A"/>
      </left>
      <right/>
      <top style="thin">
        <color rgb="FF006E7A"/>
      </top>
      <bottom style="thin">
        <color indexed="64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 style="medium">
        <color indexed="64"/>
      </bottom>
      <diagonal/>
    </border>
    <border>
      <left style="thin">
        <color rgb="FF006E7A"/>
      </left>
      <right style="medium">
        <color rgb="FF006E7A"/>
      </right>
      <top style="thin">
        <color rgb="FF006E7A"/>
      </top>
      <bottom style="medium">
        <color indexed="64"/>
      </bottom>
      <diagonal/>
    </border>
    <border>
      <left style="thin">
        <color rgb="FF006E7A"/>
      </left>
      <right style="medium">
        <color indexed="64"/>
      </right>
      <top/>
      <bottom style="thin">
        <color rgb="FF006E7A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/>
      <diagonal/>
    </border>
    <border>
      <left style="thin">
        <color rgb="FF92A43B"/>
      </left>
      <right style="thin">
        <color rgb="FF92A43B"/>
      </right>
      <top style="medium">
        <color rgb="FF92A43B"/>
      </top>
      <bottom/>
      <diagonal/>
    </border>
    <border>
      <left style="medium">
        <color rgb="FF92A43B"/>
      </left>
      <right style="thin">
        <color indexed="64"/>
      </right>
      <top/>
      <bottom/>
      <diagonal/>
    </border>
    <border>
      <left style="medium">
        <color rgb="FF92A43B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A43B"/>
      </left>
      <right style="thin">
        <color theme="6"/>
      </right>
      <top style="thin">
        <color theme="6"/>
      </top>
      <bottom style="medium">
        <color rgb="FF92A43B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rgb="FF92A43B"/>
      </bottom>
      <diagonal/>
    </border>
    <border>
      <left style="thin">
        <color rgb="FF92A43B"/>
      </left>
      <right/>
      <top style="medium">
        <color theme="4"/>
      </top>
      <bottom/>
      <diagonal/>
    </border>
    <border>
      <left style="thin">
        <color rgb="FF92A43B"/>
      </left>
      <right style="medium">
        <color theme="4"/>
      </right>
      <top style="medium">
        <color theme="4"/>
      </top>
      <bottom/>
      <diagonal/>
    </border>
    <border>
      <left style="thin">
        <color rgb="FF92A43B"/>
      </left>
      <right style="medium">
        <color theme="4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theme="4"/>
      </right>
      <top/>
      <bottom/>
      <diagonal/>
    </border>
    <border>
      <left style="thin">
        <color theme="6"/>
      </left>
      <right style="medium">
        <color theme="4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theme="6"/>
      </left>
      <right style="medium">
        <color theme="4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/>
      <top style="medium">
        <color rgb="FF92A43B"/>
      </top>
      <bottom/>
      <diagonal/>
    </border>
    <border>
      <left style="thin">
        <color theme="6"/>
      </left>
      <right/>
      <top style="thin">
        <color theme="6"/>
      </top>
      <bottom style="medium">
        <color rgb="FF92A43B"/>
      </bottom>
      <diagonal/>
    </border>
    <border>
      <left/>
      <right/>
      <top style="medium">
        <color theme="4"/>
      </top>
      <bottom/>
      <diagonal/>
    </border>
    <border>
      <left/>
      <right style="thin">
        <color theme="6"/>
      </right>
      <top style="thin">
        <color theme="6"/>
      </top>
      <bottom style="medium">
        <color theme="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rgb="FF92A43B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rgb="FFFF0000"/>
      </right>
      <top style="thin">
        <color rgb="FF92A43B"/>
      </top>
      <bottom style="thin">
        <color rgb="FF92A43B"/>
      </bottom>
      <diagonal/>
    </border>
    <border>
      <left style="medium">
        <color rgb="FFFF0000"/>
      </left>
      <right/>
      <top/>
      <bottom/>
      <diagonal/>
    </border>
    <border>
      <left style="thin">
        <color rgb="FF92A43B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rgb="FFFF0000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rgb="FFFF0000"/>
      </bottom>
      <diagonal/>
    </border>
    <border>
      <left style="medium">
        <color rgb="FF006E7A"/>
      </left>
      <right style="medium">
        <color rgb="FF006E7A"/>
      </right>
      <top style="medium">
        <color rgb="FF006E7A"/>
      </top>
      <bottom/>
      <diagonal/>
    </border>
    <border>
      <left/>
      <right style="medium">
        <color rgb="FF006E7A"/>
      </right>
      <top style="thin">
        <color indexed="64"/>
      </top>
      <bottom/>
      <diagonal/>
    </border>
    <border>
      <left/>
      <right style="medium">
        <color rgb="FF006E7A"/>
      </right>
      <top/>
      <bottom style="thin">
        <color indexed="64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 style="medium">
        <color rgb="FF92A43B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/>
      <top style="medium">
        <color rgb="FF92A43B"/>
      </top>
      <bottom style="medium">
        <color rgb="FF92A43B"/>
      </bottom>
      <diagonal/>
    </border>
    <border>
      <left style="medium">
        <color rgb="FF92A43B"/>
      </left>
      <right style="medium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 style="thin">
        <color rgb="FF92A43B"/>
      </bottom>
      <diagonal/>
    </border>
    <border>
      <left style="medium">
        <color rgb="FF92A43B"/>
      </left>
      <right style="medium">
        <color rgb="FF92A43B"/>
      </right>
      <top/>
      <bottom/>
      <diagonal/>
    </border>
    <border>
      <left style="thin">
        <color rgb="FF92A43B"/>
      </left>
      <right style="thin">
        <color rgb="FF92A43B"/>
      </right>
      <top style="thin">
        <color rgb="FF92A43B"/>
      </top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medium">
        <color rgb="FF92A43B"/>
      </left>
      <right style="medium">
        <color rgb="FF92A43B"/>
      </right>
      <top/>
      <bottom style="medium">
        <color rgb="FF92A43B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6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6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rgb="FF92A43B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92A43B"/>
      </left>
      <right style="thin">
        <color rgb="FF92A43B"/>
      </right>
      <top/>
      <bottom style="thin">
        <color rgb="FF92A43B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medium">
        <color rgb="FFFF0000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rgb="FFFF0000"/>
      </right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theme="4"/>
      </right>
      <top/>
      <bottom style="thin">
        <color theme="6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rgb="FF92A43B"/>
      </left>
      <right style="thin">
        <color rgb="FF92A43B"/>
      </right>
      <top style="medium">
        <color theme="4"/>
      </top>
      <bottom style="thin">
        <color rgb="FF92A43B"/>
      </bottom>
      <diagonal/>
    </border>
    <border>
      <left style="thin">
        <color rgb="FF92A43B"/>
      </left>
      <right/>
      <top style="medium">
        <color theme="4"/>
      </top>
      <bottom style="thin">
        <color rgb="FF92A43B"/>
      </bottom>
      <diagonal/>
    </border>
    <border>
      <left style="medium">
        <color rgb="FF92A43B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rgb="FF92A43B"/>
      </left>
      <right style="thin">
        <color rgb="FF92A43B"/>
      </right>
      <top style="medium">
        <color theme="4"/>
      </top>
      <bottom style="thin">
        <color rgb="FF92A43B"/>
      </bottom>
      <diagonal/>
    </border>
    <border>
      <left style="thin">
        <color theme="6"/>
      </left>
      <right/>
      <top style="medium">
        <color theme="4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medium">
        <color theme="4"/>
      </top>
      <bottom style="thin">
        <color theme="6"/>
      </bottom>
      <diagonal/>
    </border>
    <border>
      <left/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medium">
        <color theme="4"/>
      </right>
      <top style="medium">
        <color theme="4"/>
      </top>
      <bottom style="thin">
        <color theme="6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rgb="FF92A43B"/>
      </left>
      <right style="thin">
        <color rgb="FF92A43B"/>
      </right>
      <top/>
      <bottom style="medium">
        <color theme="4"/>
      </bottom>
      <diagonal/>
    </border>
    <border>
      <left style="thin">
        <color rgb="FF92A43B"/>
      </left>
      <right/>
      <top/>
      <bottom style="medium">
        <color theme="4"/>
      </bottom>
      <diagonal/>
    </border>
    <border>
      <left style="medium">
        <color rgb="FF92A43B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theme="4"/>
      </bottom>
      <diagonal/>
    </border>
    <border>
      <left style="thin">
        <color theme="6"/>
      </left>
      <right/>
      <top style="thin">
        <color theme="6"/>
      </top>
      <bottom style="medium">
        <color theme="4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/>
      <diagonal/>
    </border>
    <border>
      <left style="medium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92A43B"/>
      </left>
      <right style="medium">
        <color rgb="FF92A43B"/>
      </right>
      <top/>
      <bottom style="thin">
        <color rgb="FF92A43B"/>
      </bottom>
      <diagonal/>
    </border>
    <border>
      <left/>
      <right style="thin">
        <color theme="6"/>
      </right>
      <top style="medium">
        <color theme="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9"/>
      </top>
      <bottom/>
      <diagonal/>
    </border>
    <border>
      <left style="thin">
        <color rgb="FF92A43B"/>
      </left>
      <right style="thin">
        <color rgb="FF92A43B"/>
      </right>
      <top style="medium">
        <color theme="9"/>
      </top>
      <bottom style="thin">
        <color rgb="FF92A43B"/>
      </bottom>
      <diagonal/>
    </border>
    <border>
      <left style="thin">
        <color rgb="FF92A43B"/>
      </left>
      <right style="medium">
        <color rgb="FF92A43B"/>
      </right>
      <top style="medium">
        <color theme="9"/>
      </top>
      <bottom style="thin">
        <color rgb="FF92A43B"/>
      </bottom>
      <diagonal/>
    </border>
    <border>
      <left/>
      <right/>
      <top style="medium">
        <color theme="9"/>
      </top>
      <bottom/>
      <diagonal/>
    </border>
    <border>
      <left style="medium">
        <color rgb="FF92A43B"/>
      </left>
      <right style="thin">
        <color rgb="FF92A43B"/>
      </right>
      <top style="medium">
        <color theme="9"/>
      </top>
      <bottom style="thin">
        <color rgb="FF92A43B"/>
      </bottom>
      <diagonal/>
    </border>
    <border>
      <left style="thin">
        <color rgb="FF92A43B"/>
      </left>
      <right/>
      <top style="medium">
        <color theme="9"/>
      </top>
      <bottom style="thin">
        <color rgb="FF92A43B"/>
      </bottom>
      <diagonal/>
    </border>
    <border>
      <left style="thin">
        <color rgb="FF92A43B"/>
      </left>
      <right/>
      <top style="medium">
        <color rgb="FF92A43B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theme="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9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medium">
        <color theme="9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medium">
        <color theme="9"/>
      </bottom>
      <diagonal/>
    </border>
    <border>
      <left style="thin">
        <color rgb="FF92A43B"/>
      </left>
      <right/>
      <top style="medium">
        <color rgb="FF92A43B"/>
      </top>
      <bottom style="medium">
        <color theme="9"/>
      </bottom>
      <diagonal/>
    </border>
    <border>
      <left/>
      <right style="thin">
        <color theme="6"/>
      </right>
      <top style="thin">
        <color theme="6"/>
      </top>
      <bottom style="medium">
        <color theme="9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6E7A"/>
      </bottom>
      <diagonal/>
    </border>
    <border>
      <left/>
      <right/>
      <top style="medium">
        <color indexed="64"/>
      </top>
      <bottom style="medium">
        <color rgb="FF006E7A"/>
      </bottom>
      <diagonal/>
    </border>
    <border>
      <left/>
      <right style="medium">
        <color indexed="64"/>
      </right>
      <top style="medium">
        <color indexed="64"/>
      </top>
      <bottom style="medium">
        <color rgb="FF006E7A"/>
      </bottom>
      <diagonal/>
    </border>
    <border>
      <left style="medium">
        <color rgb="FF92A43B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medium">
        <color rgb="FFFF000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rgb="FFFF0000"/>
      </right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theme="4"/>
      </right>
      <top style="thin">
        <color theme="6"/>
      </top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medium">
        <color rgb="FF92A43B"/>
      </left>
      <right style="thin">
        <color rgb="FF92A43B"/>
      </right>
      <top style="medium">
        <color theme="8"/>
      </top>
      <bottom style="thin">
        <color rgb="FF92A43B"/>
      </bottom>
      <diagonal/>
    </border>
    <border>
      <left style="thin">
        <color rgb="FF92A43B"/>
      </left>
      <right/>
      <top style="medium">
        <color theme="8"/>
      </top>
      <bottom style="thin">
        <color rgb="FF92A43B"/>
      </bottom>
      <diagonal/>
    </border>
    <border>
      <left style="medium">
        <color rgb="FF92A43B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rgb="FF92A43B"/>
      </left>
      <right style="thin">
        <color rgb="FF92A43B"/>
      </right>
      <top style="medium">
        <color theme="8"/>
      </top>
      <bottom style="thin">
        <color rgb="FF92A43B"/>
      </bottom>
      <diagonal/>
    </border>
    <border>
      <left style="thin">
        <color theme="6"/>
      </left>
      <right/>
      <top style="medium">
        <color theme="8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medium">
        <color theme="8"/>
      </top>
      <bottom style="thin">
        <color theme="6"/>
      </bottom>
      <diagonal/>
    </border>
    <border>
      <left/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medium">
        <color theme="8"/>
      </right>
      <top style="medium">
        <color theme="8"/>
      </top>
      <bottom style="thin">
        <color theme="6"/>
      </bottom>
      <diagonal/>
    </border>
    <border>
      <left style="medium">
        <color theme="8"/>
      </left>
      <right/>
      <top/>
      <bottom/>
      <diagonal/>
    </border>
    <border>
      <left style="thin">
        <color theme="6"/>
      </left>
      <right style="medium">
        <color theme="8"/>
      </right>
      <top style="thin">
        <color theme="6"/>
      </top>
      <bottom style="thin">
        <color theme="6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rgb="FF92A43B"/>
      </left>
      <right style="thin">
        <color rgb="FF92A43B"/>
      </right>
      <top/>
      <bottom style="medium">
        <color theme="8"/>
      </bottom>
      <diagonal/>
    </border>
    <border>
      <left style="thin">
        <color rgb="FF92A43B"/>
      </left>
      <right/>
      <top/>
      <bottom style="medium">
        <color theme="8"/>
      </bottom>
      <diagonal/>
    </border>
    <border>
      <left style="medium">
        <color rgb="FF92A43B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theme="8"/>
      </bottom>
      <diagonal/>
    </border>
    <border>
      <left style="thin">
        <color theme="6"/>
      </left>
      <right/>
      <top style="thin">
        <color theme="6"/>
      </top>
      <bottom style="medium">
        <color theme="8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theme="8"/>
      </bottom>
      <diagonal/>
    </border>
    <border>
      <left/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medium">
        <color theme="8"/>
      </right>
      <top style="thin">
        <color theme="6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1337">
    <xf numFmtId="0" fontId="0" fillId="0" borderId="0" xfId="0"/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vertical="center"/>
    </xf>
    <xf numFmtId="164" fontId="0" fillId="3" borderId="0" xfId="1" applyFont="1" applyFill="1" applyAlignment="1">
      <alignment vertical="center"/>
    </xf>
    <xf numFmtId="10" fontId="0" fillId="3" borderId="0" xfId="2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169" fontId="0" fillId="3" borderId="0" xfId="0" applyNumberFormat="1" applyFill="1" applyAlignment="1">
      <alignment vertical="center"/>
    </xf>
    <xf numFmtId="164" fontId="0" fillId="3" borderId="0" xfId="1" applyFont="1" applyFill="1" applyAlignment="1">
      <alignment horizontal="right" vertical="center"/>
    </xf>
    <xf numFmtId="165" fontId="0" fillId="3" borderId="0" xfId="1" applyNumberFormat="1" applyFont="1" applyFill="1" applyAlignment="1">
      <alignment horizontal="right" vertical="center"/>
    </xf>
    <xf numFmtId="165" fontId="0" fillId="3" borderId="0" xfId="0" applyNumberFormat="1" applyFill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165" fontId="0" fillId="3" borderId="0" xfId="1" applyNumberFormat="1" applyFont="1" applyFill="1" applyAlignment="1">
      <alignment vertical="center"/>
    </xf>
    <xf numFmtId="165" fontId="0" fillId="3" borderId="0" xfId="1" applyNumberFormat="1" applyFont="1" applyFill="1" applyAlignment="1">
      <alignment horizontal="center" vertical="center"/>
    </xf>
    <xf numFmtId="172" fontId="2" fillId="3" borderId="40" xfId="1" applyNumberFormat="1" applyFill="1" applyBorder="1" applyAlignment="1">
      <alignment vertical="center"/>
    </xf>
    <xf numFmtId="172" fontId="0" fillId="3" borderId="44" xfId="1" applyNumberFormat="1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165" fontId="0" fillId="3" borderId="0" xfId="1" applyNumberFormat="1" applyFont="1" applyFill="1" applyAlignment="1">
      <alignment horizontal="left" vertical="center"/>
    </xf>
    <xf numFmtId="0" fontId="13" fillId="8" borderId="24" xfId="0" applyFont="1" applyFill="1" applyBorder="1" applyAlignment="1">
      <alignment horizontal="centerContinuous" vertical="center"/>
    </xf>
    <xf numFmtId="0" fontId="7" fillId="8" borderId="25" xfId="0" applyFont="1" applyFill="1" applyBorder="1" applyAlignment="1">
      <alignment horizontal="centerContinuous" vertical="center"/>
    </xf>
    <xf numFmtId="0" fontId="7" fillId="8" borderId="24" xfId="0" applyFont="1" applyFill="1" applyBorder="1" applyAlignment="1">
      <alignment horizontal="centerContinuous" vertical="center"/>
    </xf>
    <xf numFmtId="165" fontId="7" fillId="8" borderId="26" xfId="1" applyNumberFormat="1" applyFont="1" applyFill="1" applyBorder="1" applyAlignment="1">
      <alignment horizontal="centerContinuous" vertical="center"/>
    </xf>
    <xf numFmtId="174" fontId="0" fillId="3" borderId="41" xfId="0" applyNumberFormat="1" applyFill="1" applyBorder="1" applyAlignment="1">
      <alignment horizontal="center" vertical="center"/>
    </xf>
    <xf numFmtId="165" fontId="2" fillId="3" borderId="41" xfId="1" applyNumberFormat="1" applyFill="1" applyBorder="1" applyAlignment="1">
      <alignment horizontal="center" vertical="center"/>
    </xf>
    <xf numFmtId="165" fontId="3" fillId="3" borderId="43" xfId="1" applyNumberFormat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165" fontId="0" fillId="3" borderId="41" xfId="1" applyNumberFormat="1" applyFont="1" applyFill="1" applyBorder="1" applyAlignment="1">
      <alignment horizontal="right" vertical="center"/>
    </xf>
    <xf numFmtId="165" fontId="6" fillId="3" borderId="0" xfId="1" applyNumberFormat="1" applyFont="1" applyFill="1" applyAlignment="1">
      <alignment horizontal="center" vertical="center"/>
    </xf>
    <xf numFmtId="165" fontId="11" fillId="3" borderId="32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165" fontId="6" fillId="3" borderId="9" xfId="1" applyNumberFormat="1" applyFont="1" applyFill="1" applyBorder="1" applyAlignment="1">
      <alignment horizontal="center" vertical="center"/>
    </xf>
    <xf numFmtId="165" fontId="11" fillId="3" borderId="1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51" xfId="0" applyFill="1" applyBorder="1" applyAlignment="1">
      <alignment vertical="center"/>
    </xf>
    <xf numFmtId="0" fontId="0" fillId="3" borderId="51" xfId="0" applyFill="1" applyBorder="1" applyAlignment="1">
      <alignment horizontal="justify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left" vertical="center"/>
    </xf>
    <xf numFmtId="172" fontId="0" fillId="3" borderId="0" xfId="0" applyNumberFormat="1" applyFill="1" applyAlignment="1">
      <alignment vertical="center"/>
    </xf>
    <xf numFmtId="172" fontId="0" fillId="3" borderId="34" xfId="1" applyNumberFormat="1" applyFont="1" applyFill="1" applyBorder="1" applyAlignment="1">
      <alignment vertical="center"/>
    </xf>
    <xf numFmtId="172" fontId="0" fillId="3" borderId="38" xfId="1" applyNumberFormat="1" applyFont="1" applyFill="1" applyBorder="1" applyAlignment="1">
      <alignment vertical="center"/>
    </xf>
    <xf numFmtId="172" fontId="6" fillId="3" borderId="0" xfId="1" applyNumberFormat="1" applyFont="1" applyFill="1" applyAlignment="1">
      <alignment vertical="center"/>
    </xf>
    <xf numFmtId="172" fontId="0" fillId="3" borderId="0" xfId="1" applyNumberFormat="1" applyFont="1" applyFill="1" applyAlignment="1">
      <alignment vertical="center"/>
    </xf>
    <xf numFmtId="0" fontId="0" fillId="3" borderId="0" xfId="0" applyFill="1" applyAlignment="1">
      <alignment vertical="center" wrapText="1"/>
    </xf>
    <xf numFmtId="43" fontId="0" fillId="3" borderId="0" xfId="0" applyNumberFormat="1" applyFill="1" applyAlignment="1">
      <alignment vertical="center"/>
    </xf>
    <xf numFmtId="0" fontId="5" fillId="11" borderId="37" xfId="0" applyFont="1" applyFill="1" applyBorder="1" applyAlignment="1">
      <alignment horizontal="center" vertical="center"/>
    </xf>
    <xf numFmtId="0" fontId="5" fillId="11" borderId="34" xfId="0" applyFont="1" applyFill="1" applyBorder="1" applyAlignment="1">
      <alignment horizontal="center" vertical="center"/>
    </xf>
    <xf numFmtId="0" fontId="5" fillId="11" borderId="34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0" fillId="3" borderId="58" xfId="0" applyFill="1" applyBorder="1"/>
    <xf numFmtId="2" fontId="0" fillId="3" borderId="58" xfId="0" applyNumberFormat="1" applyFill="1" applyBorder="1"/>
    <xf numFmtId="172" fontId="0" fillId="3" borderId="39" xfId="1" applyNumberFormat="1" applyFont="1" applyFill="1" applyBorder="1" applyAlignment="1">
      <alignment vertical="center"/>
    </xf>
    <xf numFmtId="0" fontId="13" fillId="8" borderId="0" xfId="0" applyFont="1" applyFill="1" applyAlignment="1">
      <alignment horizontal="centerContinuous" vertical="center"/>
    </xf>
    <xf numFmtId="43" fontId="0" fillId="3" borderId="36" xfId="0" applyNumberFormat="1" applyFill="1" applyBorder="1" applyAlignment="1">
      <alignment vertical="center"/>
    </xf>
    <xf numFmtId="0" fontId="0" fillId="9" borderId="0" xfId="0" applyFill="1"/>
    <xf numFmtId="0" fontId="16" fillId="9" borderId="0" xfId="0" applyFont="1" applyFill="1" applyAlignment="1">
      <alignment vertical="center"/>
    </xf>
    <xf numFmtId="172" fontId="2" fillId="3" borderId="38" xfId="1" applyNumberFormat="1" applyFill="1" applyBorder="1" applyAlignment="1">
      <alignment vertical="center"/>
    </xf>
    <xf numFmtId="172" fontId="2" fillId="3" borderId="45" xfId="1" applyNumberFormat="1" applyFill="1" applyBorder="1" applyAlignment="1">
      <alignment vertical="center"/>
    </xf>
    <xf numFmtId="0" fontId="17" fillId="3" borderId="0" xfId="0" applyFont="1" applyFill="1"/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164" fontId="5" fillId="11" borderId="0" xfId="1" applyFont="1" applyFill="1" applyAlignment="1">
      <alignment horizontal="center" vertical="center"/>
    </xf>
    <xf numFmtId="0" fontId="14" fillId="11" borderId="0" xfId="0" applyFont="1" applyFill="1" applyAlignment="1">
      <alignment vertical="center"/>
    </xf>
    <xf numFmtId="0" fontId="0" fillId="3" borderId="49" xfId="0" applyFill="1" applyBorder="1" applyAlignment="1">
      <alignment horizontal="left" vertical="center"/>
    </xf>
    <xf numFmtId="164" fontId="2" fillId="3" borderId="49" xfId="1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0" fontId="17" fillId="12" borderId="51" xfId="1" applyNumberFormat="1" applyFont="1" applyFill="1" applyBorder="1" applyAlignment="1">
      <alignment horizontal="left" vertical="center" wrapText="1"/>
    </xf>
    <xf numFmtId="165" fontId="19" fillId="12" borderId="49" xfId="1" applyNumberFormat="1" applyFont="1" applyFill="1" applyBorder="1" applyAlignment="1">
      <alignment horizontal="left" vertical="center" wrapText="1"/>
    </xf>
    <xf numFmtId="165" fontId="19" fillId="12" borderId="52" xfId="1" applyNumberFormat="1" applyFont="1" applyFill="1" applyBorder="1" applyAlignment="1">
      <alignment horizontal="left" vertical="center" wrapText="1"/>
    </xf>
    <xf numFmtId="0" fontId="17" fillId="12" borderId="51" xfId="1" applyNumberFormat="1" applyFont="1" applyFill="1" applyBorder="1" applyAlignment="1">
      <alignment horizontal="left" vertical="center"/>
    </xf>
    <xf numFmtId="0" fontId="0" fillId="3" borderId="49" xfId="0" applyFill="1" applyBorder="1" applyAlignment="1">
      <alignment vertical="center"/>
    </xf>
    <xf numFmtId="0" fontId="17" fillId="12" borderId="49" xfId="0" applyFont="1" applyFill="1" applyBorder="1" applyAlignment="1">
      <alignment vertical="center"/>
    </xf>
    <xf numFmtId="0" fontId="17" fillId="12" borderId="52" xfId="0" applyFont="1" applyFill="1" applyBorder="1" applyAlignment="1">
      <alignment vertical="center"/>
    </xf>
    <xf numFmtId="0" fontId="17" fillId="12" borderId="51" xfId="0" applyFont="1" applyFill="1" applyBorder="1" applyAlignment="1">
      <alignment vertical="center"/>
    </xf>
    <xf numFmtId="0" fontId="0" fillId="3" borderId="54" xfId="0" applyFill="1" applyBorder="1" applyAlignment="1">
      <alignment vertical="center"/>
    </xf>
    <xf numFmtId="0" fontId="0" fillId="3" borderId="33" xfId="0" applyFill="1" applyBorder="1" applyAlignment="1">
      <alignment horizontal="left" vertical="center"/>
    </xf>
    <xf numFmtId="164" fontId="19" fillId="12" borderId="49" xfId="1" applyFont="1" applyFill="1" applyBorder="1" applyAlignment="1">
      <alignment horizontal="left" vertical="center"/>
    </xf>
    <xf numFmtId="164" fontId="19" fillId="12" borderId="52" xfId="1" applyFont="1" applyFill="1" applyBorder="1" applyAlignment="1">
      <alignment horizontal="left" vertical="center"/>
    </xf>
    <xf numFmtId="0" fontId="12" fillId="3" borderId="60" xfId="0" applyFont="1" applyFill="1" applyBorder="1" applyAlignment="1">
      <alignment horizontal="center" vertical="center"/>
    </xf>
    <xf numFmtId="2" fontId="0" fillId="3" borderId="49" xfId="0" applyNumberFormat="1" applyFill="1" applyBorder="1" applyAlignment="1">
      <alignment vertical="center" wrapText="1"/>
    </xf>
    <xf numFmtId="166" fontId="0" fillId="3" borderId="49" xfId="0" applyNumberFormat="1" applyFill="1" applyBorder="1" applyAlignment="1">
      <alignment vertical="center" wrapText="1"/>
    </xf>
    <xf numFmtId="166" fontId="0" fillId="3" borderId="49" xfId="1" applyNumberFormat="1" applyFont="1" applyFill="1" applyBorder="1" applyAlignment="1">
      <alignment vertical="center" wrapText="1"/>
    </xf>
    <xf numFmtId="0" fontId="17" fillId="3" borderId="49" xfId="1" applyNumberFormat="1" applyFont="1" applyFill="1" applyBorder="1" applyAlignment="1">
      <alignment horizontal="left" vertical="center" wrapText="1"/>
    </xf>
    <xf numFmtId="0" fontId="17" fillId="12" borderId="49" xfId="1" applyNumberFormat="1" applyFont="1" applyFill="1" applyBorder="1" applyAlignment="1">
      <alignment horizontal="left" vertical="center" wrapText="1"/>
    </xf>
    <xf numFmtId="0" fontId="17" fillId="12" borderId="52" xfId="1" applyNumberFormat="1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vertical="center"/>
    </xf>
    <xf numFmtId="171" fontId="2" fillId="3" borderId="49" xfId="1" applyNumberFormat="1" applyFill="1" applyBorder="1" applyAlignment="1">
      <alignment vertical="center"/>
    </xf>
    <xf numFmtId="164" fontId="2" fillId="3" borderId="49" xfId="1" applyFill="1" applyBorder="1" applyAlignment="1">
      <alignment horizontal="right" vertical="center"/>
    </xf>
    <xf numFmtId="0" fontId="0" fillId="3" borderId="52" xfId="0" applyFill="1" applyBorder="1" applyAlignment="1">
      <alignment horizontal="left" vertical="center"/>
    </xf>
    <xf numFmtId="0" fontId="6" fillId="3" borderId="53" xfId="0" applyFont="1" applyFill="1" applyBorder="1" applyAlignment="1">
      <alignment horizontal="left" vertical="center"/>
    </xf>
    <xf numFmtId="0" fontId="20" fillId="12" borderId="51" xfId="0" applyFont="1" applyFill="1" applyBorder="1" applyAlignment="1">
      <alignment vertical="center"/>
    </xf>
    <xf numFmtId="0" fontId="20" fillId="12" borderId="49" xfId="0" applyFont="1" applyFill="1" applyBorder="1" applyAlignment="1">
      <alignment vertical="center"/>
    </xf>
    <xf numFmtId="0" fontId="20" fillId="12" borderId="52" xfId="0" applyFont="1" applyFill="1" applyBorder="1" applyAlignment="1">
      <alignment vertical="center"/>
    </xf>
    <xf numFmtId="0" fontId="0" fillId="3" borderId="41" xfId="0" applyFill="1" applyBorder="1" applyAlignment="1">
      <alignment horizontal="left" vertical="center"/>
    </xf>
    <xf numFmtId="0" fontId="0" fillId="3" borderId="41" xfId="0" applyFill="1" applyBorder="1" applyAlignment="1">
      <alignment horizontal="left" vertical="center" wrapText="1"/>
    </xf>
    <xf numFmtId="165" fontId="2" fillId="3" borderId="0" xfId="1" applyNumberFormat="1" applyFill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0" fillId="3" borderId="53" xfId="0" applyFill="1" applyBorder="1" applyAlignment="1">
      <alignment vertical="center"/>
    </xf>
    <xf numFmtId="0" fontId="0" fillId="12" borderId="49" xfId="0" applyFill="1" applyBorder="1" applyAlignment="1">
      <alignment vertical="center"/>
    </xf>
    <xf numFmtId="0" fontId="0" fillId="12" borderId="52" xfId="0" applyFill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0" fillId="3" borderId="33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164" fontId="2" fillId="3" borderId="0" xfId="1" applyFill="1" applyAlignment="1">
      <alignment horizontal="right" vertical="center"/>
    </xf>
    <xf numFmtId="0" fontId="0" fillId="3" borderId="60" xfId="0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0" fillId="3" borderId="60" xfId="0" applyFill="1" applyBorder="1" applyAlignment="1">
      <alignment horizontal="left" vertical="center"/>
    </xf>
    <xf numFmtId="0" fontId="0" fillId="3" borderId="33" xfId="0" applyFill="1" applyBorder="1" applyAlignment="1">
      <alignment horizontal="justify" vertical="center"/>
    </xf>
    <xf numFmtId="164" fontId="2" fillId="3" borderId="33" xfId="1" applyFill="1" applyBorder="1" applyAlignment="1">
      <alignment horizontal="right" vertical="center"/>
    </xf>
    <xf numFmtId="0" fontId="0" fillId="3" borderId="49" xfId="0" applyFill="1" applyBorder="1" applyAlignment="1">
      <alignment horizontal="left" vertical="center" wrapText="1"/>
    </xf>
    <xf numFmtId="171" fontId="2" fillId="3" borderId="49" xfId="1" applyNumberFormat="1" applyFill="1" applyBorder="1" applyAlignment="1">
      <alignment horizontal="right" vertical="center"/>
    </xf>
    <xf numFmtId="171" fontId="2" fillId="3" borderId="33" xfId="1" applyNumberFormat="1" applyFill="1" applyBorder="1" applyAlignment="1">
      <alignment horizontal="right" vertical="center"/>
    </xf>
    <xf numFmtId="0" fontId="17" fillId="3" borderId="49" xfId="0" applyFont="1" applyFill="1" applyBorder="1" applyAlignment="1">
      <alignment horizontal="left" vertical="center" wrapText="1"/>
    </xf>
    <xf numFmtId="168" fontId="2" fillId="3" borderId="0" xfId="1" applyNumberFormat="1" applyFill="1" applyAlignment="1">
      <alignment horizontal="right" vertical="center"/>
    </xf>
    <xf numFmtId="0" fontId="0" fillId="3" borderId="53" xfId="0" applyFill="1" applyBorder="1" applyAlignment="1">
      <alignment horizontal="left" vertical="center"/>
    </xf>
    <xf numFmtId="168" fontId="2" fillId="3" borderId="49" xfId="1" applyNumberForma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164" fontId="0" fillId="3" borderId="6" xfId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Continuous" vertical="center"/>
    </xf>
    <xf numFmtId="0" fontId="13" fillId="3" borderId="6" xfId="0" applyFont="1" applyFill="1" applyBorder="1" applyAlignment="1">
      <alignment horizontal="centerContinuous" vertical="center"/>
    </xf>
    <xf numFmtId="165" fontId="7" fillId="3" borderId="6" xfId="1" applyNumberFormat="1" applyFont="1" applyFill="1" applyBorder="1" applyAlignment="1">
      <alignment horizontal="centerContinuous" vertical="center"/>
    </xf>
    <xf numFmtId="0" fontId="7" fillId="10" borderId="18" xfId="0" applyFont="1" applyFill="1" applyBorder="1" applyAlignment="1">
      <alignment vertical="center"/>
    </xf>
    <xf numFmtId="164" fontId="0" fillId="3" borderId="63" xfId="1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66" xfId="0" applyFill="1" applyBorder="1" applyAlignment="1">
      <alignment vertical="center"/>
    </xf>
    <xf numFmtId="0" fontId="21" fillId="3" borderId="0" xfId="0" applyFont="1" applyFill="1" applyAlignment="1">
      <alignment vertical="center"/>
    </xf>
    <xf numFmtId="49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left" vertical="center"/>
    </xf>
    <xf numFmtId="175" fontId="21" fillId="3" borderId="0" xfId="0" applyNumberFormat="1" applyFont="1" applyFill="1" applyAlignment="1">
      <alignment horizontal="right" vertical="center"/>
    </xf>
    <xf numFmtId="49" fontId="22" fillId="0" borderId="12" xfId="0" applyNumberFormat="1" applyFont="1" applyBorder="1" applyAlignment="1">
      <alignment horizontal="left"/>
    </xf>
    <xf numFmtId="0" fontId="7" fillId="10" borderId="64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7" fillId="10" borderId="66" xfId="0" applyFont="1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7" fillId="8" borderId="24" xfId="0" applyFont="1" applyFill="1" applyBorder="1" applyAlignment="1">
      <alignment vertical="center"/>
    </xf>
    <xf numFmtId="0" fontId="10" fillId="8" borderId="25" xfId="0" applyFont="1" applyFill="1" applyBorder="1" applyAlignment="1">
      <alignment vertical="center"/>
    </xf>
    <xf numFmtId="0" fontId="10" fillId="8" borderId="26" xfId="0" applyFont="1" applyFill="1" applyBorder="1" applyAlignment="1">
      <alignment vertical="center"/>
    </xf>
    <xf numFmtId="0" fontId="7" fillId="1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68" xfId="0" applyFont="1" applyFill="1" applyBorder="1" applyAlignment="1">
      <alignment horizontal="left" vertical="center" wrapText="1"/>
    </xf>
    <xf numFmtId="170" fontId="0" fillId="3" borderId="49" xfId="1" applyNumberFormat="1" applyFont="1" applyFill="1" applyBorder="1" applyAlignment="1">
      <alignment horizontal="right" vertical="center"/>
    </xf>
    <xf numFmtId="0" fontId="0" fillId="3" borderId="17" xfId="0" applyFill="1" applyBorder="1" applyAlignment="1">
      <alignment vertical="center"/>
    </xf>
    <xf numFmtId="0" fontId="0" fillId="3" borderId="63" xfId="0" applyFill="1" applyBorder="1" applyAlignment="1">
      <alignment vertical="center"/>
    </xf>
    <xf numFmtId="164" fontId="0" fillId="3" borderId="0" xfId="1" applyFont="1" applyFill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6" fillId="5" borderId="71" xfId="0" applyFont="1" applyFill="1" applyBorder="1" applyAlignment="1">
      <alignment vertical="center"/>
    </xf>
    <xf numFmtId="0" fontId="0" fillId="5" borderId="72" xfId="0" applyFill="1" applyBorder="1" applyAlignment="1">
      <alignment vertical="center"/>
    </xf>
    <xf numFmtId="0" fontId="0" fillId="5" borderId="73" xfId="0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7" fillId="10" borderId="64" xfId="0" applyFont="1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0" fillId="3" borderId="66" xfId="0" applyNumberFormat="1" applyFill="1" applyBorder="1" applyAlignment="1">
      <alignment horizontal="center" vertical="center"/>
    </xf>
    <xf numFmtId="2" fontId="3" fillId="3" borderId="69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7" fillId="10" borderId="11" xfId="0" applyFont="1" applyFill="1" applyBorder="1" applyAlignment="1">
      <alignment vertic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0" fontId="0" fillId="3" borderId="74" xfId="0" applyFill="1" applyBorder="1" applyAlignment="1">
      <alignment vertical="center"/>
    </xf>
    <xf numFmtId="16" fontId="0" fillId="3" borderId="75" xfId="0" applyNumberFormat="1" applyFill="1" applyBorder="1" applyAlignment="1">
      <alignment vertical="center"/>
    </xf>
    <xf numFmtId="0" fontId="0" fillId="3" borderId="68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77" xfId="0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10" fillId="10" borderId="61" xfId="0" applyFont="1" applyFill="1" applyBorder="1" applyAlignment="1">
      <alignment vertical="center"/>
    </xf>
    <xf numFmtId="0" fontId="10" fillId="10" borderId="78" xfId="0" applyFont="1" applyFill="1" applyBorder="1" applyAlignment="1">
      <alignment vertical="center"/>
    </xf>
    <xf numFmtId="2" fontId="3" fillId="3" borderId="78" xfId="0" applyNumberFormat="1" applyFont="1" applyFill="1" applyBorder="1" applyAlignment="1">
      <alignment vertical="center"/>
    </xf>
    <xf numFmtId="0" fontId="3" fillId="3" borderId="62" xfId="0" applyFont="1" applyFill="1" applyBorder="1" applyAlignment="1">
      <alignment vertical="center"/>
    </xf>
    <xf numFmtId="9" fontId="0" fillId="3" borderId="0" xfId="2" applyFont="1" applyFill="1"/>
    <xf numFmtId="168" fontId="2" fillId="0" borderId="49" xfId="1" applyNumberFormat="1" applyBorder="1" applyAlignment="1">
      <alignment vertical="center"/>
    </xf>
    <xf numFmtId="176" fontId="0" fillId="3" borderId="59" xfId="0" applyNumberFormat="1" applyFill="1" applyBorder="1"/>
    <xf numFmtId="176" fontId="0" fillId="3" borderId="59" xfId="2" applyNumberFormat="1" applyFont="1" applyFill="1" applyBorder="1"/>
    <xf numFmtId="10" fontId="0" fillId="3" borderId="32" xfId="2" applyNumberFormat="1" applyFont="1" applyFill="1" applyBorder="1" applyAlignment="1">
      <alignment horizontal="center"/>
    </xf>
    <xf numFmtId="177" fontId="0" fillId="3" borderId="0" xfId="0" applyNumberFormat="1" applyFill="1" applyAlignment="1">
      <alignment vertical="center"/>
    </xf>
    <xf numFmtId="10" fontId="0" fillId="3" borderId="0" xfId="2" applyNumberFormat="1" applyFont="1" applyFill="1"/>
    <xf numFmtId="178" fontId="0" fillId="3" borderId="0" xfId="2" applyNumberFormat="1" applyFont="1" applyFill="1" applyAlignment="1">
      <alignment horizontal="left" vertical="center"/>
    </xf>
    <xf numFmtId="0" fontId="7" fillId="8" borderId="26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14" fontId="22" fillId="3" borderId="0" xfId="0" applyNumberFormat="1" applyFont="1" applyFill="1" applyAlignment="1">
      <alignment horizontal="left"/>
    </xf>
    <xf numFmtId="175" fontId="22" fillId="3" borderId="0" xfId="0" applyNumberFormat="1" applyFont="1" applyFill="1" applyAlignment="1">
      <alignment horizontal="right"/>
    </xf>
    <xf numFmtId="49" fontId="22" fillId="3" borderId="0" xfId="0" applyNumberFormat="1" applyFont="1" applyFill="1" applyAlignment="1">
      <alignment horizontal="left"/>
    </xf>
    <xf numFmtId="49" fontId="22" fillId="3" borderId="0" xfId="0" applyNumberFormat="1" applyFont="1" applyFill="1" applyAlignment="1">
      <alignment horizontal="left" vertical="center"/>
    </xf>
    <xf numFmtId="49" fontId="7" fillId="10" borderId="28" xfId="0" applyNumberFormat="1" applyFont="1" applyFill="1" applyBorder="1" applyAlignment="1">
      <alignment horizontal="center" vertical="center"/>
    </xf>
    <xf numFmtId="49" fontId="7" fillId="10" borderId="79" xfId="0" applyNumberFormat="1" applyFont="1" applyFill="1" applyBorder="1" applyAlignment="1">
      <alignment horizontal="center" vertical="center" wrapText="1"/>
    </xf>
    <xf numFmtId="49" fontId="7" fillId="10" borderId="65" xfId="0" applyNumberFormat="1" applyFont="1" applyFill="1" applyBorder="1" applyAlignment="1">
      <alignment horizontal="center" vertical="center" wrapText="1"/>
    </xf>
    <xf numFmtId="0" fontId="7" fillId="8" borderId="80" xfId="0" applyFont="1" applyFill="1" applyBorder="1" applyAlignment="1">
      <alignment vertical="center"/>
    </xf>
    <xf numFmtId="0" fontId="7" fillId="8" borderId="81" xfId="0" applyFont="1" applyFill="1" applyBorder="1" applyAlignment="1">
      <alignment vertical="center"/>
    </xf>
    <xf numFmtId="0" fontId="7" fillId="8" borderId="82" xfId="0" applyFont="1" applyFill="1" applyBorder="1" applyAlignment="1">
      <alignment vertical="center"/>
    </xf>
    <xf numFmtId="179" fontId="0" fillId="3" borderId="60" xfId="0" applyNumberFormat="1" applyFill="1" applyBorder="1" applyAlignment="1">
      <alignment horizontal="left" vertical="center" wrapText="1"/>
    </xf>
    <xf numFmtId="43" fontId="0" fillId="3" borderId="2" xfId="0" applyNumberFormat="1" applyFill="1" applyBorder="1" applyAlignment="1">
      <alignment vertical="center"/>
    </xf>
    <xf numFmtId="0" fontId="0" fillId="3" borderId="2" xfId="0" applyFill="1" applyBorder="1"/>
    <xf numFmtId="43" fontId="17" fillId="3" borderId="87" xfId="0" applyNumberFormat="1" applyFont="1" applyFill="1" applyBorder="1" applyAlignment="1">
      <alignment vertical="center"/>
    </xf>
    <xf numFmtId="172" fontId="0" fillId="3" borderId="91" xfId="1" applyNumberFormat="1" applyFont="1" applyFill="1" applyBorder="1" applyAlignment="1">
      <alignment vertical="center"/>
    </xf>
    <xf numFmtId="172" fontId="0" fillId="3" borderId="93" xfId="1" applyNumberFormat="1" applyFont="1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172" fontId="0" fillId="3" borderId="96" xfId="1" applyNumberFormat="1" applyFont="1" applyFill="1" applyBorder="1" applyAlignment="1">
      <alignment vertical="center"/>
    </xf>
    <xf numFmtId="0" fontId="0" fillId="3" borderId="86" xfId="0" applyFill="1" applyBorder="1" applyAlignment="1">
      <alignment vertical="center"/>
    </xf>
    <xf numFmtId="0" fontId="0" fillId="3" borderId="86" xfId="0" applyFill="1" applyBorder="1"/>
    <xf numFmtId="0" fontId="0" fillId="3" borderId="87" xfId="0" applyFill="1" applyBorder="1"/>
    <xf numFmtId="0" fontId="0" fillId="3" borderId="71" xfId="0" applyFill="1" applyBorder="1"/>
    <xf numFmtId="172" fontId="2" fillId="3" borderId="2" xfId="1" applyNumberFormat="1" applyFill="1" applyBorder="1" applyAlignment="1">
      <alignment vertical="center"/>
    </xf>
    <xf numFmtId="0" fontId="0" fillId="3" borderId="3" xfId="0" applyFill="1" applyBorder="1"/>
    <xf numFmtId="0" fontId="0" fillId="3" borderId="97" xfId="0" applyFill="1" applyBorder="1"/>
    <xf numFmtId="172" fontId="2" fillId="3" borderId="3" xfId="1" applyNumberFormat="1" applyFill="1" applyBorder="1" applyAlignment="1">
      <alignment vertical="center"/>
    </xf>
    <xf numFmtId="172" fontId="2" fillId="3" borderId="87" xfId="1" applyNumberFormat="1" applyFill="1" applyBorder="1" applyAlignment="1">
      <alignment vertical="center"/>
    </xf>
    <xf numFmtId="172" fontId="2" fillId="3" borderId="85" xfId="1" applyNumberFormat="1" applyFill="1" applyBorder="1" applyAlignment="1">
      <alignment vertical="center"/>
    </xf>
    <xf numFmtId="172" fontId="2" fillId="3" borderId="98" xfId="1" applyNumberFormat="1" applyFill="1" applyBorder="1" applyAlignment="1">
      <alignment vertical="center"/>
    </xf>
    <xf numFmtId="176" fontId="0" fillId="3" borderId="0" xfId="0" applyNumberFormat="1" applyFill="1"/>
    <xf numFmtId="176" fontId="0" fillId="0" borderId="0" xfId="2" applyNumberFormat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72" fontId="2" fillId="3" borderId="0" xfId="1" applyNumberFormat="1" applyFill="1" applyAlignment="1">
      <alignment vertical="center"/>
    </xf>
    <xf numFmtId="172" fontId="15" fillId="3" borderId="0" xfId="1" applyNumberFormat="1" applyFont="1" applyFill="1" applyAlignment="1">
      <alignment horizontal="centerContinuous" vertical="center"/>
    </xf>
    <xf numFmtId="0" fontId="5" fillId="3" borderId="0" xfId="0" applyFont="1" applyFill="1" applyAlignment="1">
      <alignment horizontal="center" vertical="center" wrapText="1"/>
    </xf>
    <xf numFmtId="179" fontId="17" fillId="3" borderId="87" xfId="0" applyNumberFormat="1" applyFont="1" applyFill="1" applyBorder="1" applyAlignment="1">
      <alignment vertical="center"/>
    </xf>
    <xf numFmtId="43" fontId="17" fillId="9" borderId="90" xfId="0" applyNumberFormat="1" applyFont="1" applyFill="1" applyBorder="1"/>
    <xf numFmtId="2" fontId="0" fillId="3" borderId="0" xfId="0" applyNumberFormat="1" applyFill="1"/>
    <xf numFmtId="43" fontId="0" fillId="3" borderId="89" xfId="0" applyNumberFormat="1" applyFill="1" applyBorder="1" applyAlignment="1">
      <alignment vertical="center"/>
    </xf>
    <xf numFmtId="0" fontId="1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3" fontId="0" fillId="3" borderId="33" xfId="2" applyNumberFormat="1" applyFont="1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7" fillId="12" borderId="71" xfId="1" applyNumberFormat="1" applyFont="1" applyFill="1" applyBorder="1" applyAlignment="1">
      <alignment horizontal="left" vertical="center"/>
    </xf>
    <xf numFmtId="0" fontId="0" fillId="12" borderId="72" xfId="0" applyFill="1" applyBorder="1" applyAlignment="1">
      <alignment vertical="center"/>
    </xf>
    <xf numFmtId="0" fontId="0" fillId="12" borderId="73" xfId="0" applyFill="1" applyBorder="1" applyAlignment="1">
      <alignment vertical="center"/>
    </xf>
    <xf numFmtId="0" fontId="0" fillId="3" borderId="80" xfId="0" applyFill="1" applyBorder="1" applyAlignment="1">
      <alignment horizontal="center" vertical="center"/>
    </xf>
    <xf numFmtId="174" fontId="0" fillId="3" borderId="81" xfId="0" applyNumberFormat="1" applyFill="1" applyBorder="1" applyAlignment="1">
      <alignment horizontal="center" vertical="center"/>
    </xf>
    <xf numFmtId="17" fontId="0" fillId="3" borderId="81" xfId="0" applyNumberForma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Continuous" vertical="center"/>
    </xf>
    <xf numFmtId="0" fontId="7" fillId="14" borderId="6" xfId="0" applyFont="1" applyFill="1" applyBorder="1" applyAlignment="1">
      <alignment horizontal="centerContinuous" vertical="center"/>
    </xf>
    <xf numFmtId="0" fontId="13" fillId="14" borderId="49" xfId="0" applyFont="1" applyFill="1" applyBorder="1" applyAlignment="1">
      <alignment horizontal="centerContinuous" vertical="center"/>
    </xf>
    <xf numFmtId="0" fontId="13" fillId="14" borderId="52" xfId="0" applyFont="1" applyFill="1" applyBorder="1" applyAlignment="1">
      <alignment horizontal="centerContinuous" vertical="center"/>
    </xf>
    <xf numFmtId="0" fontId="13" fillId="14" borderId="0" xfId="0" applyFont="1" applyFill="1" applyAlignment="1">
      <alignment horizontal="centerContinuous" vertical="center"/>
    </xf>
    <xf numFmtId="0" fontId="0" fillId="14" borderId="0" xfId="0" applyFill="1" applyAlignment="1">
      <alignment horizontal="centerContinuous" vertical="center"/>
    </xf>
    <xf numFmtId="0" fontId="0" fillId="2" borderId="0" xfId="0" applyFill="1" applyAlignment="1">
      <alignment vertical="center"/>
    </xf>
    <xf numFmtId="0" fontId="7" fillId="14" borderId="35" xfId="0" applyFont="1" applyFill="1" applyBorder="1" applyAlignment="1">
      <alignment horizontal="centerContinuous" vertical="center"/>
    </xf>
    <xf numFmtId="0" fontId="7" fillId="14" borderId="36" xfId="0" applyFont="1" applyFill="1" applyBorder="1" applyAlignment="1">
      <alignment horizontal="centerContinuous" vertical="center"/>
    </xf>
    <xf numFmtId="0" fontId="15" fillId="14" borderId="36" xfId="0" applyFont="1" applyFill="1" applyBorder="1" applyAlignment="1">
      <alignment horizontal="centerContinuous" vertical="center"/>
    </xf>
    <xf numFmtId="172" fontId="15" fillId="14" borderId="36" xfId="1" applyNumberFormat="1" applyFont="1" applyFill="1" applyBorder="1" applyAlignment="1">
      <alignment horizontal="centerContinuous" vertical="center"/>
    </xf>
    <xf numFmtId="0" fontId="7" fillId="14" borderId="0" xfId="0" applyFont="1" applyFill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7" fillId="14" borderId="50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wrapText="1"/>
    </xf>
    <xf numFmtId="0" fontId="7" fillId="14" borderId="55" xfId="0" applyFont="1" applyFill="1" applyBorder="1" applyAlignment="1">
      <alignment horizontal="center" vertical="center" wrapText="1"/>
    </xf>
    <xf numFmtId="0" fontId="0" fillId="14" borderId="56" xfId="0" applyFill="1" applyBorder="1" applyAlignment="1">
      <alignment horizontal="center" vertical="center" wrapText="1"/>
    </xf>
    <xf numFmtId="0" fontId="0" fillId="14" borderId="57" xfId="0" applyFill="1" applyBorder="1" applyAlignment="1">
      <alignment horizontal="center" vertical="center" wrapText="1"/>
    </xf>
    <xf numFmtId="0" fontId="0" fillId="14" borderId="50" xfId="0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2" fontId="7" fillId="11" borderId="0" xfId="0" applyNumberFormat="1" applyFont="1" applyFill="1" applyAlignment="1">
      <alignment horizontal="right" vertical="center" wrapText="1"/>
    </xf>
    <xf numFmtId="0" fontId="7" fillId="11" borderId="0" xfId="0" applyFont="1" applyFill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2" fontId="7" fillId="11" borderId="6" xfId="0" applyNumberFormat="1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center" vertical="center" wrapText="1"/>
    </xf>
    <xf numFmtId="164" fontId="7" fillId="11" borderId="6" xfId="0" applyNumberFormat="1" applyFont="1" applyFill="1" applyBorder="1" applyAlignment="1">
      <alignment horizontal="center" vertical="center" wrapText="1"/>
    </xf>
    <xf numFmtId="43" fontId="17" fillId="9" borderId="106" xfId="0" applyNumberFormat="1" applyFont="1" applyFill="1" applyBorder="1"/>
    <xf numFmtId="0" fontId="7" fillId="11" borderId="100" xfId="0" applyFont="1" applyFill="1" applyBorder="1" applyAlignment="1">
      <alignment horizontal="center" vertical="center" wrapText="1"/>
    </xf>
    <xf numFmtId="164" fontId="7" fillId="11" borderId="8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center" vertical="center" wrapText="1"/>
    </xf>
    <xf numFmtId="0" fontId="7" fillId="11" borderId="10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4" fillId="3" borderId="0" xfId="0" applyFont="1" applyFill="1" applyAlignment="1">
      <alignment horizontal="left" vertical="center"/>
    </xf>
    <xf numFmtId="164" fontId="24" fillId="3" borderId="0" xfId="1" applyFont="1" applyFill="1" applyAlignment="1">
      <alignment horizontal="right" vertical="center"/>
    </xf>
    <xf numFmtId="0" fontId="25" fillId="15" borderId="24" xfId="0" applyFont="1" applyFill="1" applyBorder="1" applyAlignment="1">
      <alignment horizontal="centerContinuous" vertical="center"/>
    </xf>
    <xf numFmtId="0" fontId="25" fillId="15" borderId="25" xfId="0" applyFont="1" applyFill="1" applyBorder="1" applyAlignment="1">
      <alignment horizontal="centerContinuous" vertical="center"/>
    </xf>
    <xf numFmtId="0" fontId="25" fillId="15" borderId="26" xfId="0" applyFont="1" applyFill="1" applyBorder="1" applyAlignment="1">
      <alignment horizontal="centerContinuous" vertical="center"/>
    </xf>
    <xf numFmtId="0" fontId="24" fillId="3" borderId="0" xfId="0" applyFont="1" applyFill="1" applyAlignment="1">
      <alignment horizontal="center" vertical="center"/>
    </xf>
    <xf numFmtId="0" fontId="26" fillId="15" borderId="100" xfId="0" applyFont="1" applyFill="1" applyBorder="1" applyAlignment="1">
      <alignment horizontal="centerContinuous" vertical="center"/>
    </xf>
    <xf numFmtId="0" fontId="26" fillId="15" borderId="83" xfId="0" applyFont="1" applyFill="1" applyBorder="1" applyAlignment="1">
      <alignment horizontal="centerContinuous" vertical="center"/>
    </xf>
    <xf numFmtId="0" fontId="26" fillId="15" borderId="107" xfId="0" applyFont="1" applyFill="1" applyBorder="1" applyAlignment="1">
      <alignment horizontal="centerContinuous" vertical="center"/>
    </xf>
    <xf numFmtId="164" fontId="27" fillId="11" borderId="108" xfId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29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justify" vertical="center"/>
    </xf>
    <xf numFmtId="172" fontId="30" fillId="3" borderId="0" xfId="1" applyNumberFormat="1" applyFont="1" applyFill="1" applyAlignment="1">
      <alignment vertical="center"/>
    </xf>
    <xf numFmtId="0" fontId="30" fillId="3" borderId="58" xfId="0" applyFont="1" applyFill="1" applyBorder="1"/>
    <xf numFmtId="176" fontId="30" fillId="0" borderId="59" xfId="2" applyNumberFormat="1" applyFont="1" applyBorder="1"/>
    <xf numFmtId="0" fontId="30" fillId="3" borderId="47" xfId="0" applyFont="1" applyFill="1" applyBorder="1"/>
    <xf numFmtId="176" fontId="30" fillId="0" borderId="46" xfId="2" applyNumberFormat="1" applyFont="1" applyBorder="1"/>
    <xf numFmtId="0" fontId="20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vertical="center" wrapText="1"/>
    </xf>
    <xf numFmtId="0" fontId="33" fillId="16" borderId="0" xfId="0" applyFont="1" applyFill="1" applyAlignment="1">
      <alignment vertical="center"/>
    </xf>
    <xf numFmtId="168" fontId="2" fillId="3" borderId="0" xfId="1" applyNumberFormat="1" applyFill="1" applyAlignment="1">
      <alignment vertical="center"/>
    </xf>
    <xf numFmtId="0" fontId="0" fillId="3" borderId="71" xfId="0" applyFill="1" applyBorder="1" applyAlignment="1">
      <alignment horizontal="justify" vertical="center"/>
    </xf>
    <xf numFmtId="0" fontId="0" fillId="16" borderId="0" xfId="0" applyFill="1"/>
    <xf numFmtId="164" fontId="23" fillId="3" borderId="0" xfId="0" applyNumberFormat="1" applyFont="1" applyFill="1" applyAlignment="1">
      <alignment vertical="center"/>
    </xf>
    <xf numFmtId="164" fontId="23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3" borderId="0" xfId="0" applyFont="1" applyFill="1"/>
    <xf numFmtId="0" fontId="35" fillId="14" borderId="0" xfId="0" applyFont="1" applyFill="1" applyAlignment="1">
      <alignment horizontal="centerContinuous" vertical="center"/>
    </xf>
    <xf numFmtId="0" fontId="34" fillId="14" borderId="0" xfId="0" applyFont="1" applyFill="1" applyAlignment="1">
      <alignment horizontal="centerContinuous" vertical="center"/>
    </xf>
    <xf numFmtId="0" fontId="34" fillId="14" borderId="0" xfId="0" applyFont="1" applyFill="1" applyAlignment="1">
      <alignment horizontal="centerContinuous"/>
    </xf>
    <xf numFmtId="0" fontId="34" fillId="3" borderId="0" xfId="0" applyFont="1" applyFill="1" applyAlignment="1">
      <alignment horizontal="center" vertical="center"/>
    </xf>
    <xf numFmtId="172" fontId="34" fillId="3" borderId="12" xfId="1" applyNumberFormat="1" applyFont="1" applyFill="1" applyBorder="1" applyAlignment="1">
      <alignment vertical="center"/>
    </xf>
    <xf numFmtId="172" fontId="34" fillId="3" borderId="13" xfId="1" applyNumberFormat="1" applyFont="1" applyFill="1" applyBorder="1" applyAlignment="1">
      <alignment vertical="center"/>
    </xf>
    <xf numFmtId="0" fontId="34" fillId="3" borderId="2" xfId="0" applyFont="1" applyFill="1" applyBorder="1" applyAlignment="1">
      <alignment vertical="center"/>
    </xf>
    <xf numFmtId="172" fontId="34" fillId="3" borderId="2" xfId="1" applyNumberFormat="1" applyFont="1" applyFill="1" applyBorder="1" applyAlignment="1">
      <alignment vertical="center"/>
    </xf>
    <xf numFmtId="172" fontId="34" fillId="3" borderId="19" xfId="1" applyNumberFormat="1" applyFont="1" applyFill="1" applyBorder="1" applyAlignment="1">
      <alignment vertical="center"/>
    </xf>
    <xf numFmtId="0" fontId="34" fillId="1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34" fillId="13" borderId="2" xfId="0" applyFont="1" applyFill="1" applyBorder="1" applyAlignment="1">
      <alignment vertical="center"/>
    </xf>
    <xf numFmtId="172" fontId="34" fillId="13" borderId="2" xfId="1" applyNumberFormat="1" applyFont="1" applyFill="1" applyBorder="1" applyAlignment="1">
      <alignment vertical="center"/>
    </xf>
    <xf numFmtId="0" fontId="34" fillId="3" borderId="2" xfId="0" applyFont="1" applyFill="1" applyBorder="1" applyAlignment="1">
      <alignment horizontal="center" vertical="center"/>
    </xf>
    <xf numFmtId="0" fontId="34" fillId="13" borderId="2" xfId="0" applyFont="1" applyFill="1" applyBorder="1" applyAlignment="1">
      <alignment horizontal="center" vertical="center"/>
    </xf>
    <xf numFmtId="0" fontId="40" fillId="8" borderId="0" xfId="0" applyFont="1" applyFill="1" applyAlignment="1">
      <alignment horizontal="centerContinuous" vertical="center"/>
    </xf>
    <xf numFmtId="0" fontId="41" fillId="8" borderId="0" xfId="0" applyFont="1" applyFill="1" applyAlignment="1">
      <alignment horizontal="centerContinuous" vertical="center"/>
    </xf>
    <xf numFmtId="0" fontId="41" fillId="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41" fillId="3" borderId="0" xfId="0" applyFont="1" applyFill="1" applyAlignment="1">
      <alignment horizontal="justify" vertical="center"/>
    </xf>
    <xf numFmtId="170" fontId="44" fillId="10" borderId="1" xfId="1" applyNumberFormat="1" applyFont="1" applyFill="1" applyBorder="1" applyAlignment="1">
      <alignment vertical="center"/>
    </xf>
    <xf numFmtId="164" fontId="41" fillId="3" borderId="0" xfId="0" applyNumberFormat="1" applyFont="1" applyFill="1" applyAlignment="1">
      <alignment vertical="center"/>
    </xf>
    <xf numFmtId="179" fontId="41" fillId="3" borderId="0" xfId="0" applyNumberFormat="1" applyFont="1" applyFill="1" applyAlignment="1">
      <alignment vertical="center"/>
    </xf>
    <xf numFmtId="170" fontId="41" fillId="3" borderId="0" xfId="0" applyNumberFormat="1" applyFont="1" applyFill="1" applyAlignment="1">
      <alignment vertical="center"/>
    </xf>
    <xf numFmtId="170" fontId="41" fillId="3" borderId="2" xfId="0" applyNumberFormat="1" applyFont="1" applyFill="1" applyBorder="1" applyAlignment="1">
      <alignment vertical="center"/>
    </xf>
    <xf numFmtId="170" fontId="41" fillId="3" borderId="2" xfId="2" applyNumberFormat="1" applyFont="1" applyFill="1" applyBorder="1" applyAlignment="1">
      <alignment vertical="center"/>
    </xf>
    <xf numFmtId="170" fontId="41" fillId="3" borderId="2" xfId="1" applyNumberFormat="1" applyFont="1" applyFill="1" applyBorder="1" applyAlignment="1">
      <alignment vertical="center"/>
    </xf>
    <xf numFmtId="0" fontId="45" fillId="3" borderId="0" xfId="0" applyFont="1" applyFill="1" applyAlignment="1">
      <alignment vertical="center"/>
    </xf>
    <xf numFmtId="0" fontId="41" fillId="6" borderId="2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16" borderId="0" xfId="0" applyFont="1" applyFill="1" applyAlignment="1">
      <alignment horizontal="center" vertical="center"/>
    </xf>
    <xf numFmtId="170" fontId="41" fillId="6" borderId="2" xfId="1" applyNumberFormat="1" applyFont="1" applyFill="1" applyBorder="1" applyAlignment="1">
      <alignment vertical="center"/>
    </xf>
    <xf numFmtId="164" fontId="41" fillId="3" borderId="0" xfId="1" applyFont="1" applyFill="1" applyAlignment="1">
      <alignment vertical="center"/>
    </xf>
    <xf numFmtId="170" fontId="41" fillId="3" borderId="0" xfId="1" applyNumberFormat="1" applyFont="1" applyFill="1" applyAlignment="1">
      <alignment vertical="center"/>
    </xf>
    <xf numFmtId="170" fontId="41" fillId="7" borderId="2" xfId="1" applyNumberFormat="1" applyFont="1" applyFill="1" applyBorder="1" applyAlignment="1">
      <alignment vertical="center"/>
    </xf>
    <xf numFmtId="170" fontId="41" fillId="0" borderId="0" xfId="1" applyNumberFormat="1" applyFont="1" applyAlignment="1">
      <alignment vertical="center"/>
    </xf>
    <xf numFmtId="170" fontId="41" fillId="0" borderId="34" xfId="1" applyNumberFormat="1" applyFont="1" applyBorder="1" applyAlignment="1">
      <alignment vertical="center"/>
    </xf>
    <xf numFmtId="0" fontId="46" fillId="3" borderId="0" xfId="0" applyFont="1" applyFill="1" applyAlignment="1">
      <alignment vertical="center"/>
    </xf>
    <xf numFmtId="165" fontId="41" fillId="3" borderId="0" xfId="0" applyNumberFormat="1" applyFont="1" applyFill="1" applyAlignment="1">
      <alignment vertical="center"/>
    </xf>
    <xf numFmtId="9" fontId="41" fillId="3" borderId="0" xfId="2" applyFont="1" applyFill="1" applyAlignment="1">
      <alignment vertical="center"/>
    </xf>
    <xf numFmtId="2" fontId="41" fillId="3" borderId="0" xfId="0" applyNumberFormat="1" applyFont="1" applyFill="1" applyAlignment="1">
      <alignment vertical="center"/>
    </xf>
    <xf numFmtId="168" fontId="41" fillId="3" borderId="0" xfId="0" applyNumberFormat="1" applyFont="1" applyFill="1" applyAlignment="1">
      <alignment vertical="center"/>
    </xf>
    <xf numFmtId="168" fontId="41" fillId="6" borderId="2" xfId="0" applyNumberFormat="1" applyFont="1" applyFill="1" applyBorder="1" applyAlignment="1">
      <alignment vertical="center"/>
    </xf>
    <xf numFmtId="168" fontId="41" fillId="7" borderId="2" xfId="0" applyNumberFormat="1" applyFont="1" applyFill="1" applyBorder="1" applyAlignment="1">
      <alignment vertical="center"/>
    </xf>
    <xf numFmtId="168" fontId="41" fillId="16" borderId="0" xfId="1" applyNumberFormat="1" applyFont="1" applyFill="1" applyAlignment="1">
      <alignment vertical="center"/>
    </xf>
    <xf numFmtId="167" fontId="41" fillId="6" borderId="2" xfId="0" applyNumberFormat="1" applyFont="1" applyFill="1" applyBorder="1" applyAlignment="1">
      <alignment vertical="center"/>
    </xf>
    <xf numFmtId="167" fontId="41" fillId="7" borderId="2" xfId="0" applyNumberFormat="1" applyFont="1" applyFill="1" applyBorder="1" applyAlignment="1">
      <alignment vertical="center"/>
    </xf>
    <xf numFmtId="167" fontId="41" fillId="3" borderId="0" xfId="0" applyNumberFormat="1" applyFont="1" applyFill="1" applyAlignment="1">
      <alignment vertical="center"/>
    </xf>
    <xf numFmtId="167" fontId="41" fillId="4" borderId="0" xfId="0" applyNumberFormat="1" applyFont="1" applyFill="1" applyAlignment="1">
      <alignment vertical="center"/>
    </xf>
    <xf numFmtId="164" fontId="41" fillId="3" borderId="2" xfId="0" applyNumberFormat="1" applyFont="1" applyFill="1" applyBorder="1" applyAlignment="1">
      <alignment vertical="center"/>
    </xf>
    <xf numFmtId="10" fontId="41" fillId="3" borderId="2" xfId="2" applyNumberFormat="1" applyFont="1" applyFill="1" applyBorder="1" applyAlignment="1">
      <alignment vertical="center"/>
    </xf>
    <xf numFmtId="2" fontId="41" fillId="3" borderId="2" xfId="0" applyNumberFormat="1" applyFont="1" applyFill="1" applyBorder="1" applyAlignment="1">
      <alignment vertical="center"/>
    </xf>
    <xf numFmtId="167" fontId="41" fillId="3" borderId="2" xfId="0" applyNumberFormat="1" applyFont="1" applyFill="1" applyBorder="1" applyAlignment="1">
      <alignment vertical="center"/>
    </xf>
    <xf numFmtId="182" fontId="41" fillId="16" borderId="0" xfId="1" applyNumberFormat="1" applyFont="1" applyFill="1" applyAlignment="1">
      <alignment vertical="center"/>
    </xf>
    <xf numFmtId="170" fontId="41" fillId="6" borderId="2" xfId="0" applyNumberFormat="1" applyFont="1" applyFill="1" applyBorder="1" applyAlignment="1">
      <alignment vertical="center"/>
    </xf>
    <xf numFmtId="170" fontId="41" fillId="7" borderId="2" xfId="0" applyNumberFormat="1" applyFont="1" applyFill="1" applyBorder="1" applyAlignment="1">
      <alignment vertical="center"/>
    </xf>
    <xf numFmtId="170" fontId="41" fillId="16" borderId="0" xfId="0" applyNumberFormat="1" applyFont="1" applyFill="1" applyAlignment="1">
      <alignment vertical="center"/>
    </xf>
    <xf numFmtId="9" fontId="41" fillId="6" borderId="2" xfId="2" applyFont="1" applyFill="1" applyBorder="1" applyAlignment="1">
      <alignment vertical="center"/>
    </xf>
    <xf numFmtId="10" fontId="41" fillId="3" borderId="0" xfId="2" applyNumberFormat="1" applyFont="1" applyFill="1" applyAlignment="1">
      <alignment vertical="center"/>
    </xf>
    <xf numFmtId="0" fontId="47" fillId="3" borderId="0" xfId="0" applyFont="1" applyFill="1" applyAlignment="1">
      <alignment vertical="center" wrapText="1"/>
    </xf>
    <xf numFmtId="170" fontId="41" fillId="3" borderId="0" xfId="1" applyNumberFormat="1" applyFont="1" applyFill="1" applyAlignment="1">
      <alignment horizontal="right" vertical="center"/>
    </xf>
    <xf numFmtId="1" fontId="41" fillId="3" borderId="0" xfId="0" applyNumberFormat="1" applyFont="1" applyFill="1" applyAlignment="1">
      <alignment vertical="center"/>
    </xf>
    <xf numFmtId="164" fontId="41" fillId="3" borderId="0" xfId="1" applyFont="1" applyFill="1" applyAlignment="1">
      <alignment horizontal="right" vertical="center"/>
    </xf>
    <xf numFmtId="0" fontId="46" fillId="3" borderId="0" xfId="0" applyFont="1" applyFill="1" applyAlignment="1">
      <alignment horizontal="left" vertical="center" wrapText="1"/>
    </xf>
    <xf numFmtId="0" fontId="46" fillId="3" borderId="0" xfId="0" applyFont="1" applyFill="1" applyAlignment="1">
      <alignment vertical="center" wrapText="1"/>
    </xf>
    <xf numFmtId="164" fontId="48" fillId="3" borderId="0" xfId="0" applyNumberFormat="1" applyFont="1" applyFill="1" applyAlignment="1">
      <alignment vertical="center" wrapText="1"/>
    </xf>
    <xf numFmtId="164" fontId="48" fillId="3" borderId="0" xfId="1" applyFont="1" applyFill="1" applyAlignment="1">
      <alignment horizontal="right" vertical="center"/>
    </xf>
    <xf numFmtId="0" fontId="48" fillId="6" borderId="0" xfId="0" applyFont="1" applyFill="1" applyAlignment="1">
      <alignment vertical="center" wrapText="1"/>
    </xf>
    <xf numFmtId="0" fontId="41" fillId="3" borderId="0" xfId="0" applyFont="1" applyFill="1" applyAlignment="1">
      <alignment vertical="center" wrapText="1"/>
    </xf>
    <xf numFmtId="0" fontId="49" fillId="16" borderId="0" xfId="0" applyFont="1" applyFill="1" applyAlignment="1">
      <alignment vertical="center" wrapText="1"/>
    </xf>
    <xf numFmtId="0" fontId="48" fillId="3" borderId="0" xfId="0" applyFont="1" applyFill="1" applyAlignment="1">
      <alignment vertical="center" wrapText="1"/>
    </xf>
    <xf numFmtId="0" fontId="50" fillId="3" borderId="0" xfId="0" applyFont="1" applyFill="1" applyAlignment="1">
      <alignment vertical="center" wrapText="1"/>
    </xf>
    <xf numFmtId="0" fontId="48" fillId="16" borderId="0" xfId="0" applyFont="1" applyFill="1" applyAlignment="1">
      <alignment vertical="center" wrapText="1"/>
    </xf>
    <xf numFmtId="164" fontId="44" fillId="3" borderId="0" xfId="1" applyFont="1" applyFill="1" applyAlignment="1">
      <alignment vertical="center"/>
    </xf>
    <xf numFmtId="43" fontId="23" fillId="3" borderId="0" xfId="0" applyNumberFormat="1" applyFont="1" applyFill="1" applyAlignment="1">
      <alignment vertical="center"/>
    </xf>
    <xf numFmtId="0" fontId="23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horizontal="justify" vertical="center"/>
    </xf>
    <xf numFmtId="0" fontId="0" fillId="3" borderId="95" xfId="0" applyFill="1" applyBorder="1" applyAlignment="1">
      <alignment vertical="center"/>
    </xf>
    <xf numFmtId="164" fontId="2" fillId="3" borderId="41" xfId="1" applyFill="1" applyBorder="1" applyAlignment="1">
      <alignment vertical="center"/>
    </xf>
    <xf numFmtId="0" fontId="0" fillId="3" borderId="111" xfId="0" applyFill="1" applyBorder="1" applyAlignment="1">
      <alignment vertical="center"/>
    </xf>
    <xf numFmtId="164" fontId="2" fillId="3" borderId="33" xfId="1" applyFill="1" applyBorder="1" applyAlignment="1">
      <alignment vertical="center"/>
    </xf>
    <xf numFmtId="0" fontId="5" fillId="3" borderId="72" xfId="0" applyFont="1" applyFill="1" applyBorder="1" applyAlignment="1">
      <alignment horizontal="left" vertical="center"/>
    </xf>
    <xf numFmtId="164" fontId="5" fillId="3" borderId="72" xfId="1" applyFont="1" applyFill="1" applyBorder="1" applyAlignment="1">
      <alignment vertical="center"/>
    </xf>
    <xf numFmtId="0" fontId="5" fillId="3" borderId="73" xfId="0" applyFont="1" applyFill="1" applyBorder="1" applyAlignment="1">
      <alignment vertical="center"/>
    </xf>
    <xf numFmtId="0" fontId="39" fillId="3" borderId="60" xfId="0" applyFont="1" applyFill="1" applyBorder="1" applyAlignment="1">
      <alignment horizontal="center" vertical="center"/>
    </xf>
    <xf numFmtId="10" fontId="2" fillId="3" borderId="49" xfId="2" applyNumberFormat="1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0" fillId="3" borderId="73" xfId="0" applyFill="1" applyBorder="1" applyAlignment="1">
      <alignment vertical="center"/>
    </xf>
    <xf numFmtId="164" fontId="5" fillId="3" borderId="49" xfId="1" applyFont="1" applyFill="1" applyBorder="1" applyAlignment="1">
      <alignment horizontal="right" vertical="center"/>
    </xf>
    <xf numFmtId="0" fontId="5" fillId="3" borderId="49" xfId="0" applyFont="1" applyFill="1" applyBorder="1" applyAlignment="1">
      <alignment horizontal="left" vertical="center" wrapText="1"/>
    </xf>
    <xf numFmtId="171" fontId="5" fillId="3" borderId="33" xfId="1" applyNumberFormat="1" applyFont="1" applyFill="1" applyBorder="1" applyAlignment="1">
      <alignment horizontal="right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0" xfId="0" applyFont="1" applyFill="1"/>
    <xf numFmtId="0" fontId="14" fillId="3" borderId="0" xfId="0" applyFont="1" applyFill="1"/>
    <xf numFmtId="0" fontId="49" fillId="3" borderId="0" xfId="0" applyFont="1" applyFill="1" applyAlignment="1">
      <alignment horizontal="justify" vertical="center" wrapText="1"/>
    </xf>
    <xf numFmtId="164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9" fillId="3" borderId="80" xfId="0" applyFont="1" applyFill="1" applyBorder="1" applyAlignment="1">
      <alignment horizontal="justify" vertical="center" wrapText="1"/>
    </xf>
    <xf numFmtId="170" fontId="49" fillId="3" borderId="81" xfId="1" applyNumberFormat="1" applyFont="1" applyFill="1" applyBorder="1" applyAlignment="1">
      <alignment vertical="center" wrapText="1"/>
    </xf>
    <xf numFmtId="0" fontId="49" fillId="3" borderId="82" xfId="0" applyFont="1" applyFill="1" applyBorder="1" applyAlignment="1">
      <alignment vertical="center" wrapText="1"/>
    </xf>
    <xf numFmtId="0" fontId="49" fillId="3" borderId="4" xfId="0" applyFont="1" applyFill="1" applyBorder="1" applyAlignment="1">
      <alignment vertical="center" wrapText="1"/>
    </xf>
    <xf numFmtId="0" fontId="49" fillId="3" borderId="103" xfId="0" applyFont="1" applyFill="1" applyBorder="1" applyAlignment="1">
      <alignment horizontal="justify" vertical="center" wrapText="1"/>
    </xf>
    <xf numFmtId="164" fontId="49" fillId="3" borderId="0" xfId="1" applyFont="1" applyFill="1" applyAlignment="1">
      <alignment vertical="center" wrapText="1"/>
    </xf>
    <xf numFmtId="0" fontId="49" fillId="3" borderId="104" xfId="0" applyFont="1" applyFill="1" applyBorder="1" applyAlignment="1">
      <alignment vertical="center" wrapText="1"/>
    </xf>
    <xf numFmtId="0" fontId="49" fillId="3" borderId="110" xfId="0" applyFont="1" applyFill="1" applyBorder="1" applyAlignment="1">
      <alignment vertical="center" wrapText="1"/>
    </xf>
    <xf numFmtId="0" fontId="49" fillId="3" borderId="97" xfId="0" applyFont="1" applyFill="1" applyBorder="1" applyAlignment="1">
      <alignment horizontal="justify" vertical="center" wrapText="1"/>
    </xf>
    <xf numFmtId="164" fontId="49" fillId="3" borderId="101" xfId="1" applyFont="1" applyFill="1" applyBorder="1" applyAlignment="1">
      <alignment vertical="center" wrapText="1"/>
    </xf>
    <xf numFmtId="0" fontId="49" fillId="3" borderId="102" xfId="0" applyFont="1" applyFill="1" applyBorder="1" applyAlignment="1">
      <alignment vertical="center" wrapText="1"/>
    </xf>
    <xf numFmtId="0" fontId="49" fillId="3" borderId="3" xfId="0" applyFont="1" applyFill="1" applyBorder="1" applyAlignment="1">
      <alignment vertical="center" wrapText="1"/>
    </xf>
    <xf numFmtId="164" fontId="5" fillId="3" borderId="81" xfId="1" applyFont="1" applyFill="1" applyBorder="1" applyAlignment="1">
      <alignment vertical="center"/>
    </xf>
    <xf numFmtId="0" fontId="49" fillId="3" borderId="81" xfId="0" applyFont="1" applyFill="1" applyBorder="1" applyAlignment="1">
      <alignment horizontal="left" vertical="center" wrapText="1"/>
    </xf>
    <xf numFmtId="0" fontId="49" fillId="3" borderId="82" xfId="0" applyFont="1" applyFill="1" applyBorder="1" applyAlignment="1">
      <alignment horizontal="left" vertical="center" wrapText="1"/>
    </xf>
    <xf numFmtId="164" fontId="5" fillId="3" borderId="0" xfId="1" applyFont="1" applyFill="1" applyAlignment="1">
      <alignment vertical="center"/>
    </xf>
    <xf numFmtId="0" fontId="5" fillId="3" borderId="104" xfId="0" applyFont="1" applyFill="1" applyBorder="1"/>
    <xf numFmtId="170" fontId="5" fillId="3" borderId="0" xfId="1" applyNumberFormat="1" applyFont="1" applyFill="1" applyAlignment="1">
      <alignment horizontal="right" vertical="center"/>
    </xf>
    <xf numFmtId="0" fontId="49" fillId="3" borderId="104" xfId="0" applyFont="1" applyFill="1" applyBorder="1" applyAlignment="1">
      <alignment horizontal="left" vertical="center" wrapText="1"/>
    </xf>
    <xf numFmtId="0" fontId="49" fillId="3" borderId="0" xfId="0" applyFont="1" applyFill="1" applyAlignment="1">
      <alignment vertical="center" wrapText="1"/>
    </xf>
    <xf numFmtId="2" fontId="5" fillId="3" borderId="0" xfId="2" applyNumberFormat="1" applyFont="1" applyFill="1" applyAlignment="1">
      <alignment vertical="center"/>
    </xf>
    <xf numFmtId="0" fontId="5" fillId="3" borderId="101" xfId="0" applyFont="1" applyFill="1" applyBorder="1"/>
    <xf numFmtId="11" fontId="5" fillId="3" borderId="101" xfId="0" applyNumberFormat="1" applyFont="1" applyFill="1" applyBorder="1"/>
    <xf numFmtId="0" fontId="5" fillId="3" borderId="80" xfId="0" applyFont="1" applyFill="1" applyBorder="1" applyAlignment="1">
      <alignment horizontal="justify" vertical="center"/>
    </xf>
    <xf numFmtId="0" fontId="5" fillId="3" borderId="103" xfId="0" applyFont="1" applyFill="1" applyBorder="1" applyAlignment="1">
      <alignment horizontal="justify" vertical="center"/>
    </xf>
    <xf numFmtId="166" fontId="5" fillId="3" borderId="104" xfId="0" applyNumberFormat="1" applyFont="1" applyFill="1" applyBorder="1" applyAlignment="1">
      <alignment vertical="center"/>
    </xf>
    <xf numFmtId="0" fontId="5" fillId="3" borderId="103" xfId="0" applyFont="1" applyFill="1" applyBorder="1"/>
    <xf numFmtId="167" fontId="5" fillId="3" borderId="104" xfId="0" applyNumberFormat="1" applyFont="1" applyFill="1" applyBorder="1" applyAlignment="1">
      <alignment vertical="center"/>
    </xf>
    <xf numFmtId="10" fontId="5" fillId="3" borderId="104" xfId="2" applyNumberFormat="1" applyFont="1" applyFill="1" applyBorder="1" applyAlignment="1">
      <alignment vertical="center"/>
    </xf>
    <xf numFmtId="0" fontId="5" fillId="3" borderId="97" xfId="0" applyFont="1" applyFill="1" applyBorder="1"/>
    <xf numFmtId="0" fontId="5" fillId="3" borderId="102" xfId="0" applyFont="1" applyFill="1" applyBorder="1"/>
    <xf numFmtId="0" fontId="49" fillId="3" borderId="4" xfId="0" applyFont="1" applyFill="1" applyBorder="1" applyAlignment="1">
      <alignment horizontal="left" vertical="center" wrapText="1"/>
    </xf>
    <xf numFmtId="0" fontId="5" fillId="3" borderId="110" xfId="0" applyFont="1" applyFill="1" applyBorder="1"/>
    <xf numFmtId="0" fontId="5" fillId="3" borderId="110" xfId="0" applyFont="1" applyFill="1" applyBorder="1" applyAlignment="1">
      <alignment wrapText="1"/>
    </xf>
    <xf numFmtId="0" fontId="49" fillId="3" borderId="110" xfId="0" applyFont="1" applyFill="1" applyBorder="1" applyAlignment="1">
      <alignment horizontal="left" vertical="center" wrapText="1"/>
    </xf>
    <xf numFmtId="0" fontId="14" fillId="3" borderId="110" xfId="0" applyFont="1" applyFill="1" applyBorder="1"/>
    <xf numFmtId="0" fontId="14" fillId="3" borderId="3" xfId="0" applyFont="1" applyFill="1" applyBorder="1"/>
    <xf numFmtId="0" fontId="14" fillId="6" borderId="0" xfId="0" applyFont="1" applyFill="1"/>
    <xf numFmtId="0" fontId="5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170" fontId="41" fillId="3" borderId="0" xfId="2" applyNumberFormat="1" applyFont="1" applyFill="1" applyAlignment="1">
      <alignment vertical="center"/>
    </xf>
    <xf numFmtId="170" fontId="41" fillId="16" borderId="2" xfId="1" applyNumberFormat="1" applyFont="1" applyFill="1" applyBorder="1" applyAlignment="1">
      <alignment vertical="center"/>
    </xf>
    <xf numFmtId="0" fontId="41" fillId="16" borderId="2" xfId="0" applyFont="1" applyFill="1" applyBorder="1" applyAlignment="1">
      <alignment vertical="center"/>
    </xf>
    <xf numFmtId="183" fontId="41" fillId="3" borderId="0" xfId="0" applyNumberFormat="1" applyFont="1" applyFill="1" applyAlignment="1">
      <alignment vertical="center"/>
    </xf>
    <xf numFmtId="170" fontId="2" fillId="3" borderId="49" xfId="1" applyNumberFormat="1" applyFill="1" applyBorder="1" applyAlignment="1">
      <alignment horizontal="right" vertical="center"/>
    </xf>
    <xf numFmtId="0" fontId="0" fillId="13" borderId="0" xfId="0" applyFill="1"/>
    <xf numFmtId="172" fontId="34" fillId="0" borderId="0" xfId="1" applyNumberFormat="1" applyFont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172" fontId="34" fillId="0" borderId="2" xfId="1" applyNumberFormat="1" applyFont="1" applyBorder="1" applyAlignment="1">
      <alignment vertical="center"/>
    </xf>
    <xf numFmtId="165" fontId="0" fillId="0" borderId="2" xfId="1" applyNumberFormat="1" applyFont="1" applyBorder="1"/>
    <xf numFmtId="0" fontId="38" fillId="13" borderId="2" xfId="0" applyFont="1" applyFill="1" applyBorder="1" applyAlignment="1">
      <alignment horizontal="center" vertical="center"/>
    </xf>
    <xf numFmtId="0" fontId="38" fillId="13" borderId="2" xfId="0" applyFont="1" applyFill="1" applyBorder="1" applyAlignment="1">
      <alignment vertical="center"/>
    </xf>
    <xf numFmtId="178" fontId="41" fillId="16" borderId="0" xfId="2" applyNumberFormat="1" applyFont="1" applyFill="1" applyAlignment="1">
      <alignment vertical="center"/>
    </xf>
    <xf numFmtId="170" fontId="48" fillId="6" borderId="0" xfId="0" applyNumberFormat="1" applyFont="1" applyFill="1" applyAlignment="1">
      <alignment vertical="center" wrapText="1"/>
    </xf>
    <xf numFmtId="167" fontId="48" fillId="16" borderId="0" xfId="0" applyNumberFormat="1" applyFont="1" applyFill="1" applyAlignment="1">
      <alignment vertical="center" wrapText="1"/>
    </xf>
    <xf numFmtId="0" fontId="23" fillId="3" borderId="0" xfId="0" applyFont="1" applyFill="1"/>
    <xf numFmtId="0" fontId="0" fillId="3" borderId="92" xfId="0" applyFill="1" applyBorder="1"/>
    <xf numFmtId="172" fontId="2" fillId="3" borderId="112" xfId="1" applyNumberFormat="1" applyFill="1" applyBorder="1" applyAlignment="1">
      <alignment vertical="center"/>
    </xf>
    <xf numFmtId="172" fontId="0" fillId="13" borderId="94" xfId="1" applyNumberFormat="1" applyFont="1" applyFill="1" applyBorder="1" applyAlignment="1">
      <alignment vertical="center"/>
    </xf>
    <xf numFmtId="0" fontId="0" fillId="13" borderId="88" xfId="0" applyFill="1" applyBorder="1" applyAlignment="1">
      <alignment vertical="center"/>
    </xf>
    <xf numFmtId="172" fontId="2" fillId="13" borderId="90" xfId="1" applyNumberFormat="1" applyFill="1" applyBorder="1" applyAlignment="1">
      <alignment vertical="center"/>
    </xf>
    <xf numFmtId="0" fontId="0" fillId="13" borderId="88" xfId="0" applyFill="1" applyBorder="1"/>
    <xf numFmtId="0" fontId="0" fillId="13" borderId="89" xfId="0" applyFill="1" applyBorder="1"/>
    <xf numFmtId="172" fontId="2" fillId="13" borderId="89" xfId="1" applyNumberFormat="1" applyFill="1" applyBorder="1" applyAlignment="1">
      <alignment vertical="center"/>
    </xf>
    <xf numFmtId="172" fontId="0" fillId="13" borderId="89" xfId="0" applyNumberFormat="1" applyFill="1" applyBorder="1"/>
    <xf numFmtId="172" fontId="0" fillId="3" borderId="113" xfId="1" applyNumberFormat="1" applyFont="1" applyFill="1" applyBorder="1" applyAlignment="1">
      <alignment vertical="center"/>
    </xf>
    <xf numFmtId="172" fontId="2" fillId="3" borderId="114" xfId="1" applyNumberFormat="1" applyFill="1" applyBorder="1" applyAlignment="1">
      <alignment vertical="center"/>
    </xf>
    <xf numFmtId="172" fontId="23" fillId="13" borderId="44" xfId="1" applyNumberFormat="1" applyFont="1" applyFill="1" applyBorder="1" applyAlignment="1">
      <alignment vertical="center"/>
    </xf>
    <xf numFmtId="172" fontId="23" fillId="13" borderId="45" xfId="1" applyNumberFormat="1" applyFont="1" applyFill="1" applyBorder="1" applyAlignment="1">
      <alignment vertical="center"/>
    </xf>
    <xf numFmtId="0" fontId="34" fillId="3" borderId="99" xfId="0" applyFont="1" applyFill="1" applyBorder="1" applyAlignment="1">
      <alignment vertical="center"/>
    </xf>
    <xf numFmtId="0" fontId="34" fillId="13" borderId="99" xfId="0" applyFont="1" applyFill="1" applyBorder="1" applyAlignment="1">
      <alignment vertical="center"/>
    </xf>
    <xf numFmtId="0" fontId="34" fillId="3" borderId="101" xfId="0" applyFont="1" applyFill="1" applyBorder="1" applyAlignment="1">
      <alignment vertical="center"/>
    </xf>
    <xf numFmtId="172" fontId="23" fillId="13" borderId="116" xfId="1" applyNumberFormat="1" applyFont="1" applyFill="1" applyBorder="1" applyAlignment="1">
      <alignment vertical="center"/>
    </xf>
    <xf numFmtId="172" fontId="23" fillId="13" borderId="117" xfId="1" applyNumberFormat="1" applyFont="1" applyFill="1" applyBorder="1" applyAlignment="1">
      <alignment vertical="center"/>
    </xf>
    <xf numFmtId="172" fontId="0" fillId="3" borderId="116" xfId="1" applyNumberFormat="1" applyFont="1" applyFill="1" applyBorder="1" applyAlignment="1">
      <alignment vertical="center"/>
    </xf>
    <xf numFmtId="172" fontId="2" fillId="3" borderId="117" xfId="1" applyNumberFormat="1" applyFill="1" applyBorder="1" applyAlignment="1">
      <alignment vertical="center"/>
    </xf>
    <xf numFmtId="172" fontId="0" fillId="13" borderId="116" xfId="1" applyNumberFormat="1" applyFont="1" applyFill="1" applyBorder="1" applyAlignment="1">
      <alignment vertical="center"/>
    </xf>
    <xf numFmtId="172" fontId="2" fillId="13" borderId="117" xfId="1" applyNumberFormat="1" applyFill="1" applyBorder="1" applyAlignment="1">
      <alignment vertical="center"/>
    </xf>
    <xf numFmtId="172" fontId="5" fillId="3" borderId="44" xfId="1" applyNumberFormat="1" applyFont="1" applyFill="1" applyBorder="1" applyAlignment="1">
      <alignment vertical="center"/>
    </xf>
    <xf numFmtId="172" fontId="5" fillId="3" borderId="45" xfId="1" applyNumberFormat="1" applyFont="1" applyFill="1" applyBorder="1" applyAlignment="1">
      <alignment vertical="center"/>
    </xf>
    <xf numFmtId="172" fontId="23" fillId="3" borderId="96" xfId="1" applyNumberFormat="1" applyFont="1" applyFill="1" applyBorder="1" applyAlignment="1">
      <alignment vertical="center"/>
    </xf>
    <xf numFmtId="172" fontId="23" fillId="3" borderId="97" xfId="0" applyNumberFormat="1" applyFont="1" applyFill="1" applyBorder="1" applyAlignment="1">
      <alignment vertical="center"/>
    </xf>
    <xf numFmtId="172" fontId="23" fillId="3" borderId="112" xfId="1" applyNumberFormat="1" applyFont="1" applyFill="1" applyBorder="1" applyAlignment="1">
      <alignment vertical="center"/>
    </xf>
    <xf numFmtId="172" fontId="0" fillId="3" borderId="115" xfId="1" applyNumberFormat="1" applyFont="1" applyFill="1" applyBorder="1" applyAlignment="1">
      <alignment vertical="center"/>
    </xf>
    <xf numFmtId="172" fontId="0" fillId="3" borderId="71" xfId="0" applyNumberFormat="1" applyFill="1" applyBorder="1" applyAlignment="1">
      <alignment vertical="center"/>
    </xf>
    <xf numFmtId="172" fontId="2" fillId="3" borderId="118" xfId="1" applyNumberFormat="1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0" fontId="0" fillId="3" borderId="97" xfId="0" applyFill="1" applyBorder="1" applyAlignment="1">
      <alignment vertical="center"/>
    </xf>
    <xf numFmtId="165" fontId="0" fillId="13" borderId="2" xfId="1" applyNumberFormat="1" applyFont="1" applyFill="1" applyBorder="1"/>
    <xf numFmtId="0" fontId="17" fillId="12" borderId="49" xfId="1" applyNumberFormat="1" applyFont="1" applyFill="1" applyBorder="1" applyAlignment="1">
      <alignment horizontal="left" vertical="center" wrapText="1"/>
    </xf>
    <xf numFmtId="0" fontId="17" fillId="12" borderId="52" xfId="1" applyNumberFormat="1" applyFont="1" applyFill="1" applyBorder="1" applyAlignment="1">
      <alignment horizontal="left" vertical="center" wrapText="1"/>
    </xf>
    <xf numFmtId="0" fontId="0" fillId="13" borderId="52" xfId="0" applyFill="1" applyBorder="1" applyAlignment="1">
      <alignment vertical="center"/>
    </xf>
    <xf numFmtId="0" fontId="12" fillId="13" borderId="53" xfId="0" applyFont="1" applyFill="1" applyBorder="1" applyAlignment="1">
      <alignment horizontal="center" vertical="center"/>
    </xf>
    <xf numFmtId="0" fontId="17" fillId="13" borderId="51" xfId="1" applyNumberFormat="1" applyFont="1" applyFill="1" applyBorder="1" applyAlignment="1">
      <alignment horizontal="left" vertical="center"/>
    </xf>
    <xf numFmtId="0" fontId="0" fillId="13" borderId="0" xfId="0" applyFill="1" applyAlignment="1">
      <alignment vertical="center"/>
    </xf>
    <xf numFmtId="0" fontId="17" fillId="3" borderId="51" xfId="1" applyNumberFormat="1" applyFont="1" applyFill="1" applyBorder="1" applyAlignment="1">
      <alignment horizontal="left" vertical="center"/>
    </xf>
    <xf numFmtId="170" fontId="2" fillId="3" borderId="49" xfId="1" applyNumberFormat="1" applyFill="1" applyBorder="1" applyAlignment="1">
      <alignment vertical="center"/>
    </xf>
    <xf numFmtId="0" fontId="17" fillId="3" borderId="51" xfId="0" applyFont="1" applyFill="1" applyBorder="1" applyAlignment="1">
      <alignment vertical="center"/>
    </xf>
    <xf numFmtId="0" fontId="0" fillId="3" borderId="0" xfId="0" applyFill="1" applyBorder="1" applyAlignment="1">
      <alignment horizontal="justify" vertical="center"/>
    </xf>
    <xf numFmtId="0" fontId="0" fillId="12" borderId="0" xfId="0" applyFill="1" applyBorder="1" applyAlignment="1">
      <alignment vertical="center"/>
    </xf>
    <xf numFmtId="168" fontId="2" fillId="3" borderId="0" xfId="1" applyNumberForma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175" fontId="0" fillId="3" borderId="0" xfId="0" applyNumberFormat="1" applyFill="1" applyAlignment="1">
      <alignment vertical="center"/>
    </xf>
    <xf numFmtId="0" fontId="52" fillId="0" borderId="0" xfId="4"/>
    <xf numFmtId="0" fontId="54" fillId="0" borderId="0" xfId="0" applyFont="1"/>
    <xf numFmtId="0" fontId="7" fillId="10" borderId="21" xfId="0" applyFont="1" applyFill="1" applyBorder="1" applyAlignment="1">
      <alignment vertical="center"/>
    </xf>
    <xf numFmtId="175" fontId="22" fillId="0" borderId="48" xfId="0" applyNumberFormat="1" applyFont="1" applyBorder="1" applyAlignment="1">
      <alignment horizontal="center"/>
    </xf>
    <xf numFmtId="15" fontId="34" fillId="3" borderId="22" xfId="0" applyNumberFormat="1" applyFont="1" applyFill="1" applyBorder="1" applyAlignment="1">
      <alignment horizontal="center" vertical="center"/>
    </xf>
    <xf numFmtId="15" fontId="34" fillId="3" borderId="11" xfId="0" applyNumberFormat="1" applyFont="1" applyFill="1" applyBorder="1" applyAlignment="1">
      <alignment horizontal="center" vertical="center"/>
    </xf>
    <xf numFmtId="0" fontId="34" fillId="14" borderId="0" xfId="0" applyFont="1" applyFill="1" applyAlignment="1">
      <alignment vertical="center"/>
    </xf>
    <xf numFmtId="0" fontId="7" fillId="14" borderId="24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174" fontId="17" fillId="3" borderId="2" xfId="0" applyNumberFormat="1" applyFont="1" applyFill="1" applyBorder="1" applyAlignment="1">
      <alignment horizontal="center" vertical="center"/>
    </xf>
    <xf numFmtId="15" fontId="0" fillId="3" borderId="37" xfId="0" applyNumberFormat="1" applyFill="1" applyBorder="1" applyAlignment="1">
      <alignment horizontal="center" vertical="center"/>
    </xf>
    <xf numFmtId="2" fontId="17" fillId="3" borderId="2" xfId="0" applyNumberFormat="1" applyFont="1" applyFill="1" applyBorder="1" applyAlignment="1">
      <alignment vertical="center"/>
    </xf>
    <xf numFmtId="174" fontId="17" fillId="3" borderId="3" xfId="0" applyNumberFormat="1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vertical="center"/>
    </xf>
    <xf numFmtId="164" fontId="34" fillId="3" borderId="0" xfId="1" applyFont="1" applyFill="1" applyBorder="1" applyAlignment="1">
      <alignment vertical="center"/>
    </xf>
    <xf numFmtId="15" fontId="34" fillId="3" borderId="30" xfId="0" applyNumberFormat="1" applyFont="1" applyFill="1" applyBorder="1" applyAlignment="1">
      <alignment vertical="center"/>
    </xf>
    <xf numFmtId="172" fontId="34" fillId="3" borderId="119" xfId="1" applyNumberFormat="1" applyFont="1" applyFill="1" applyBorder="1" applyAlignment="1">
      <alignment vertical="center"/>
    </xf>
    <xf numFmtId="172" fontId="34" fillId="14" borderId="79" xfId="1" applyNumberFormat="1" applyFont="1" applyFill="1" applyBorder="1" applyAlignment="1">
      <alignment vertical="center"/>
    </xf>
    <xf numFmtId="172" fontId="34" fillId="3" borderId="119" xfId="0" applyNumberFormat="1" applyFont="1" applyFill="1" applyBorder="1" applyAlignment="1">
      <alignment vertical="center"/>
    </xf>
    <xf numFmtId="172" fontId="34" fillId="14" borderId="12" xfId="1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 wrapText="1"/>
    </xf>
    <xf numFmtId="0" fontId="24" fillId="3" borderId="105" xfId="0" applyFont="1" applyFill="1" applyBorder="1" applyAlignment="1">
      <alignment horizontal="left" vertical="center"/>
    </xf>
    <xf numFmtId="164" fontId="24" fillId="11" borderId="0" xfId="1" applyFont="1" applyFill="1" applyBorder="1" applyAlignment="1">
      <alignment horizontal="center" vertical="center" wrapText="1"/>
    </xf>
    <xf numFmtId="0" fontId="24" fillId="3" borderId="84" xfId="0" applyFont="1" applyFill="1" applyBorder="1" applyAlignment="1">
      <alignment horizontal="left" vertical="center"/>
    </xf>
    <xf numFmtId="15" fontId="24" fillId="3" borderId="105" xfId="0" applyNumberFormat="1" applyFont="1" applyFill="1" applyBorder="1" applyAlignment="1">
      <alignment horizontal="left" vertical="center"/>
    </xf>
    <xf numFmtId="174" fontId="24" fillId="3" borderId="0" xfId="0" applyNumberFormat="1" applyFont="1" applyFill="1" applyBorder="1" applyAlignment="1">
      <alignment horizontal="left" vertical="center"/>
    </xf>
    <xf numFmtId="15" fontId="24" fillId="3" borderId="0" xfId="0" applyNumberFormat="1" applyFont="1" applyFill="1" applyBorder="1" applyAlignment="1">
      <alignment horizontal="left" vertical="center"/>
    </xf>
    <xf numFmtId="165" fontId="24" fillId="3" borderId="0" xfId="1" applyNumberFormat="1" applyFont="1" applyFill="1" applyBorder="1" applyAlignment="1">
      <alignment horizontal="left" vertical="center" wrapText="1"/>
    </xf>
    <xf numFmtId="0" fontId="24" fillId="11" borderId="0" xfId="0" applyFont="1" applyFill="1" applyBorder="1" applyAlignment="1">
      <alignment horizontal="centerContinuous" vertical="center"/>
    </xf>
    <xf numFmtId="0" fontId="24" fillId="11" borderId="105" xfId="0" applyFont="1" applyFill="1" applyBorder="1" applyAlignment="1">
      <alignment horizontal="centerContinuous" vertical="center"/>
    </xf>
    <xf numFmtId="165" fontId="24" fillId="3" borderId="99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14" borderId="0" xfId="0" applyFill="1" applyAlignment="1">
      <alignment vertical="center" wrapText="1"/>
    </xf>
    <xf numFmtId="0" fontId="0" fillId="14" borderId="0" xfId="0" applyFill="1"/>
    <xf numFmtId="0" fontId="0" fillId="3" borderId="119" xfId="0" applyFill="1" applyBorder="1"/>
    <xf numFmtId="165" fontId="24" fillId="3" borderId="0" xfId="1" applyNumberFormat="1" applyFont="1" applyFill="1" applyBorder="1" applyAlignment="1">
      <alignment horizontal="center" vertical="center"/>
    </xf>
    <xf numFmtId="165" fontId="24" fillId="3" borderId="108" xfId="1" applyNumberFormat="1" applyFont="1" applyFill="1" applyBorder="1" applyAlignment="1">
      <alignment horizontal="center" vertical="center"/>
    </xf>
    <xf numFmtId="165" fontId="28" fillId="3" borderId="0" xfId="0" applyNumberFormat="1" applyFont="1" applyFill="1" applyBorder="1" applyAlignment="1">
      <alignment horizontal="center" vertical="center"/>
    </xf>
    <xf numFmtId="165" fontId="27" fillId="3" borderId="108" xfId="1" applyNumberFormat="1" applyFont="1" applyFill="1" applyBorder="1" applyAlignment="1">
      <alignment horizontal="center" vertical="center"/>
    </xf>
    <xf numFmtId="172" fontId="28" fillId="3" borderId="99" xfId="1" applyNumberFormat="1" applyFont="1" applyFill="1" applyBorder="1" applyAlignment="1">
      <alignment horizontal="center" vertical="center"/>
    </xf>
    <xf numFmtId="172" fontId="27" fillId="3" borderId="109" xfId="1" applyNumberFormat="1" applyFont="1" applyFill="1" applyBorder="1" applyAlignment="1">
      <alignment horizontal="center" vertical="center"/>
    </xf>
    <xf numFmtId="10" fontId="0" fillId="3" borderId="119" xfId="2" applyNumberFormat="1" applyFont="1" applyFill="1" applyBorder="1"/>
    <xf numFmtId="0" fontId="0" fillId="0" borderId="2" xfId="0" applyBorder="1" applyAlignment="1">
      <alignment vertical="center"/>
    </xf>
    <xf numFmtId="176" fontId="0" fillId="0" borderId="2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34" fillId="3" borderId="0" xfId="2" applyNumberFormat="1" applyFont="1" applyFill="1" applyBorder="1" applyAlignment="1">
      <alignment vertical="center"/>
    </xf>
    <xf numFmtId="0" fontId="37" fillId="3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vertical="center"/>
    </xf>
    <xf numFmtId="172" fontId="5" fillId="3" borderId="119" xfId="1" applyNumberFormat="1" applyFont="1" applyFill="1" applyBorder="1" applyAlignment="1">
      <alignment vertical="center"/>
    </xf>
    <xf numFmtId="172" fontId="34" fillId="14" borderId="29" xfId="1" applyNumberFormat="1" applyFont="1" applyFill="1" applyBorder="1" applyAlignment="1">
      <alignment vertical="center"/>
    </xf>
    <xf numFmtId="43" fontId="34" fillId="14" borderId="29" xfId="1" applyNumberFormat="1" applyFont="1" applyFill="1" applyBorder="1" applyAlignment="1">
      <alignment vertical="center"/>
    </xf>
    <xf numFmtId="172" fontId="34" fillId="14" borderId="0" xfId="1" applyNumberFormat="1" applyFont="1" applyFill="1" applyBorder="1" applyAlignment="1">
      <alignment vertical="center"/>
    </xf>
    <xf numFmtId="15" fontId="34" fillId="3" borderId="12" xfId="0" applyNumberFormat="1" applyFont="1" applyFill="1" applyBorder="1" applyAlignment="1">
      <alignment horizontal="center" vertical="center"/>
    </xf>
    <xf numFmtId="165" fontId="34" fillId="3" borderId="12" xfId="1" applyNumberFormat="1" applyFont="1" applyFill="1" applyBorder="1" applyAlignment="1">
      <alignment vertical="center"/>
    </xf>
    <xf numFmtId="172" fontId="38" fillId="0" borderId="12" xfId="1" applyNumberFormat="1" applyFont="1" applyBorder="1" applyAlignment="1">
      <alignment vertical="center"/>
    </xf>
    <xf numFmtId="0" fontId="34" fillId="14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15" fontId="34" fillId="14" borderId="12" xfId="0" applyNumberFormat="1" applyFont="1" applyFill="1" applyBorder="1" applyAlignment="1">
      <alignment horizontal="center" vertical="center"/>
    </xf>
    <xf numFmtId="172" fontId="0" fillId="14" borderId="12" xfId="1" applyNumberFormat="1" applyFont="1" applyFill="1" applyBorder="1" applyAlignment="1">
      <alignment vertical="center"/>
    </xf>
    <xf numFmtId="172" fontId="34" fillId="14" borderId="13" xfId="1" applyNumberFormat="1" applyFont="1" applyFill="1" applyBorder="1" applyAlignment="1">
      <alignment vertical="center"/>
    </xf>
    <xf numFmtId="0" fontId="7" fillId="10" borderId="77" xfId="0" applyFont="1" applyFill="1" applyBorder="1" applyAlignment="1">
      <alignment horizontal="centerContinuous" vertical="center"/>
    </xf>
    <xf numFmtId="0" fontId="37" fillId="10" borderId="29" xfId="0" applyFont="1" applyFill="1" applyBorder="1" applyAlignment="1">
      <alignment horizontal="centerContinuous" vertical="center"/>
    </xf>
    <xf numFmtId="15" fontId="34" fillId="3" borderId="13" xfId="0" applyNumberFormat="1" applyFont="1" applyFill="1" applyBorder="1" applyAlignment="1">
      <alignment vertical="center"/>
    </xf>
    <xf numFmtId="15" fontId="34" fillId="14" borderId="13" xfId="0" applyNumberFormat="1" applyFont="1" applyFill="1" applyBorder="1" applyAlignment="1">
      <alignment vertical="center"/>
    </xf>
    <xf numFmtId="172" fontId="34" fillId="14" borderId="19" xfId="1" applyNumberFormat="1" applyFont="1" applyFill="1" applyBorder="1" applyAlignment="1">
      <alignment vertical="center"/>
    </xf>
    <xf numFmtId="0" fontId="37" fillId="10" borderId="122" xfId="0" applyFont="1" applyFill="1" applyBorder="1" applyAlignment="1">
      <alignment horizontal="center" vertical="center"/>
    </xf>
    <xf numFmtId="0" fontId="7" fillId="10" borderId="123" xfId="0" applyFont="1" applyFill="1" applyBorder="1" applyAlignment="1">
      <alignment horizontal="center" vertical="center" wrapText="1"/>
    </xf>
    <xf numFmtId="172" fontId="34" fillId="3" borderId="11" xfId="1" applyNumberFormat="1" applyFont="1" applyFill="1" applyBorder="1" applyAlignment="1">
      <alignment vertical="center"/>
    </xf>
    <xf numFmtId="172" fontId="0" fillId="14" borderId="11" xfId="1" applyNumberFormat="1" applyFont="1" applyFill="1" applyBorder="1" applyAlignment="1">
      <alignment vertical="center"/>
    </xf>
    <xf numFmtId="172" fontId="34" fillId="0" borderId="11" xfId="1" applyNumberFormat="1" applyFont="1" applyBorder="1" applyAlignment="1">
      <alignment vertical="center"/>
    </xf>
    <xf numFmtId="172" fontId="34" fillId="14" borderId="124" xfId="1" applyNumberFormat="1" applyFont="1" applyFill="1" applyBorder="1" applyAlignment="1">
      <alignment vertical="center"/>
    </xf>
    <xf numFmtId="172" fontId="34" fillId="3" borderId="125" xfId="1" applyNumberFormat="1" applyFont="1" applyFill="1" applyBorder="1" applyAlignment="1">
      <alignment vertical="center"/>
    </xf>
    <xf numFmtId="172" fontId="34" fillId="3" borderId="126" xfId="1" applyNumberFormat="1" applyFont="1" applyFill="1" applyBorder="1" applyAlignment="1">
      <alignment vertical="center"/>
    </xf>
    <xf numFmtId="172" fontId="34" fillId="3" borderId="127" xfId="1" applyNumberFormat="1" applyFont="1" applyFill="1" applyBorder="1" applyAlignment="1">
      <alignment vertical="center"/>
    </xf>
    <xf numFmtId="0" fontId="37" fillId="10" borderId="128" xfId="0" applyFont="1" applyFill="1" applyBorder="1" applyAlignment="1">
      <alignment horizontal="center" vertical="center" wrapText="1"/>
    </xf>
    <xf numFmtId="0" fontId="7" fillId="10" borderId="129" xfId="0" applyFont="1" applyFill="1" applyBorder="1" applyAlignment="1">
      <alignment horizontal="center" vertical="center" wrapText="1"/>
    </xf>
    <xf numFmtId="172" fontId="34" fillId="3" borderId="130" xfId="1" applyNumberFormat="1" applyFont="1" applyFill="1" applyBorder="1" applyAlignment="1">
      <alignment vertical="center"/>
    </xf>
    <xf numFmtId="165" fontId="34" fillId="3" borderId="130" xfId="1" applyNumberFormat="1" applyFont="1" applyFill="1" applyBorder="1" applyAlignment="1">
      <alignment vertical="center"/>
    </xf>
    <xf numFmtId="172" fontId="34" fillId="14" borderId="130" xfId="1" applyNumberFormat="1" applyFont="1" applyFill="1" applyBorder="1" applyAlignment="1">
      <alignment vertical="center"/>
    </xf>
    <xf numFmtId="172" fontId="34" fillId="14" borderId="131" xfId="1" applyNumberFormat="1" applyFont="1" applyFill="1" applyBorder="1" applyAlignment="1">
      <alignment vertical="center"/>
    </xf>
    <xf numFmtId="172" fontId="5" fillId="3" borderId="133" xfId="1" applyNumberFormat="1" applyFont="1" applyFill="1" applyBorder="1" applyAlignment="1">
      <alignment vertical="center"/>
    </xf>
    <xf numFmtId="0" fontId="37" fillId="10" borderId="135" xfId="0" applyFont="1" applyFill="1" applyBorder="1" applyAlignment="1">
      <alignment horizontal="center" vertical="center" wrapText="1"/>
    </xf>
    <xf numFmtId="172" fontId="34" fillId="3" borderId="120" xfId="1" applyNumberFormat="1" applyFont="1" applyFill="1" applyBorder="1" applyAlignment="1">
      <alignment vertical="center"/>
    </xf>
    <xf numFmtId="172" fontId="34" fillId="3" borderId="136" xfId="1" applyNumberFormat="1" applyFont="1" applyFill="1" applyBorder="1" applyAlignment="1">
      <alignment vertical="center"/>
    </xf>
    <xf numFmtId="0" fontId="37" fillId="10" borderId="137" xfId="0" applyFont="1" applyFill="1" applyBorder="1" applyAlignment="1">
      <alignment horizontal="center" vertical="center" wrapText="1"/>
    </xf>
    <xf numFmtId="165" fontId="34" fillId="3" borderId="19" xfId="1" applyNumberFormat="1" applyFont="1" applyFill="1" applyBorder="1" applyAlignment="1">
      <alignment vertical="center"/>
    </xf>
    <xf numFmtId="43" fontId="34" fillId="14" borderId="0" xfId="1" applyNumberFormat="1" applyFont="1" applyFill="1" applyBorder="1" applyAlignment="1">
      <alignment vertical="center"/>
    </xf>
    <xf numFmtId="0" fontId="37" fillId="10" borderId="139" xfId="0" applyFont="1" applyFill="1" applyBorder="1" applyAlignment="1">
      <alignment horizontal="center" vertical="center" wrapText="1"/>
    </xf>
    <xf numFmtId="0" fontId="37" fillId="10" borderId="140" xfId="0" applyFont="1" applyFill="1" applyBorder="1" applyAlignment="1">
      <alignment horizontal="center" vertical="center" wrapText="1"/>
    </xf>
    <xf numFmtId="172" fontId="34" fillId="3" borderId="141" xfId="1" applyNumberFormat="1" applyFont="1" applyFill="1" applyBorder="1" applyAlignment="1">
      <alignment vertical="center"/>
    </xf>
    <xf numFmtId="172" fontId="34" fillId="3" borderId="142" xfId="1" applyNumberFormat="1" applyFont="1" applyFill="1" applyBorder="1" applyAlignment="1">
      <alignment vertical="center"/>
    </xf>
    <xf numFmtId="172" fontId="34" fillId="14" borderId="141" xfId="1" applyNumberFormat="1" applyFont="1" applyFill="1" applyBorder="1" applyAlignment="1">
      <alignment vertical="center"/>
    </xf>
    <xf numFmtId="172" fontId="34" fillId="14" borderId="142" xfId="1" applyNumberFormat="1" applyFont="1" applyFill="1" applyBorder="1" applyAlignment="1">
      <alignment vertical="center"/>
    </xf>
    <xf numFmtId="172" fontId="34" fillId="14" borderId="143" xfId="1" applyNumberFormat="1" applyFont="1" applyFill="1" applyBorder="1" applyAlignment="1">
      <alignment vertical="center"/>
    </xf>
    <xf numFmtId="172" fontId="34" fillId="14" borderId="144" xfId="1" applyNumberFormat="1" applyFont="1" applyFill="1" applyBorder="1" applyAlignment="1">
      <alignment vertical="center"/>
    </xf>
    <xf numFmtId="10" fontId="34" fillId="3" borderId="145" xfId="2" applyNumberFormat="1" applyFont="1" applyFill="1" applyBorder="1" applyAlignment="1">
      <alignment vertical="center"/>
    </xf>
    <xf numFmtId="10" fontId="34" fillId="3" borderId="146" xfId="2" applyNumberFormat="1" applyFont="1" applyFill="1" applyBorder="1" applyAlignment="1">
      <alignment vertical="center"/>
    </xf>
    <xf numFmtId="10" fontId="34" fillId="3" borderId="147" xfId="2" applyNumberFormat="1" applyFont="1" applyFill="1" applyBorder="1" applyAlignment="1">
      <alignment vertical="center"/>
    </xf>
    <xf numFmtId="10" fontId="34" fillId="3" borderId="148" xfId="2" applyNumberFormat="1" applyFont="1" applyFill="1" applyBorder="1" applyAlignment="1">
      <alignment vertical="center"/>
    </xf>
    <xf numFmtId="9" fontId="0" fillId="3" borderId="0" xfId="2" applyFont="1" applyFill="1" applyBorder="1"/>
    <xf numFmtId="0" fontId="0" fillId="3" borderId="149" xfId="0" applyFill="1" applyBorder="1" applyAlignment="1">
      <alignment horizontal="center"/>
    </xf>
    <xf numFmtId="16" fontId="0" fillId="3" borderId="149" xfId="0" applyNumberFormat="1" applyFill="1" applyBorder="1" applyAlignment="1">
      <alignment horizontal="center"/>
    </xf>
    <xf numFmtId="0" fontId="0" fillId="3" borderId="80" xfId="0" applyFill="1" applyBorder="1" applyAlignment="1"/>
    <xf numFmtId="0" fontId="0" fillId="3" borderId="81" xfId="0" applyFill="1" applyBorder="1" applyAlignment="1"/>
    <xf numFmtId="10" fontId="0" fillId="3" borderId="81" xfId="2" applyNumberFormat="1" applyFont="1" applyFill="1" applyBorder="1" applyAlignment="1">
      <alignment horizontal="center"/>
    </xf>
    <xf numFmtId="10" fontId="0" fillId="3" borderId="150" xfId="2" applyNumberFormat="1" applyFont="1" applyFill="1" applyBorder="1" applyAlignment="1">
      <alignment horizontal="center"/>
    </xf>
    <xf numFmtId="10" fontId="0" fillId="3" borderId="82" xfId="2" applyNumberFormat="1" applyFont="1" applyFill="1" applyBorder="1" applyAlignment="1">
      <alignment horizontal="center"/>
    </xf>
    <xf numFmtId="0" fontId="0" fillId="3" borderId="103" xfId="0" applyFill="1" applyBorder="1" applyAlignment="1"/>
    <xf numFmtId="0" fontId="0" fillId="3" borderId="0" xfId="0" applyFill="1" applyBorder="1" applyAlignment="1"/>
    <xf numFmtId="10" fontId="0" fillId="3" borderId="0" xfId="2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104" xfId="2" applyNumberFormat="1" applyFont="1" applyFill="1" applyBorder="1" applyAlignment="1">
      <alignment horizontal="center"/>
    </xf>
    <xf numFmtId="0" fontId="0" fillId="3" borderId="97" xfId="0" applyFill="1" applyBorder="1" applyAlignment="1"/>
    <xf numFmtId="0" fontId="0" fillId="3" borderId="101" xfId="0" applyFill="1" applyBorder="1" applyAlignment="1"/>
    <xf numFmtId="10" fontId="0" fillId="3" borderId="101" xfId="2" applyNumberFormat="1" applyFont="1" applyFill="1" applyBorder="1" applyAlignment="1">
      <alignment horizontal="center"/>
    </xf>
    <xf numFmtId="10" fontId="0" fillId="3" borderId="151" xfId="2" applyNumberFormat="1" applyFont="1" applyFill="1" applyBorder="1" applyAlignment="1">
      <alignment horizontal="center"/>
    </xf>
    <xf numFmtId="10" fontId="0" fillId="3" borderId="102" xfId="2" applyNumberFormat="1" applyFont="1" applyFill="1" applyBorder="1" applyAlignment="1">
      <alignment horizontal="center"/>
    </xf>
    <xf numFmtId="180" fontId="22" fillId="0" borderId="12" xfId="0" applyNumberFormat="1" applyFont="1" applyBorder="1" applyAlignment="1">
      <alignment horizontal="left"/>
    </xf>
    <xf numFmtId="2" fontId="22" fillId="0" borderId="12" xfId="0" applyNumberFormat="1" applyFont="1" applyBorder="1" applyAlignment="1">
      <alignment horizontal="center"/>
    </xf>
    <xf numFmtId="184" fontId="22" fillId="0" borderId="119" xfId="0" applyNumberFormat="1" applyFont="1" applyBorder="1" applyAlignment="1">
      <alignment horizontal="left"/>
    </xf>
    <xf numFmtId="49" fontId="22" fillId="0" borderId="119" xfId="0" applyNumberFormat="1" applyFont="1" applyBorder="1" applyAlignment="1">
      <alignment horizontal="left"/>
    </xf>
    <xf numFmtId="164" fontId="22" fillId="0" borderId="119" xfId="1" applyNumberFormat="1" applyFont="1" applyFill="1" applyBorder="1"/>
    <xf numFmtId="164" fontId="55" fillId="0" borderId="48" xfId="1" applyNumberFormat="1" applyFont="1" applyBorder="1" applyAlignment="1">
      <alignment horizontal="center"/>
    </xf>
    <xf numFmtId="172" fontId="34" fillId="17" borderId="0" xfId="1" applyNumberFormat="1" applyFont="1" applyFill="1" applyAlignment="1">
      <alignment vertical="center"/>
    </xf>
    <xf numFmtId="172" fontId="0" fillId="17" borderId="0" xfId="1" applyNumberFormat="1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10" fontId="2" fillId="3" borderId="0" xfId="2" applyNumberFormat="1" applyFill="1" applyBorder="1" applyAlignment="1">
      <alignment vertical="center"/>
    </xf>
    <xf numFmtId="0" fontId="17" fillId="12" borderId="0" xfId="1" applyNumberFormat="1" applyFont="1" applyFill="1" applyBorder="1" applyAlignment="1">
      <alignment horizontal="left" vertical="center"/>
    </xf>
    <xf numFmtId="0" fontId="17" fillId="12" borderId="0" xfId="1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10" fontId="2" fillId="13" borderId="49" xfId="2" applyNumberFormat="1" applyFill="1" applyBorder="1" applyAlignment="1">
      <alignment vertical="center"/>
    </xf>
    <xf numFmtId="0" fontId="12" fillId="13" borderId="0" xfId="0" applyFont="1" applyFill="1" applyAlignment="1">
      <alignment horizontal="center" vertical="center"/>
    </xf>
    <xf numFmtId="0" fontId="2" fillId="3" borderId="0" xfId="0" applyFont="1" applyFill="1"/>
    <xf numFmtId="0" fontId="2" fillId="8" borderId="0" xfId="0" applyFont="1" applyFill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12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66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58" xfId="0" applyFont="1" applyFill="1" applyBorder="1" applyAlignment="1">
      <alignment vertical="center"/>
    </xf>
    <xf numFmtId="0" fontId="2" fillId="3" borderId="159" xfId="0" applyFont="1" applyFill="1" applyBorder="1" applyAlignment="1">
      <alignment vertical="center"/>
    </xf>
    <xf numFmtId="164" fontId="2" fillId="3" borderId="69" xfId="1" applyFont="1" applyFill="1" applyBorder="1" applyAlignment="1">
      <alignment vertical="center"/>
    </xf>
    <xf numFmtId="0" fontId="7" fillId="10" borderId="161" xfId="0" applyFont="1" applyFill="1" applyBorder="1" applyAlignment="1">
      <alignment horizontal="center" vertical="center"/>
    </xf>
    <xf numFmtId="0" fontId="7" fillId="10" borderId="161" xfId="0" applyFont="1" applyFill="1" applyBorder="1" applyAlignment="1">
      <alignment horizontal="center" vertical="center" wrapText="1"/>
    </xf>
    <xf numFmtId="0" fontId="7" fillId="10" borderId="162" xfId="0" applyFont="1" applyFill="1" applyBorder="1" applyAlignment="1">
      <alignment vertical="center" wrapText="1"/>
    </xf>
    <xf numFmtId="0" fontId="7" fillId="10" borderId="163" xfId="0" applyFont="1" applyFill="1" applyBorder="1" applyAlignment="1">
      <alignment vertical="center" wrapText="1"/>
    </xf>
    <xf numFmtId="0" fontId="7" fillId="10" borderId="61" xfId="0" applyFont="1" applyFill="1" applyBorder="1" applyAlignment="1">
      <alignment vertical="center" wrapText="1"/>
    </xf>
    <xf numFmtId="0" fontId="7" fillId="10" borderId="62" xfId="0" applyFont="1" applyFill="1" applyBorder="1" applyAlignment="1">
      <alignment vertical="center" wrapText="1"/>
    </xf>
    <xf numFmtId="172" fontId="2" fillId="3" borderId="153" xfId="1" applyNumberFormat="1" applyFont="1" applyFill="1" applyBorder="1" applyAlignment="1">
      <alignment vertical="center"/>
    </xf>
    <xf numFmtId="172" fontId="6" fillId="3" borderId="153" xfId="0" applyNumberFormat="1" applyFont="1" applyFill="1" applyBorder="1" applyAlignment="1">
      <alignment horizontal="center" vertical="center"/>
    </xf>
    <xf numFmtId="165" fontId="2" fillId="3" borderId="164" xfId="1" applyNumberFormat="1" applyFont="1" applyFill="1" applyBorder="1" applyAlignment="1">
      <alignment horizontal="center" vertical="center"/>
    </xf>
    <xf numFmtId="172" fontId="2" fillId="3" borderId="152" xfId="0" applyNumberFormat="1" applyFont="1" applyFill="1" applyBorder="1" applyAlignment="1">
      <alignment vertical="center"/>
    </xf>
    <xf numFmtId="172" fontId="2" fillId="3" borderId="164" xfId="0" applyNumberFormat="1" applyFont="1" applyFill="1" applyBorder="1" applyAlignment="1">
      <alignment vertical="center"/>
    </xf>
    <xf numFmtId="172" fontId="2" fillId="3" borderId="12" xfId="1" applyNumberFormat="1" applyFont="1" applyFill="1" applyBorder="1" applyAlignment="1">
      <alignment vertical="center"/>
    </xf>
    <xf numFmtId="165" fontId="2" fillId="3" borderId="12" xfId="1" applyNumberFormat="1" applyFill="1" applyBorder="1" applyAlignment="1">
      <alignment horizontal="center" vertical="center"/>
    </xf>
    <xf numFmtId="0" fontId="2" fillId="3" borderId="165" xfId="0" applyFont="1" applyFill="1" applyBorder="1" applyAlignment="1">
      <alignment vertical="center"/>
    </xf>
    <xf numFmtId="172" fontId="2" fillId="3" borderId="15" xfId="1" applyNumberFormat="1" applyFont="1" applyFill="1" applyBorder="1" applyAlignment="1">
      <alignment vertical="center"/>
    </xf>
    <xf numFmtId="172" fontId="6" fillId="3" borderId="15" xfId="0" applyNumberFormat="1" applyFont="1" applyFill="1" applyBorder="1" applyAlignment="1">
      <alignment horizontal="center" vertical="center"/>
    </xf>
    <xf numFmtId="172" fontId="0" fillId="3" borderId="15" xfId="0" applyNumberFormat="1" applyFill="1" applyBorder="1" applyAlignment="1">
      <alignment horizontal="center" vertical="center"/>
    </xf>
    <xf numFmtId="0" fontId="2" fillId="3" borderId="153" xfId="0" applyFont="1" applyFill="1" applyBorder="1"/>
    <xf numFmtId="0" fontId="2" fillId="3" borderId="12" xfId="0" applyFont="1" applyFill="1" applyBorder="1"/>
    <xf numFmtId="0" fontId="2" fillId="3" borderId="165" xfId="0" applyFont="1" applyFill="1" applyBorder="1"/>
    <xf numFmtId="172" fontId="2" fillId="3" borderId="12" xfId="0" applyNumberFormat="1" applyFont="1" applyFill="1" applyBorder="1"/>
    <xf numFmtId="0" fontId="2" fillId="3" borderId="15" xfId="0" applyFont="1" applyFill="1" applyBorder="1"/>
    <xf numFmtId="172" fontId="2" fillId="3" borderId="15" xfId="0" applyNumberFormat="1" applyFont="1" applyFill="1" applyBorder="1"/>
    <xf numFmtId="0" fontId="2" fillId="3" borderId="64" xfId="0" applyFont="1" applyFill="1" applyBorder="1"/>
    <xf numFmtId="165" fontId="2" fillId="3" borderId="12" xfId="1" applyNumberFormat="1" applyFont="1" applyFill="1" applyBorder="1"/>
    <xf numFmtId="172" fontId="2" fillId="3" borderId="153" xfId="0" applyNumberFormat="1" applyFont="1" applyFill="1" applyBorder="1"/>
    <xf numFmtId="0" fontId="2" fillId="3" borderId="63" xfId="0" applyFont="1" applyFill="1" applyBorder="1"/>
    <xf numFmtId="0" fontId="2" fillId="3" borderId="66" xfId="0" applyFont="1" applyFill="1" applyBorder="1"/>
    <xf numFmtId="43" fontId="2" fillId="3" borderId="0" xfId="0" applyNumberFormat="1" applyFont="1" applyFill="1"/>
    <xf numFmtId="172" fontId="2" fillId="3" borderId="69" xfId="0" applyNumberFormat="1" applyFont="1" applyFill="1" applyBorder="1"/>
    <xf numFmtId="172" fontId="2" fillId="3" borderId="66" xfId="0" applyNumberFormat="1" applyFont="1" applyFill="1" applyBorder="1"/>
    <xf numFmtId="172" fontId="2" fillId="10" borderId="61" xfId="1" applyNumberFormat="1" applyFont="1" applyFill="1" applyBorder="1" applyAlignment="1">
      <alignment vertical="center"/>
    </xf>
    <xf numFmtId="172" fontId="2" fillId="3" borderId="0" xfId="0" applyNumberFormat="1" applyFont="1" applyFill="1"/>
    <xf numFmtId="15" fontId="2" fillId="3" borderId="153" xfId="0" applyNumberFormat="1" applyFont="1" applyFill="1" applyBorder="1" applyAlignment="1">
      <alignment vertical="center"/>
    </xf>
    <xf numFmtId="15" fontId="2" fillId="3" borderId="12" xfId="0" applyNumberFormat="1" applyFont="1" applyFill="1" applyBorder="1" applyAlignment="1">
      <alignment vertical="center"/>
    </xf>
    <xf numFmtId="15" fontId="2" fillId="3" borderId="15" xfId="0" applyNumberFormat="1" applyFont="1" applyFill="1" applyBorder="1" applyAlignment="1">
      <alignment vertical="center"/>
    </xf>
    <xf numFmtId="15" fontId="2" fillId="3" borderId="166" xfId="0" applyNumberFormat="1" applyFont="1" applyFill="1" applyBorder="1" applyAlignment="1">
      <alignment vertical="center"/>
    </xf>
    <xf numFmtId="172" fontId="2" fillId="3" borderId="166" xfId="1" applyNumberFormat="1" applyFont="1" applyFill="1" applyBorder="1" applyAlignment="1">
      <alignment vertical="center"/>
    </xf>
    <xf numFmtId="172" fontId="2" fillId="3" borderId="166" xfId="0" applyNumberFormat="1" applyFont="1" applyFill="1" applyBorder="1"/>
    <xf numFmtId="15" fontId="2" fillId="3" borderId="119" xfId="0" applyNumberFormat="1" applyFont="1" applyFill="1" applyBorder="1" applyAlignment="1">
      <alignment vertical="center"/>
    </xf>
    <xf numFmtId="172" fontId="2" fillId="3" borderId="119" xfId="1" applyNumberFormat="1" applyFont="1" applyFill="1" applyBorder="1" applyAlignment="1">
      <alignment vertical="center"/>
    </xf>
    <xf numFmtId="15" fontId="2" fillId="3" borderId="119" xfId="0" applyNumberFormat="1" applyFont="1" applyFill="1" applyBorder="1"/>
    <xf numFmtId="0" fontId="2" fillId="3" borderId="119" xfId="0" applyFont="1" applyFill="1" applyBorder="1"/>
    <xf numFmtId="15" fontId="0" fillId="0" borderId="119" xfId="0" applyNumberFormat="1" applyBorder="1"/>
    <xf numFmtId="0" fontId="0" fillId="0" borderId="119" xfId="0" applyBorder="1"/>
    <xf numFmtId="172" fontId="2" fillId="3" borderId="168" xfId="1" applyNumberFormat="1" applyFont="1" applyFill="1" applyBorder="1" applyAlignment="1">
      <alignment vertical="center"/>
    </xf>
    <xf numFmtId="15" fontId="0" fillId="0" borderId="171" xfId="0" applyNumberFormat="1" applyBorder="1"/>
    <xf numFmtId="0" fontId="0" fillId="0" borderId="171" xfId="0" applyBorder="1"/>
    <xf numFmtId="172" fontId="2" fillId="10" borderId="172" xfId="1" applyNumberFormat="1" applyFont="1" applyFill="1" applyBorder="1" applyAlignment="1">
      <alignment vertical="center"/>
    </xf>
    <xf numFmtId="15" fontId="0" fillId="0" borderId="168" xfId="0" applyNumberFormat="1" applyBorder="1"/>
    <xf numFmtId="0" fontId="0" fillId="0" borderId="168" xfId="0" applyBorder="1"/>
    <xf numFmtId="0" fontId="0" fillId="3" borderId="0" xfId="0" applyFont="1" applyFill="1"/>
    <xf numFmtId="0" fontId="2" fillId="0" borderId="0" xfId="0" applyFont="1" applyFill="1"/>
    <xf numFmtId="0" fontId="13" fillId="0" borderId="0" xfId="0" applyFont="1" applyFill="1" applyAlignment="1">
      <alignment horizontal="centerContinuous" vertical="center"/>
    </xf>
    <xf numFmtId="164" fontId="2" fillId="3" borderId="0" xfId="0" applyNumberFormat="1" applyFont="1" applyFill="1" applyBorder="1" applyAlignment="1">
      <alignment vertical="center"/>
    </xf>
    <xf numFmtId="164" fontId="2" fillId="3" borderId="0" xfId="1" applyFont="1" applyFill="1" applyBorder="1" applyAlignment="1">
      <alignment vertical="center"/>
    </xf>
    <xf numFmtId="169" fontId="2" fillId="3" borderId="0" xfId="0" applyNumberFormat="1" applyFont="1" applyFill="1" applyBorder="1" applyAlignment="1">
      <alignment vertical="center"/>
    </xf>
    <xf numFmtId="167" fontId="2" fillId="3" borderId="0" xfId="0" applyNumberFormat="1" applyFont="1" applyFill="1" applyBorder="1" applyAlignment="1">
      <alignment vertical="center"/>
    </xf>
    <xf numFmtId="166" fontId="2" fillId="3" borderId="0" xfId="0" applyNumberFormat="1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vertical="center"/>
    </xf>
    <xf numFmtId="0" fontId="2" fillId="3" borderId="155" xfId="0" applyFont="1" applyFill="1" applyBorder="1" applyAlignment="1">
      <alignment vertical="center"/>
    </xf>
    <xf numFmtId="0" fontId="2" fillId="3" borderId="156" xfId="0" applyFont="1" applyFill="1" applyBorder="1" applyAlignment="1">
      <alignment horizontal="right" vertical="center" wrapText="1"/>
    </xf>
    <xf numFmtId="0" fontId="2" fillId="3" borderId="157" xfId="0" applyFont="1" applyFill="1" applyBorder="1" applyAlignment="1">
      <alignment horizontal="right" vertical="center" wrapText="1"/>
    </xf>
    <xf numFmtId="0" fontId="2" fillId="3" borderId="173" xfId="0" applyFont="1" applyFill="1" applyBorder="1" applyAlignment="1">
      <alignment vertical="center"/>
    </xf>
    <xf numFmtId="0" fontId="2" fillId="3" borderId="174" xfId="0" applyFont="1" applyFill="1" applyBorder="1" applyAlignment="1">
      <alignment vertical="center"/>
    </xf>
    <xf numFmtId="0" fontId="23" fillId="0" borderId="0" xfId="0" applyFont="1" applyFill="1"/>
    <xf numFmtId="1" fontId="2" fillId="3" borderId="12" xfId="0" applyNumberFormat="1" applyFont="1" applyFill="1" applyBorder="1" applyAlignment="1">
      <alignment vertical="center"/>
    </xf>
    <xf numFmtId="172" fontId="2" fillId="3" borderId="12" xfId="0" applyNumberFormat="1" applyFont="1" applyFill="1" applyBorder="1" applyAlignment="1">
      <alignment vertical="center"/>
    </xf>
    <xf numFmtId="0" fontId="2" fillId="3" borderId="0" xfId="0" applyFont="1" applyFill="1" applyAlignment="1"/>
    <xf numFmtId="0" fontId="2" fillId="3" borderId="156" xfId="0" applyFont="1" applyFill="1" applyBorder="1" applyAlignment="1">
      <alignment vertical="center" wrapText="1"/>
    </xf>
    <xf numFmtId="0" fontId="7" fillId="10" borderId="160" xfId="0" applyFont="1" applyFill="1" applyBorder="1" applyAlignment="1">
      <alignment vertical="center"/>
    </xf>
    <xf numFmtId="15" fontId="2" fillId="3" borderId="152" xfId="0" applyNumberFormat="1" applyFont="1" applyFill="1" applyBorder="1" applyAlignment="1">
      <alignment vertical="center"/>
    </xf>
    <xf numFmtId="15" fontId="2" fillId="3" borderId="11" xfId="0" applyNumberFormat="1" applyFont="1" applyFill="1" applyBorder="1" applyAlignment="1">
      <alignment vertical="center"/>
    </xf>
    <xf numFmtId="15" fontId="2" fillId="3" borderId="154" xfId="0" applyNumberFormat="1" applyFont="1" applyFill="1" applyBorder="1" applyAlignment="1">
      <alignment vertical="center"/>
    </xf>
    <xf numFmtId="15" fontId="2" fillId="3" borderId="11" xfId="0" applyNumberFormat="1" applyFont="1" applyFill="1" applyBorder="1" applyAlignment="1"/>
    <xf numFmtId="15" fontId="2" fillId="3" borderId="154" xfId="0" applyNumberFormat="1" applyFont="1" applyFill="1" applyBorder="1" applyAlignment="1"/>
    <xf numFmtId="15" fontId="2" fillId="3" borderId="152" xfId="0" applyNumberFormat="1" applyFont="1" applyFill="1" applyBorder="1" applyAlignment="1"/>
    <xf numFmtId="15" fontId="2" fillId="3" borderId="75" xfId="0" applyNumberFormat="1" applyFont="1" applyFill="1" applyBorder="1" applyAlignment="1"/>
    <xf numFmtId="15" fontId="0" fillId="0" borderId="169" xfId="0" applyNumberFormat="1" applyBorder="1" applyAlignment="1"/>
    <xf numFmtId="15" fontId="0" fillId="0" borderId="170" xfId="0" applyNumberFormat="1" applyBorder="1" applyAlignment="1"/>
    <xf numFmtId="15" fontId="0" fillId="0" borderId="167" xfId="0" applyNumberFormat="1" applyBorder="1" applyAlignment="1"/>
    <xf numFmtId="0" fontId="0" fillId="0" borderId="0" xfId="0" applyAlignment="1"/>
    <xf numFmtId="172" fontId="0" fillId="0" borderId="0" xfId="0" applyNumberFormat="1"/>
    <xf numFmtId="171" fontId="2" fillId="3" borderId="174" xfId="1" applyNumberFormat="1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0" fillId="0" borderId="0" xfId="0" applyFont="1" applyFill="1"/>
    <xf numFmtId="0" fontId="7" fillId="0" borderId="0" xfId="0" applyFont="1" applyFill="1" applyAlignment="1">
      <alignment horizontal="centerContinuous" vertical="center"/>
    </xf>
    <xf numFmtId="165" fontId="5" fillId="3" borderId="132" xfId="1" applyNumberFormat="1" applyFont="1" applyFill="1" applyBorder="1" applyAlignment="1">
      <alignment vertical="center"/>
    </xf>
    <xf numFmtId="165" fontId="5" fillId="3" borderId="134" xfId="1" applyNumberFormat="1" applyFont="1" applyFill="1" applyBorder="1" applyAlignment="1">
      <alignment vertical="center"/>
    </xf>
    <xf numFmtId="0" fontId="0" fillId="11" borderId="175" xfId="0" applyNumberFormat="1" applyFont="1" applyFill="1" applyBorder="1" applyAlignment="1">
      <alignment vertical="top" wrapText="1"/>
    </xf>
    <xf numFmtId="0" fontId="0" fillId="11" borderId="176" xfId="0" applyNumberFormat="1" applyFont="1" applyFill="1" applyBorder="1" applyAlignment="1">
      <alignment vertical="top" wrapText="1"/>
    </xf>
    <xf numFmtId="0" fontId="0" fillId="11" borderId="177" xfId="0" applyNumberFormat="1" applyFont="1" applyFill="1" applyBorder="1" applyAlignment="1">
      <alignment vertical="top" wrapText="1"/>
    </xf>
    <xf numFmtId="0" fontId="0" fillId="11" borderId="178" xfId="0" applyNumberFormat="1" applyFont="1" applyFill="1" applyBorder="1" applyAlignment="1">
      <alignment vertical="top" wrapText="1"/>
    </xf>
    <xf numFmtId="185" fontId="19" fillId="3" borderId="0" xfId="0" applyNumberFormat="1" applyFont="1" applyFill="1" applyAlignment="1">
      <alignment horizontal="left" vertical="center"/>
    </xf>
    <xf numFmtId="15" fontId="34" fillId="14" borderId="77" xfId="0" applyNumberFormat="1" applyFont="1" applyFill="1" applyBorder="1" applyAlignment="1">
      <alignment horizontal="center" vertical="center"/>
    </xf>
    <xf numFmtId="15" fontId="34" fillId="14" borderId="29" xfId="0" applyNumberFormat="1" applyFont="1" applyFill="1" applyBorder="1" applyAlignment="1">
      <alignment vertical="center"/>
    </xf>
    <xf numFmtId="172" fontId="34" fillId="3" borderId="166" xfId="1" applyNumberFormat="1" applyFont="1" applyFill="1" applyBorder="1" applyAlignment="1">
      <alignment vertical="center"/>
    </xf>
    <xf numFmtId="172" fontId="34" fillId="3" borderId="179" xfId="1" applyNumberFormat="1" applyFont="1" applyFill="1" applyBorder="1" applyAlignment="1">
      <alignment vertical="center"/>
    </xf>
    <xf numFmtId="172" fontId="34" fillId="3" borderId="180" xfId="1" applyNumberFormat="1" applyFont="1" applyFill="1" applyBorder="1" applyAlignment="1">
      <alignment vertical="center"/>
    </xf>
    <xf numFmtId="172" fontId="34" fillId="3" borderId="181" xfId="1" applyNumberFormat="1" applyFont="1" applyFill="1" applyBorder="1" applyAlignment="1">
      <alignment vertical="center"/>
    </xf>
    <xf numFmtId="172" fontId="34" fillId="3" borderId="182" xfId="1" applyNumberFormat="1" applyFont="1" applyFill="1" applyBorder="1" applyAlignment="1">
      <alignment vertical="center"/>
    </xf>
    <xf numFmtId="10" fontId="34" fillId="3" borderId="183" xfId="2" applyNumberFormat="1" applyFont="1" applyFill="1" applyBorder="1" applyAlignment="1">
      <alignment vertical="center"/>
    </xf>
    <xf numFmtId="10" fontId="34" fillId="3" borderId="184" xfId="2" applyNumberFormat="1" applyFont="1" applyFill="1" applyBorder="1" applyAlignment="1">
      <alignment vertical="center"/>
    </xf>
    <xf numFmtId="172" fontId="5" fillId="3" borderId="180" xfId="1" applyNumberFormat="1" applyFont="1" applyFill="1" applyBorder="1" applyAlignment="1">
      <alignment vertical="center"/>
    </xf>
    <xf numFmtId="165" fontId="5" fillId="3" borderId="186" xfId="1" applyNumberFormat="1" applyFont="1" applyFill="1" applyBorder="1" applyAlignment="1">
      <alignment vertical="center"/>
    </xf>
    <xf numFmtId="0" fontId="5" fillId="3" borderId="187" xfId="0" applyFont="1" applyFill="1" applyBorder="1" applyAlignment="1">
      <alignment horizontal="center" vertical="center"/>
    </xf>
    <xf numFmtId="0" fontId="5" fillId="3" borderId="137" xfId="0" applyFont="1" applyFill="1" applyBorder="1" applyAlignment="1">
      <alignment horizontal="center" vertical="center"/>
    </xf>
    <xf numFmtId="15" fontId="34" fillId="3" borderId="188" xfId="0" applyNumberFormat="1" applyFont="1" applyFill="1" applyBorder="1" applyAlignment="1">
      <alignment horizontal="center" vertical="center"/>
    </xf>
    <xf numFmtId="15" fontId="34" fillId="3" borderId="189" xfId="0" applyNumberFormat="1" applyFont="1" applyFill="1" applyBorder="1" applyAlignment="1">
      <alignment vertical="center"/>
    </xf>
    <xf numFmtId="172" fontId="34" fillId="3" borderId="190" xfId="1" applyNumberFormat="1" applyFont="1" applyFill="1" applyBorder="1" applyAlignment="1">
      <alignment vertical="center"/>
    </xf>
    <xf numFmtId="172" fontId="38" fillId="3" borderId="191" xfId="0" applyNumberFormat="1" applyFont="1" applyFill="1" applyBorder="1" applyAlignment="1">
      <alignment vertical="center"/>
    </xf>
    <xf numFmtId="172" fontId="34" fillId="3" borderId="192" xfId="1" applyNumberFormat="1" applyFont="1" applyFill="1" applyBorder="1" applyAlignment="1">
      <alignment vertical="center"/>
    </xf>
    <xf numFmtId="172" fontId="34" fillId="3" borderId="193" xfId="1" applyNumberFormat="1" applyFont="1" applyFill="1" applyBorder="1" applyAlignment="1">
      <alignment vertical="center"/>
    </xf>
    <xf numFmtId="10" fontId="34" fillId="3" borderId="194" xfId="2" applyNumberFormat="1" applyFont="1" applyFill="1" applyBorder="1" applyAlignment="1">
      <alignment vertical="center"/>
    </xf>
    <xf numFmtId="10" fontId="34" fillId="3" borderId="195" xfId="2" applyNumberFormat="1" applyFont="1" applyFill="1" applyBorder="1" applyAlignment="1">
      <alignment vertical="center"/>
    </xf>
    <xf numFmtId="172" fontId="5" fillId="3" borderId="191" xfId="1" applyNumberFormat="1" applyFont="1" applyFill="1" applyBorder="1" applyAlignment="1">
      <alignment vertical="center"/>
    </xf>
    <xf numFmtId="165" fontId="5" fillId="3" borderId="197" xfId="1" applyNumberFormat="1" applyFont="1" applyFill="1" applyBorder="1" applyAlignment="1">
      <alignment vertical="center"/>
    </xf>
    <xf numFmtId="0" fontId="5" fillId="3" borderId="19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99" xfId="0" applyFont="1" applyFill="1" applyBorder="1" applyAlignment="1">
      <alignment horizontal="center" vertical="center"/>
    </xf>
    <xf numFmtId="0" fontId="5" fillId="3" borderId="200" xfId="0" applyFont="1" applyFill="1" applyBorder="1" applyAlignment="1">
      <alignment horizontal="center" vertical="center"/>
    </xf>
    <xf numFmtId="15" fontId="34" fillId="3" borderId="201" xfId="0" applyNumberFormat="1" applyFont="1" applyFill="1" applyBorder="1" applyAlignment="1">
      <alignment horizontal="center" vertical="center"/>
    </xf>
    <xf numFmtId="15" fontId="34" fillId="3" borderId="202" xfId="0" applyNumberFormat="1" applyFont="1" applyFill="1" applyBorder="1" applyAlignment="1">
      <alignment vertical="center"/>
    </xf>
    <xf numFmtId="172" fontId="34" fillId="3" borderId="203" xfId="1" applyNumberFormat="1" applyFont="1" applyFill="1" applyBorder="1" applyAlignment="1">
      <alignment vertical="center"/>
    </xf>
    <xf numFmtId="172" fontId="34" fillId="3" borderId="133" xfId="1" applyNumberFormat="1" applyFont="1" applyFill="1" applyBorder="1" applyAlignment="1">
      <alignment vertical="center"/>
    </xf>
    <xf numFmtId="172" fontId="34" fillId="3" borderId="204" xfId="1" applyNumberFormat="1" applyFont="1" applyFill="1" applyBorder="1" applyAlignment="1">
      <alignment vertical="center"/>
    </xf>
    <xf numFmtId="172" fontId="34" fillId="3" borderId="205" xfId="1" applyNumberFormat="1" applyFont="1" applyFill="1" applyBorder="1" applyAlignment="1">
      <alignment vertical="center"/>
    </xf>
    <xf numFmtId="10" fontId="34" fillId="3" borderId="206" xfId="2" applyNumberFormat="1" applyFont="1" applyFill="1" applyBorder="1" applyAlignment="1">
      <alignment vertical="center"/>
    </xf>
    <xf numFmtId="10" fontId="34" fillId="3" borderId="207" xfId="2" applyNumberFormat="1" applyFont="1" applyFill="1" applyBorder="1" applyAlignment="1">
      <alignment vertical="center"/>
    </xf>
    <xf numFmtId="172" fontId="5" fillId="3" borderId="196" xfId="1" applyNumberFormat="1" applyFont="1" applyFill="1" applyBorder="1" applyAlignment="1">
      <alignment vertical="center"/>
    </xf>
    <xf numFmtId="172" fontId="34" fillId="3" borderId="121" xfId="1" applyNumberFormat="1" applyFont="1" applyFill="1" applyBorder="1" applyAlignment="1">
      <alignment vertical="center"/>
    </xf>
    <xf numFmtId="172" fontId="34" fillId="3" borderId="138" xfId="1" applyNumberFormat="1" applyFont="1" applyFill="1" applyBorder="1" applyAlignment="1">
      <alignment vertical="center"/>
    </xf>
    <xf numFmtId="172" fontId="34" fillId="3" borderId="185" xfId="1" applyNumberFormat="1" applyFont="1" applyFill="1" applyBorder="1" applyAlignment="1">
      <alignment vertical="center"/>
    </xf>
    <xf numFmtId="172" fontId="2" fillId="3" borderId="123" xfId="1" applyNumberFormat="1" applyFont="1" applyFill="1" applyBorder="1" applyAlignment="1">
      <alignment vertical="center"/>
    </xf>
    <xf numFmtId="165" fontId="2" fillId="3" borderId="208" xfId="1" applyNumberFormat="1" applyFont="1" applyFill="1" applyBorder="1" applyAlignment="1">
      <alignment horizontal="center" vertical="center"/>
    </xf>
    <xf numFmtId="172" fontId="2" fillId="3" borderId="122" xfId="0" applyNumberFormat="1" applyFont="1" applyFill="1" applyBorder="1" applyAlignment="1">
      <alignment vertical="center"/>
    </xf>
    <xf numFmtId="172" fontId="2" fillId="3" borderId="208" xfId="0" applyNumberFormat="1" applyFont="1" applyFill="1" applyBorder="1" applyAlignment="1">
      <alignment vertical="center"/>
    </xf>
    <xf numFmtId="15" fontId="0" fillId="0" borderId="209" xfId="0" applyNumberFormat="1" applyBorder="1" applyAlignment="1"/>
    <xf numFmtId="15" fontId="0" fillId="0" borderId="180" xfId="0" applyNumberFormat="1" applyBorder="1"/>
    <xf numFmtId="172" fontId="2" fillId="3" borderId="180" xfId="1" applyNumberFormat="1" applyFont="1" applyFill="1" applyBorder="1" applyAlignment="1">
      <alignment vertical="center"/>
    </xf>
    <xf numFmtId="172" fontId="2" fillId="3" borderId="181" xfId="1" applyNumberFormat="1" applyFont="1" applyFill="1" applyBorder="1" applyAlignment="1">
      <alignment vertical="center"/>
    </xf>
    <xf numFmtId="0" fontId="0" fillId="0" borderId="180" xfId="0" applyBorder="1"/>
    <xf numFmtId="165" fontId="2" fillId="3" borderId="210" xfId="1" applyNumberFormat="1" applyFont="1" applyFill="1" applyBorder="1" applyAlignment="1">
      <alignment horizontal="center" vertical="center"/>
    </xf>
    <xf numFmtId="172" fontId="2" fillId="3" borderId="22" xfId="0" applyNumberFormat="1" applyFont="1" applyFill="1" applyBorder="1" applyAlignment="1">
      <alignment vertical="center"/>
    </xf>
    <xf numFmtId="172" fontId="2" fillId="3" borderId="210" xfId="0" applyNumberFormat="1" applyFont="1" applyFill="1" applyBorder="1" applyAlignment="1">
      <alignment vertical="center"/>
    </xf>
    <xf numFmtId="15" fontId="2" fillId="3" borderId="211" xfId="0" applyNumberFormat="1" applyFont="1" applyFill="1" applyBorder="1" applyAlignment="1"/>
    <xf numFmtId="15" fontId="2" fillId="3" borderId="212" xfId="0" applyNumberFormat="1" applyFont="1" applyFill="1" applyBorder="1" applyAlignment="1">
      <alignment vertical="center"/>
    </xf>
    <xf numFmtId="172" fontId="2" fillId="3" borderId="213" xfId="1" applyNumberFormat="1" applyFont="1" applyFill="1" applyBorder="1" applyAlignment="1">
      <alignment vertical="center"/>
    </xf>
    <xf numFmtId="172" fontId="2" fillId="3" borderId="212" xfId="1" applyNumberFormat="1" applyFont="1" applyFill="1" applyBorder="1" applyAlignment="1">
      <alignment vertical="center"/>
    </xf>
    <xf numFmtId="172" fontId="2" fillId="3" borderId="214" xfId="1" applyNumberFormat="1" applyFont="1" applyFill="1" applyBorder="1" applyAlignment="1">
      <alignment vertical="center"/>
    </xf>
    <xf numFmtId="172" fontId="2" fillId="3" borderId="212" xfId="0" applyNumberFormat="1" applyFont="1" applyFill="1" applyBorder="1"/>
    <xf numFmtId="165" fontId="2" fillId="3" borderId="215" xfId="1" applyNumberFormat="1" applyFont="1" applyFill="1" applyBorder="1" applyAlignment="1">
      <alignment horizontal="center" vertical="center"/>
    </xf>
    <xf numFmtId="0" fontId="2" fillId="3" borderId="216" xfId="0" applyFont="1" applyFill="1" applyBorder="1"/>
    <xf numFmtId="172" fontId="2" fillId="3" borderId="217" xfId="0" applyNumberFormat="1" applyFont="1" applyFill="1" applyBorder="1" applyAlignment="1">
      <alignment vertical="center"/>
    </xf>
    <xf numFmtId="172" fontId="2" fillId="3" borderId="215" xfId="0" applyNumberFormat="1" applyFont="1" applyFill="1" applyBorder="1" applyAlignment="1">
      <alignment vertical="center"/>
    </xf>
    <xf numFmtId="172" fontId="2" fillId="3" borderId="218" xfId="0" applyNumberFormat="1" applyFont="1" applyFill="1" applyBorder="1" applyAlignment="1">
      <alignment vertical="center"/>
    </xf>
    <xf numFmtId="15" fontId="2" fillId="3" borderId="121" xfId="0" applyNumberFormat="1" applyFont="1" applyFill="1" applyBorder="1" applyAlignment="1"/>
    <xf numFmtId="0" fontId="2" fillId="3" borderId="0" xfId="0" applyFont="1" applyFill="1" applyBorder="1"/>
    <xf numFmtId="172" fontId="2" fillId="3" borderId="219" xfId="0" applyNumberFormat="1" applyFont="1" applyFill="1" applyBorder="1" applyAlignment="1">
      <alignment vertical="center"/>
    </xf>
    <xf numFmtId="15" fontId="0" fillId="0" borderId="121" xfId="0" applyNumberFormat="1" applyBorder="1" applyAlignment="1"/>
    <xf numFmtId="0" fontId="0" fillId="0" borderId="0" xfId="0" applyBorder="1"/>
    <xf numFmtId="172" fontId="2" fillId="3" borderId="220" xfId="1" applyNumberFormat="1" applyFont="1" applyFill="1" applyBorder="1" applyAlignment="1">
      <alignment vertical="center"/>
    </xf>
    <xf numFmtId="172" fontId="2" fillId="3" borderId="222" xfId="1" applyNumberFormat="1" applyFont="1" applyFill="1" applyBorder="1" applyAlignment="1">
      <alignment vertical="center"/>
    </xf>
    <xf numFmtId="165" fontId="2" fillId="3" borderId="223" xfId="1" applyNumberFormat="1" applyFont="1" applyFill="1" applyBorder="1" applyAlignment="1">
      <alignment horizontal="center" vertical="center"/>
    </xf>
    <xf numFmtId="0" fontId="0" fillId="0" borderId="224" xfId="0" applyBorder="1"/>
    <xf numFmtId="172" fontId="2" fillId="3" borderId="225" xfId="0" applyNumberFormat="1" applyFont="1" applyFill="1" applyBorder="1" applyAlignment="1">
      <alignment vertical="center"/>
    </xf>
    <xf numFmtId="172" fontId="2" fillId="3" borderId="223" xfId="0" applyNumberFormat="1" applyFont="1" applyFill="1" applyBorder="1" applyAlignment="1">
      <alignment vertical="center"/>
    </xf>
    <xf numFmtId="172" fontId="2" fillId="3" borderId="226" xfId="0" applyNumberFormat="1" applyFont="1" applyFill="1" applyBorder="1" applyAlignment="1">
      <alignment vertical="center"/>
    </xf>
    <xf numFmtId="15" fontId="0" fillId="0" borderId="227" xfId="0" applyNumberFormat="1" applyBorder="1" applyAlignment="1"/>
    <xf numFmtId="15" fontId="0" fillId="0" borderId="221" xfId="0" applyNumberFormat="1" applyBorder="1"/>
    <xf numFmtId="172" fontId="2" fillId="14" borderId="221" xfId="1" applyNumberFormat="1" applyFont="1" applyFill="1" applyBorder="1" applyAlignment="1">
      <alignment vertical="center"/>
    </xf>
    <xf numFmtId="172" fontId="0" fillId="0" borderId="221" xfId="0" applyNumberFormat="1" applyBorder="1"/>
    <xf numFmtId="172" fontId="0" fillId="14" borderId="221" xfId="0" applyNumberFormat="1" applyFill="1" applyBorder="1"/>
    <xf numFmtId="0" fontId="5" fillId="3" borderId="41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/>
    </xf>
    <xf numFmtId="0" fontId="41" fillId="3" borderId="0" xfId="0" applyFont="1" applyFill="1" applyBorder="1" applyAlignment="1">
      <alignment vertical="center"/>
    </xf>
    <xf numFmtId="0" fontId="58" fillId="3" borderId="0" xfId="0" applyFont="1" applyFill="1" applyAlignment="1">
      <alignment vertical="center"/>
    </xf>
    <xf numFmtId="0" fontId="58" fillId="3" borderId="0" xfId="0" applyFont="1" applyFill="1" applyAlignment="1">
      <alignment horizontal="justify" vertical="center"/>
    </xf>
    <xf numFmtId="0" fontId="0" fillId="17" borderId="0" xfId="0" applyFill="1"/>
    <xf numFmtId="0" fontId="3" fillId="14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centerContinuous" vertical="center"/>
    </xf>
    <xf numFmtId="0" fontId="36" fillId="0" borderId="0" xfId="1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2" fontId="34" fillId="0" borderId="0" xfId="1" applyNumberFormat="1" applyFont="1" applyFill="1" applyBorder="1" applyAlignment="1">
      <alignment vertical="center"/>
    </xf>
    <xf numFmtId="165" fontId="34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16" fillId="17" borderId="2" xfId="0" applyFont="1" applyFill="1" applyBorder="1" applyAlignment="1">
      <alignment vertical="center"/>
    </xf>
    <xf numFmtId="0" fontId="16" fillId="17" borderId="2" xfId="0" applyFont="1" applyFill="1" applyBorder="1" applyAlignment="1">
      <alignment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3" borderId="0" xfId="0" applyFont="1" applyFill="1" applyProtection="1">
      <protection locked="0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43" fontId="5" fillId="3" borderId="0" xfId="0" applyNumberFormat="1" applyFont="1" applyFill="1" applyBorder="1" applyAlignment="1">
      <alignment vertical="center"/>
    </xf>
    <xf numFmtId="10" fontId="5" fillId="3" borderId="0" xfId="0" applyNumberFormat="1" applyFont="1" applyFill="1" applyBorder="1" applyAlignment="1">
      <alignment vertical="center"/>
    </xf>
    <xf numFmtId="164" fontId="5" fillId="3" borderId="0" xfId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5" fontId="0" fillId="3" borderId="0" xfId="1" applyNumberFormat="1" applyFont="1" applyFill="1" applyBorder="1" applyAlignment="1">
      <alignment horizontal="left" vertical="center"/>
    </xf>
    <xf numFmtId="0" fontId="2" fillId="14" borderId="0" xfId="0" applyFont="1" applyFill="1" applyAlignment="1">
      <alignment vertical="center"/>
    </xf>
    <xf numFmtId="43" fontId="5" fillId="3" borderId="187" xfId="0" applyNumberFormat="1" applyFont="1" applyFill="1" applyBorder="1" applyAlignment="1">
      <alignment vertical="center"/>
    </xf>
    <xf numFmtId="43" fontId="5" fillId="3" borderId="137" xfId="0" applyNumberFormat="1" applyFont="1" applyFill="1" applyBorder="1" applyAlignment="1">
      <alignment vertical="center"/>
    </xf>
    <xf numFmtId="10" fontId="5" fillId="3" borderId="137" xfId="0" applyNumberFormat="1" applyFont="1" applyFill="1" applyBorder="1" applyAlignment="1">
      <alignment vertical="center"/>
    </xf>
    <xf numFmtId="164" fontId="5" fillId="3" borderId="137" xfId="1" applyFont="1" applyFill="1" applyBorder="1" applyAlignment="1">
      <alignment vertical="center"/>
    </xf>
    <xf numFmtId="0" fontId="5" fillId="3" borderId="137" xfId="0" applyFont="1" applyFill="1" applyBorder="1" applyAlignment="1">
      <alignment vertical="center"/>
    </xf>
    <xf numFmtId="165" fontId="5" fillId="3" borderId="137" xfId="0" applyNumberFormat="1" applyFont="1" applyFill="1" applyBorder="1" applyAlignment="1">
      <alignment vertical="center"/>
    </xf>
    <xf numFmtId="43" fontId="5" fillId="3" borderId="228" xfId="0" applyNumberFormat="1" applyFont="1" applyFill="1" applyBorder="1" applyAlignment="1">
      <alignment vertical="center"/>
    </xf>
    <xf numFmtId="43" fontId="5" fillId="3" borderId="198" xfId="0" applyNumberFormat="1" applyFont="1" applyFill="1" applyBorder="1" applyAlignment="1">
      <alignment vertical="center"/>
    </xf>
    <xf numFmtId="43" fontId="5" fillId="3" borderId="229" xfId="0" applyNumberFormat="1" applyFont="1" applyFill="1" applyBorder="1" applyAlignment="1">
      <alignment vertical="center"/>
    </xf>
    <xf numFmtId="43" fontId="5" fillId="3" borderId="199" xfId="0" applyNumberFormat="1" applyFont="1" applyFill="1" applyBorder="1" applyAlignment="1">
      <alignment vertical="center"/>
    </xf>
    <xf numFmtId="43" fontId="5" fillId="3" borderId="200" xfId="0" applyNumberFormat="1" applyFont="1" applyFill="1" applyBorder="1" applyAlignment="1">
      <alignment vertical="center"/>
    </xf>
    <xf numFmtId="10" fontId="5" fillId="3" borderId="200" xfId="0" applyNumberFormat="1" applyFont="1" applyFill="1" applyBorder="1" applyAlignment="1">
      <alignment vertical="center"/>
    </xf>
    <xf numFmtId="164" fontId="5" fillId="3" borderId="200" xfId="1" applyFont="1" applyFill="1" applyBorder="1" applyAlignment="1">
      <alignment vertical="center"/>
    </xf>
    <xf numFmtId="0" fontId="5" fillId="3" borderId="200" xfId="0" applyFont="1" applyFill="1" applyBorder="1" applyAlignment="1">
      <alignment vertical="center"/>
    </xf>
    <xf numFmtId="165" fontId="5" fillId="3" borderId="200" xfId="0" applyNumberFormat="1" applyFont="1" applyFill="1" applyBorder="1" applyAlignment="1">
      <alignment vertical="center"/>
    </xf>
    <xf numFmtId="43" fontId="5" fillId="3" borderId="230" xfId="0" applyNumberFormat="1" applyFont="1" applyFill="1" applyBorder="1" applyAlignment="1">
      <alignment vertical="center"/>
    </xf>
    <xf numFmtId="165" fontId="0" fillId="3" borderId="2" xfId="1" applyNumberFormat="1" applyFont="1" applyFill="1" applyBorder="1" applyAlignment="1">
      <alignment horizontal="left" vertical="center"/>
    </xf>
    <xf numFmtId="10" fontId="59" fillId="3" borderId="2" xfId="2" applyNumberFormat="1" applyFont="1" applyFill="1" applyBorder="1" applyAlignment="1">
      <alignment horizontal="left" vertical="center"/>
    </xf>
    <xf numFmtId="164" fontId="59" fillId="3" borderId="2" xfId="1" applyFont="1" applyFill="1" applyBorder="1" applyAlignment="1">
      <alignment horizontal="left" vertical="center"/>
    </xf>
    <xf numFmtId="165" fontId="2" fillId="3" borderId="81" xfId="1" applyNumberFormat="1" applyFill="1" applyBorder="1" applyAlignment="1">
      <alignment horizontal="center" vertical="center"/>
    </xf>
    <xf numFmtId="165" fontId="3" fillId="3" borderId="82" xfId="1" applyNumberFormat="1" applyFont="1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174" fontId="0" fillId="3" borderId="101" xfId="0" applyNumberFormat="1" applyFill="1" applyBorder="1" applyAlignment="1">
      <alignment horizontal="center" vertical="center"/>
    </xf>
    <xf numFmtId="17" fontId="0" fillId="3" borderId="101" xfId="0" applyNumberFormat="1" applyFill="1" applyBorder="1" applyAlignment="1">
      <alignment horizontal="center" vertical="center"/>
    </xf>
    <xf numFmtId="165" fontId="2" fillId="3" borderId="101" xfId="1" applyNumberFormat="1" applyFill="1" applyBorder="1" applyAlignment="1">
      <alignment horizontal="center" vertical="center"/>
    </xf>
    <xf numFmtId="165" fontId="3" fillId="3" borderId="102" xfId="1" applyNumberFormat="1" applyFont="1" applyFill="1" applyBorder="1" applyAlignment="1">
      <alignment horizontal="center" vertical="center"/>
    </xf>
    <xf numFmtId="14" fontId="60" fillId="18" borderId="231" xfId="0" applyNumberFormat="1" applyFont="1" applyFill="1" applyBorder="1" applyAlignment="1">
      <alignment horizontal="left"/>
    </xf>
    <xf numFmtId="14" fontId="60" fillId="0" borderId="231" xfId="0" applyNumberFormat="1" applyFont="1" applyBorder="1" applyAlignment="1">
      <alignment horizontal="left"/>
    </xf>
    <xf numFmtId="49" fontId="60" fillId="18" borderId="232" xfId="0" applyNumberFormat="1" applyFont="1" applyFill="1" applyBorder="1" applyAlignment="1">
      <alignment horizontal="left"/>
    </xf>
    <xf numFmtId="49" fontId="60" fillId="0" borderId="232" xfId="0" applyNumberFormat="1" applyFont="1" applyBorder="1" applyAlignment="1">
      <alignment horizontal="left"/>
    </xf>
    <xf numFmtId="49" fontId="7" fillId="10" borderId="28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6" borderId="53" xfId="0" applyFill="1" applyBorder="1" applyAlignment="1">
      <alignment vertical="center"/>
    </xf>
    <xf numFmtId="0" fontId="17" fillId="6" borderId="51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9" fontId="0" fillId="3" borderId="0" xfId="2" applyFont="1" applyFill="1" applyBorder="1" applyAlignment="1">
      <alignment horizontal="center"/>
    </xf>
    <xf numFmtId="176" fontId="0" fillId="3" borderId="0" xfId="2" applyNumberFormat="1" applyFont="1" applyFill="1" applyBorder="1" applyAlignment="1">
      <alignment horizontal="center"/>
    </xf>
    <xf numFmtId="0" fontId="17" fillId="13" borderId="0" xfId="1" applyNumberFormat="1" applyFont="1" applyFill="1" applyBorder="1" applyAlignment="1">
      <alignment horizontal="left" vertical="center"/>
    </xf>
    <xf numFmtId="0" fontId="12" fillId="12" borderId="0" xfId="0" applyFont="1" applyFill="1" applyAlignment="1">
      <alignment horizontal="center" vertical="center"/>
    </xf>
    <xf numFmtId="172" fontId="34" fillId="3" borderId="191" xfId="1" applyNumberFormat="1" applyFont="1" applyFill="1" applyBorder="1" applyAlignment="1">
      <alignment vertical="center"/>
    </xf>
    <xf numFmtId="172" fontId="34" fillId="3" borderId="196" xfId="1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10" fontId="17" fillId="13" borderId="0" xfId="2" applyNumberFormat="1" applyFont="1" applyFill="1" applyBorder="1" applyAlignment="1">
      <alignment horizontal="right" vertical="center"/>
    </xf>
    <xf numFmtId="172" fontId="0" fillId="0" borderId="171" xfId="0" applyNumberFormat="1" applyBorder="1"/>
    <xf numFmtId="172" fontId="0" fillId="14" borderId="171" xfId="0" applyNumberFormat="1" applyFill="1" applyBorder="1"/>
    <xf numFmtId="164" fontId="60" fillId="18" borderId="232" xfId="1" applyFont="1" applyFill="1" applyBorder="1" applyAlignment="1">
      <alignment horizontal="left"/>
    </xf>
    <xf numFmtId="164" fontId="60" fillId="0" borderId="232" xfId="1" applyFont="1" applyBorder="1" applyAlignment="1">
      <alignment horizontal="left"/>
    </xf>
    <xf numFmtId="39" fontId="61" fillId="0" borderId="48" xfId="1" applyNumberFormat="1" applyFont="1" applyBorder="1" applyAlignment="1">
      <alignment horizontal="center"/>
    </xf>
    <xf numFmtId="39" fontId="0" fillId="3" borderId="0" xfId="0" applyNumberFormat="1" applyFill="1" applyAlignment="1">
      <alignment vertical="center"/>
    </xf>
    <xf numFmtId="2" fontId="62" fillId="3" borderId="0" xfId="0" applyNumberFormat="1" applyFont="1" applyFill="1" applyAlignment="1">
      <alignment vertical="center" wrapText="1"/>
    </xf>
    <xf numFmtId="0" fontId="62" fillId="3" borderId="0" xfId="0" applyFont="1" applyFill="1" applyAlignment="1">
      <alignment horizontal="left" vertical="center"/>
    </xf>
    <xf numFmtId="2" fontId="0" fillId="3" borderId="0" xfId="0" applyNumberFormat="1" applyFill="1" applyAlignment="1">
      <alignment vertical="center"/>
    </xf>
    <xf numFmtId="0" fontId="53" fillId="3" borderId="0" xfId="0" applyFont="1" applyFill="1" applyBorder="1" applyAlignment="1">
      <alignment vertical="center"/>
    </xf>
    <xf numFmtId="164" fontId="60" fillId="18" borderId="232" xfId="1" applyFont="1" applyFill="1" applyBorder="1" applyAlignment="1">
      <alignment horizontal="right"/>
    </xf>
    <xf numFmtId="164" fontId="60" fillId="0" borderId="232" xfId="1" applyFont="1" applyBorder="1" applyAlignment="1">
      <alignment horizontal="right"/>
    </xf>
    <xf numFmtId="0" fontId="34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10" fontId="0" fillId="14" borderId="119" xfId="2" applyNumberFormat="1" applyFont="1" applyFill="1" applyBorder="1"/>
    <xf numFmtId="0" fontId="63" fillId="0" borderId="0" xfId="0" applyFont="1"/>
    <xf numFmtId="170" fontId="0" fillId="14" borderId="66" xfId="1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178" fontId="0" fillId="3" borderId="0" xfId="2" applyNumberFormat="1" applyFont="1" applyFill="1" applyAlignment="1">
      <alignment vertical="center"/>
    </xf>
    <xf numFmtId="181" fontId="5" fillId="0" borderId="72" xfId="1" applyNumberFormat="1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4" fillId="0" borderId="71" xfId="0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43" fontId="34" fillId="3" borderId="0" xfId="0" applyNumberFormat="1" applyFont="1" applyFill="1" applyBorder="1" applyAlignment="1">
      <alignment vertical="center"/>
    </xf>
    <xf numFmtId="165" fontId="7" fillId="8" borderId="0" xfId="1" applyNumberFormat="1" applyFont="1" applyFill="1" applyBorder="1" applyAlignment="1">
      <alignment horizontal="centerContinuous" vertical="center"/>
    </xf>
    <xf numFmtId="165" fontId="7" fillId="3" borderId="0" xfId="1" applyNumberFormat="1" applyFont="1" applyFill="1" applyBorder="1" applyAlignment="1">
      <alignment horizontal="centerContinuous" vertical="center"/>
    </xf>
    <xf numFmtId="165" fontId="3" fillId="3" borderId="0" xfId="1" applyNumberFormat="1" applyFont="1" applyFill="1" applyBorder="1" applyAlignment="1">
      <alignment horizontal="center" vertical="center"/>
    </xf>
    <xf numFmtId="165" fontId="11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 vertical="center" wrapText="1"/>
    </xf>
    <xf numFmtId="165" fontId="0" fillId="3" borderId="0" xfId="1" applyNumberFormat="1" applyFont="1" applyFill="1" applyBorder="1" applyAlignment="1">
      <alignment horizontal="centerContinuous" vertical="center"/>
    </xf>
    <xf numFmtId="165" fontId="7" fillId="14" borderId="6" xfId="1" applyNumberFormat="1" applyFont="1" applyFill="1" applyBorder="1" applyAlignment="1">
      <alignment horizontal="centerContinuous" vertical="center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/>
    </xf>
    <xf numFmtId="165" fontId="2" fillId="3" borderId="2" xfId="1" applyNumberFormat="1" applyFont="1" applyFill="1" applyBorder="1" applyAlignment="1">
      <alignment horizontal="center" vertical="center"/>
    </xf>
    <xf numFmtId="164" fontId="5" fillId="0" borderId="187" xfId="1" applyNumberFormat="1" applyFont="1" applyFill="1" applyBorder="1" applyAlignment="1">
      <alignment vertical="center"/>
    </xf>
    <xf numFmtId="164" fontId="5" fillId="0" borderId="137" xfId="1" applyNumberFormat="1" applyFont="1" applyFill="1" applyBorder="1" applyAlignment="1">
      <alignment vertical="center"/>
    </xf>
    <xf numFmtId="165" fontId="5" fillId="0" borderId="137" xfId="1" applyNumberFormat="1" applyFont="1" applyFill="1" applyBorder="1" applyAlignment="1">
      <alignment vertical="center"/>
    </xf>
    <xf numFmtId="10" fontId="5" fillId="0" borderId="137" xfId="2" applyNumberFormat="1" applyFont="1" applyFill="1" applyBorder="1" applyAlignment="1">
      <alignment vertical="center"/>
    </xf>
    <xf numFmtId="164" fontId="5" fillId="0" borderId="228" xfId="1" applyNumberFormat="1" applyFont="1" applyFill="1" applyBorder="1" applyAlignment="1">
      <alignment vertical="center"/>
    </xf>
    <xf numFmtId="164" fontId="5" fillId="0" borderId="198" xfId="1" applyNumberFormat="1" applyFont="1" applyFill="1" applyBorder="1" applyAlignment="1">
      <alignment vertical="center"/>
    </xf>
    <xf numFmtId="164" fontId="5" fillId="0" borderId="229" xfId="1" applyNumberFormat="1" applyFont="1" applyFill="1" applyBorder="1" applyAlignment="1">
      <alignment vertical="center"/>
    </xf>
    <xf numFmtId="0" fontId="34" fillId="3" borderId="0" xfId="0" applyFont="1" applyFill="1" applyAlignment="1">
      <alignment horizontal="centerContinuous" vertical="center"/>
    </xf>
    <xf numFmtId="0" fontId="36" fillId="3" borderId="0" xfId="1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172" fontId="34" fillId="3" borderId="0" xfId="1" applyNumberFormat="1" applyFont="1" applyFill="1" applyBorder="1" applyAlignment="1">
      <alignment vertical="center"/>
    </xf>
    <xf numFmtId="165" fontId="34" fillId="3" borderId="0" xfId="1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10" fontId="5" fillId="3" borderId="2" xfId="2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3" fillId="14" borderId="0" xfId="1" applyNumberFormat="1" applyFont="1" applyFill="1" applyBorder="1" applyAlignment="1">
      <alignment horizontal="center" vertical="center"/>
    </xf>
    <xf numFmtId="165" fontId="2" fillId="14" borderId="2" xfId="1" applyNumberFormat="1" applyFont="1" applyFill="1" applyBorder="1" applyAlignment="1">
      <alignment horizontal="center" vertical="center"/>
    </xf>
    <xf numFmtId="10" fontId="5" fillId="14" borderId="2" xfId="2" applyNumberFormat="1" applyFont="1" applyFill="1" applyBorder="1" applyAlignment="1">
      <alignment horizontal="center" vertical="center"/>
    </xf>
    <xf numFmtId="165" fontId="5" fillId="14" borderId="2" xfId="1" applyNumberFormat="1" applyFont="1" applyFill="1" applyBorder="1" applyAlignment="1">
      <alignment horizontal="center" vertical="center"/>
    </xf>
    <xf numFmtId="165" fontId="0" fillId="14" borderId="2" xfId="1" applyNumberFormat="1" applyFont="1" applyFill="1" applyBorder="1" applyAlignment="1">
      <alignment horizontal="left" vertical="center"/>
    </xf>
    <xf numFmtId="10" fontId="59" fillId="14" borderId="2" xfId="2" applyNumberFormat="1" applyFont="1" applyFill="1" applyBorder="1" applyAlignment="1">
      <alignment horizontal="left" vertical="center"/>
    </xf>
    <xf numFmtId="164" fontId="59" fillId="14" borderId="2" xfId="1" applyFont="1" applyFill="1" applyBorder="1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0" fillId="3" borderId="0" xfId="0" applyFont="1" applyFill="1" applyAlignment="1">
      <alignment horizontal="justify" vertical="center"/>
    </xf>
    <xf numFmtId="0" fontId="0" fillId="3" borderId="27" xfId="0" applyFill="1" applyBorder="1" applyAlignment="1">
      <alignment horizontal="center" vertical="center"/>
    </xf>
    <xf numFmtId="17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5" fontId="2" fillId="3" borderId="0" xfId="1" applyNumberFormat="1" applyFill="1" applyBorder="1" applyAlignment="1">
      <alignment horizontal="center" vertical="center"/>
    </xf>
    <xf numFmtId="165" fontId="0" fillId="3" borderId="0" xfId="1" applyNumberFormat="1" applyFont="1" applyFill="1" applyBorder="1" applyAlignment="1">
      <alignment horizontal="right" vertical="center"/>
    </xf>
    <xf numFmtId="165" fontId="3" fillId="3" borderId="32" xfId="1" applyNumberFormat="1" applyFont="1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174" fontId="0" fillId="14" borderId="41" xfId="0" applyNumberFormat="1" applyFill="1" applyBorder="1" applyAlignment="1">
      <alignment horizontal="center" vertical="center"/>
    </xf>
    <xf numFmtId="0" fontId="0" fillId="14" borderId="41" xfId="0" applyFill="1" applyBorder="1" applyAlignment="1">
      <alignment horizontal="center" vertical="center"/>
    </xf>
    <xf numFmtId="165" fontId="2" fillId="14" borderId="41" xfId="1" applyNumberFormat="1" applyFill="1" applyBorder="1" applyAlignment="1">
      <alignment horizontal="center" vertical="center"/>
    </xf>
    <xf numFmtId="165" fontId="3" fillId="14" borderId="43" xfId="1" applyNumberFormat="1" applyFont="1" applyFill="1" applyBorder="1" applyAlignment="1">
      <alignment horizontal="center" vertical="center"/>
    </xf>
    <xf numFmtId="0" fontId="0" fillId="14" borderId="0" xfId="0" applyFill="1" applyBorder="1" applyAlignment="1">
      <alignment horizontal="left" vertical="center"/>
    </xf>
    <xf numFmtId="10" fontId="0" fillId="3" borderId="0" xfId="0" applyNumberFormat="1" applyFill="1" applyAlignment="1">
      <alignment vertical="center"/>
    </xf>
    <xf numFmtId="0" fontId="0" fillId="3" borderId="233" xfId="0" applyNumberFormat="1" applyFont="1" applyFill="1" applyBorder="1" applyAlignment="1">
      <alignment vertical="top" wrapText="1"/>
    </xf>
    <xf numFmtId="0" fontId="5" fillId="3" borderId="233" xfId="0" applyNumberFormat="1" applyFont="1" applyFill="1" applyBorder="1" applyAlignment="1">
      <alignment vertical="top" wrapText="1"/>
    </xf>
    <xf numFmtId="0" fontId="60" fillId="18" borderId="232" xfId="0" applyNumberFormat="1" applyFont="1" applyFill="1" applyBorder="1" applyAlignment="1">
      <alignment horizontal="left"/>
    </xf>
    <xf numFmtId="0" fontId="60" fillId="0" borderId="232" xfId="0" applyNumberFormat="1" applyFont="1" applyBorder="1" applyAlignment="1">
      <alignment horizontal="left"/>
    </xf>
    <xf numFmtId="173" fontId="12" fillId="0" borderId="49" xfId="2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6" fontId="0" fillId="0" borderId="2" xfId="2" applyNumberFormat="1" applyFont="1" applyFill="1" applyBorder="1" applyAlignment="1">
      <alignment horizontal="center"/>
    </xf>
    <xf numFmtId="0" fontId="23" fillId="0" borderId="0" xfId="0" applyFont="1"/>
    <xf numFmtId="0" fontId="0" fillId="19" borderId="2" xfId="0" applyFill="1" applyBorder="1" applyAlignment="1">
      <alignment vertical="center"/>
    </xf>
    <xf numFmtId="176" fontId="0" fillId="19" borderId="2" xfId="2" applyNumberFormat="1" applyFont="1" applyFill="1" applyBorder="1" applyAlignment="1">
      <alignment horizontal="center"/>
    </xf>
    <xf numFmtId="15" fontId="24" fillId="0" borderId="105" xfId="0" applyNumberFormat="1" applyFont="1" applyFill="1" applyBorder="1" applyAlignment="1">
      <alignment horizontal="left" vertical="center"/>
    </xf>
    <xf numFmtId="165" fontId="24" fillId="0" borderId="108" xfId="1" applyNumberFormat="1" applyFont="1" applyFill="1" applyBorder="1" applyAlignment="1">
      <alignment horizontal="center" vertical="center"/>
    </xf>
    <xf numFmtId="15" fontId="24" fillId="19" borderId="105" xfId="0" applyNumberFormat="1" applyFont="1" applyFill="1" applyBorder="1" applyAlignment="1">
      <alignment horizontal="left" vertical="center"/>
    </xf>
    <xf numFmtId="174" fontId="24" fillId="19" borderId="0" xfId="0" applyNumberFormat="1" applyFont="1" applyFill="1" applyBorder="1" applyAlignment="1">
      <alignment horizontal="left" vertical="center"/>
    </xf>
    <xf numFmtId="165" fontId="24" fillId="19" borderId="0" xfId="1" applyNumberFormat="1" applyFont="1" applyFill="1" applyBorder="1" applyAlignment="1">
      <alignment horizontal="center" vertical="center"/>
    </xf>
    <xf numFmtId="165" fontId="24" fillId="19" borderId="108" xfId="1" applyNumberFormat="1" applyFont="1" applyFill="1" applyBorder="1" applyAlignment="1">
      <alignment horizontal="center" vertical="center"/>
    </xf>
    <xf numFmtId="0" fontId="27" fillId="14" borderId="9" xfId="0" applyFont="1" applyFill="1" applyBorder="1" applyAlignment="1">
      <alignment vertical="center"/>
    </xf>
    <xf numFmtId="0" fontId="27" fillId="14" borderId="8" xfId="0" applyFont="1" applyFill="1" applyBorder="1" applyAlignment="1">
      <alignment horizontal="left" vertical="center"/>
    </xf>
    <xf numFmtId="164" fontId="27" fillId="14" borderId="9" xfId="1" applyNumberFormat="1" applyFont="1" applyFill="1" applyBorder="1" applyAlignment="1">
      <alignment horizontal="right" vertical="center"/>
    </xf>
    <xf numFmtId="0" fontId="27" fillId="14" borderId="10" xfId="0" applyFont="1" applyFill="1" applyBorder="1" applyAlignment="1">
      <alignment horizontal="left" vertical="center"/>
    </xf>
    <xf numFmtId="0" fontId="26" fillId="15" borderId="235" xfId="0" applyFont="1" applyFill="1" applyBorder="1" applyAlignment="1">
      <alignment horizontal="center" vertical="center"/>
    </xf>
    <xf numFmtId="0" fontId="26" fillId="15" borderId="236" xfId="0" applyFont="1" applyFill="1" applyBorder="1" applyAlignment="1">
      <alignment horizontal="center" vertical="center"/>
    </xf>
    <xf numFmtId="164" fontId="26" fillId="15" borderId="236" xfId="1" applyFont="1" applyFill="1" applyBorder="1" applyAlignment="1">
      <alignment horizontal="center" vertical="center"/>
    </xf>
    <xf numFmtId="0" fontId="26" fillId="15" borderId="237" xfId="0" applyFont="1" applyFill="1" applyBorder="1" applyAlignment="1">
      <alignment horizontal="center" vertical="center"/>
    </xf>
    <xf numFmtId="0" fontId="6" fillId="3" borderId="105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vertical="center"/>
    </xf>
    <xf numFmtId="170" fontId="28" fillId="3" borderId="0" xfId="1" applyNumberFormat="1" applyFont="1" applyFill="1" applyBorder="1" applyAlignment="1">
      <alignment horizontal="right" vertical="center"/>
    </xf>
    <xf numFmtId="0" fontId="28" fillId="3" borderId="108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horizontal="justify" vertical="center"/>
    </xf>
    <xf numFmtId="0" fontId="28" fillId="3" borderId="105" xfId="0" applyFont="1" applyFill="1" applyBorder="1" applyAlignment="1">
      <alignment horizontal="left" vertical="center"/>
    </xf>
    <xf numFmtId="170" fontId="28" fillId="3" borderId="0" xfId="1" applyNumberFormat="1" applyFont="1" applyFill="1" applyBorder="1" applyAlignment="1">
      <alignment horizontal="left" vertical="center" indent="1"/>
    </xf>
    <xf numFmtId="0" fontId="28" fillId="3" borderId="108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168" fontId="28" fillId="3" borderId="0" xfId="1" applyNumberFormat="1" applyFont="1" applyFill="1" applyBorder="1" applyAlignment="1">
      <alignment horizontal="right" vertical="center"/>
    </xf>
    <xf numFmtId="167" fontId="28" fillId="3" borderId="0" xfId="2" applyNumberFormat="1" applyFont="1" applyFill="1" applyBorder="1" applyAlignment="1">
      <alignment horizontal="right" vertical="center"/>
    </xf>
    <xf numFmtId="10" fontId="28" fillId="3" borderId="0" xfId="2" applyNumberFormat="1" applyFont="1" applyFill="1" applyBorder="1" applyAlignment="1">
      <alignment horizontal="right" vertical="center"/>
    </xf>
    <xf numFmtId="0" fontId="6" fillId="3" borderId="108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justify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left" vertical="center" wrapText="1"/>
    </xf>
    <xf numFmtId="170" fontId="24" fillId="3" borderId="0" xfId="0" applyNumberFormat="1" applyFont="1" applyFill="1" applyBorder="1" applyAlignment="1">
      <alignment horizontal="left" vertical="center"/>
    </xf>
    <xf numFmtId="0" fontId="24" fillId="3" borderId="0" xfId="0" applyFont="1" applyFill="1" applyBorder="1" applyAlignment="1">
      <alignment vertical="center"/>
    </xf>
    <xf numFmtId="170" fontId="24" fillId="3" borderId="0" xfId="1" applyNumberFormat="1" applyFont="1" applyFill="1" applyBorder="1" applyAlignment="1">
      <alignment horizontal="right" vertical="center"/>
    </xf>
    <xf numFmtId="0" fontId="24" fillId="3" borderId="108" xfId="0" applyFont="1" applyFill="1" applyBorder="1" applyAlignment="1">
      <alignment horizontal="left" vertical="center"/>
    </xf>
    <xf numFmtId="10" fontId="24" fillId="3" borderId="0" xfId="2" applyNumberFormat="1" applyFont="1" applyFill="1" applyBorder="1" applyAlignment="1">
      <alignment horizontal="right" vertical="center"/>
    </xf>
    <xf numFmtId="0" fontId="0" fillId="3" borderId="108" xfId="0" applyFont="1" applyFill="1" applyBorder="1" applyAlignment="1">
      <alignment horizontal="left" vertical="center"/>
    </xf>
    <xf numFmtId="0" fontId="0" fillId="3" borderId="84" xfId="0" applyFont="1" applyFill="1" applyBorder="1" applyAlignment="1">
      <alignment horizontal="left" vertical="center"/>
    </xf>
    <xf numFmtId="0" fontId="0" fillId="3" borderId="99" xfId="0" applyFont="1" applyFill="1" applyBorder="1" applyAlignment="1">
      <alignment horizontal="left" vertical="center"/>
    </xf>
    <xf numFmtId="10" fontId="24" fillId="3" borderId="99" xfId="2" applyNumberFormat="1" applyFont="1" applyFill="1" applyBorder="1" applyAlignment="1">
      <alignment horizontal="right" vertical="center"/>
    </xf>
    <xf numFmtId="0" fontId="0" fillId="3" borderId="109" xfId="0" applyFont="1" applyFill="1" applyBorder="1" applyAlignment="1">
      <alignment horizontal="left" vertical="center"/>
    </xf>
    <xf numFmtId="15" fontId="34" fillId="3" borderId="77" xfId="0" applyNumberFormat="1" applyFont="1" applyFill="1" applyBorder="1" applyAlignment="1">
      <alignment horizontal="center" vertical="center"/>
    </xf>
    <xf numFmtId="15" fontId="34" fillId="3" borderId="29" xfId="0" applyNumberFormat="1" applyFont="1" applyFill="1" applyBorder="1" applyAlignment="1">
      <alignment vertical="center"/>
    </xf>
    <xf numFmtId="172" fontId="34" fillId="3" borderId="238" xfId="1" applyNumberFormat="1" applyFont="1" applyFill="1" applyBorder="1" applyAlignment="1">
      <alignment vertical="center"/>
    </xf>
    <xf numFmtId="172" fontId="34" fillId="3" borderId="239" xfId="1" applyNumberFormat="1" applyFont="1" applyFill="1" applyBorder="1" applyAlignment="1">
      <alignment vertical="center"/>
    </xf>
    <xf numFmtId="172" fontId="34" fillId="3" borderId="240" xfId="1" applyNumberFormat="1" applyFont="1" applyFill="1" applyBorder="1" applyAlignment="1">
      <alignment vertical="center"/>
    </xf>
    <xf numFmtId="10" fontId="34" fillId="3" borderId="241" xfId="2" applyNumberFormat="1" applyFont="1" applyFill="1" applyBorder="1" applyAlignment="1">
      <alignment vertical="center"/>
    </xf>
    <xf numFmtId="10" fontId="34" fillId="3" borderId="242" xfId="2" applyNumberFormat="1" applyFont="1" applyFill="1" applyBorder="1" applyAlignment="1">
      <alignment vertical="center"/>
    </xf>
    <xf numFmtId="172" fontId="34" fillId="3" borderId="243" xfId="1" applyNumberFormat="1" applyFont="1" applyFill="1" applyBorder="1" applyAlignment="1">
      <alignment vertical="center"/>
    </xf>
    <xf numFmtId="172" fontId="5" fillId="3" borderId="239" xfId="1" applyNumberFormat="1" applyFont="1" applyFill="1" applyBorder="1" applyAlignment="1">
      <alignment vertical="center"/>
    </xf>
    <xf numFmtId="165" fontId="5" fillId="3" borderId="244" xfId="1" applyNumberFormat="1" applyFont="1" applyFill="1" applyBorder="1" applyAlignment="1">
      <alignment vertical="center"/>
    </xf>
    <xf numFmtId="0" fontId="5" fillId="20" borderId="245" xfId="0" applyFont="1" applyFill="1" applyBorder="1" applyAlignment="1">
      <alignment horizontal="center" vertical="center"/>
    </xf>
    <xf numFmtId="0" fontId="5" fillId="20" borderId="246" xfId="0" applyFont="1" applyFill="1" applyBorder="1" applyAlignment="1">
      <alignment horizontal="center" vertical="center"/>
    </xf>
    <xf numFmtId="15" fontId="34" fillId="20" borderId="247" xfId="0" applyNumberFormat="1" applyFont="1" applyFill="1" applyBorder="1" applyAlignment="1">
      <alignment horizontal="center" vertical="center"/>
    </xf>
    <xf numFmtId="15" fontId="34" fillId="20" borderId="248" xfId="0" applyNumberFormat="1" applyFont="1" applyFill="1" applyBorder="1" applyAlignment="1">
      <alignment vertical="center"/>
    </xf>
    <xf numFmtId="172" fontId="34" fillId="20" borderId="249" xfId="1" applyNumberFormat="1" applyFont="1" applyFill="1" applyBorder="1" applyAlignment="1">
      <alignment vertical="center"/>
    </xf>
    <xf numFmtId="172" fontId="34" fillId="20" borderId="250" xfId="1" applyNumberFormat="1" applyFont="1" applyFill="1" applyBorder="1" applyAlignment="1">
      <alignment vertical="center"/>
    </xf>
    <xf numFmtId="172" fontId="34" fillId="20" borderId="251" xfId="1" applyNumberFormat="1" applyFont="1" applyFill="1" applyBorder="1" applyAlignment="1">
      <alignment vertical="center"/>
    </xf>
    <xf numFmtId="172" fontId="34" fillId="20" borderId="252" xfId="1" applyNumberFormat="1" applyFont="1" applyFill="1" applyBorder="1" applyAlignment="1">
      <alignment vertical="center"/>
    </xf>
    <xf numFmtId="10" fontId="34" fillId="20" borderId="253" xfId="2" applyNumberFormat="1" applyFont="1" applyFill="1" applyBorder="1" applyAlignment="1">
      <alignment vertical="center"/>
    </xf>
    <xf numFmtId="10" fontId="34" fillId="20" borderId="254" xfId="2" applyNumberFormat="1" applyFont="1" applyFill="1" applyBorder="1" applyAlignment="1">
      <alignment vertical="center"/>
    </xf>
    <xf numFmtId="172" fontId="34" fillId="20" borderId="255" xfId="1" applyNumberFormat="1" applyFont="1" applyFill="1" applyBorder="1" applyAlignment="1">
      <alignment vertical="center"/>
    </xf>
    <xf numFmtId="172" fontId="5" fillId="20" borderId="250" xfId="1" applyNumberFormat="1" applyFont="1" applyFill="1" applyBorder="1" applyAlignment="1">
      <alignment vertical="center"/>
    </xf>
    <xf numFmtId="165" fontId="5" fillId="20" borderId="256" xfId="1" applyNumberFormat="1" applyFont="1" applyFill="1" applyBorder="1" applyAlignment="1">
      <alignment vertical="center"/>
    </xf>
    <xf numFmtId="165" fontId="5" fillId="20" borderId="0" xfId="1" applyNumberFormat="1" applyFont="1" applyFill="1" applyBorder="1" applyAlignment="1">
      <alignment vertical="center"/>
    </xf>
    <xf numFmtId="164" fontId="5" fillId="20" borderId="245" xfId="1" applyNumberFormat="1" applyFont="1" applyFill="1" applyBorder="1" applyAlignment="1">
      <alignment vertical="center"/>
    </xf>
    <xf numFmtId="164" fontId="5" fillId="20" borderId="246" xfId="1" applyNumberFormat="1" applyFont="1" applyFill="1" applyBorder="1" applyAlignment="1">
      <alignment vertical="center"/>
    </xf>
    <xf numFmtId="165" fontId="5" fillId="20" borderId="246" xfId="1" applyNumberFormat="1" applyFont="1" applyFill="1" applyBorder="1" applyAlignment="1">
      <alignment vertical="center"/>
    </xf>
    <xf numFmtId="10" fontId="5" fillId="20" borderId="246" xfId="2" applyNumberFormat="1" applyFont="1" applyFill="1" applyBorder="1" applyAlignment="1">
      <alignment vertical="center"/>
    </xf>
    <xf numFmtId="164" fontId="5" fillId="20" borderId="271" xfId="1" applyNumberFormat="1" applyFont="1" applyFill="1" applyBorder="1" applyAlignment="1">
      <alignment vertical="center"/>
    </xf>
    <xf numFmtId="43" fontId="5" fillId="20" borderId="0" xfId="0" applyNumberFormat="1" applyFont="1" applyFill="1" applyBorder="1" applyAlignment="1">
      <alignment vertical="center"/>
    </xf>
    <xf numFmtId="10" fontId="5" fillId="20" borderId="0" xfId="0" applyNumberFormat="1" applyFont="1" applyFill="1" applyBorder="1" applyAlignment="1">
      <alignment vertical="center"/>
    </xf>
    <xf numFmtId="164" fontId="5" fillId="20" borderId="0" xfId="1" applyFont="1" applyFill="1" applyBorder="1" applyAlignment="1">
      <alignment vertical="center"/>
    </xf>
    <xf numFmtId="0" fontId="5" fillId="20" borderId="0" xfId="0" applyFont="1" applyFill="1" applyBorder="1" applyAlignment="1">
      <alignment vertical="center"/>
    </xf>
    <xf numFmtId="165" fontId="5" fillId="20" borderId="0" xfId="0" applyNumberFormat="1" applyFont="1" applyFill="1" applyBorder="1" applyAlignment="1">
      <alignment vertical="center"/>
    </xf>
    <xf numFmtId="0" fontId="34" fillId="20" borderId="0" xfId="0" applyFont="1" applyFill="1" applyBorder="1" applyAlignment="1">
      <alignment vertical="center"/>
    </xf>
    <xf numFmtId="0" fontId="34" fillId="20" borderId="0" xfId="0" applyFont="1" applyFill="1" applyAlignment="1">
      <alignment vertical="center"/>
    </xf>
    <xf numFmtId="0" fontId="5" fillId="20" borderId="257" xfId="0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horizontal="center" vertical="center"/>
    </xf>
    <xf numFmtId="15" fontId="34" fillId="20" borderId="11" xfId="0" applyNumberFormat="1" applyFont="1" applyFill="1" applyBorder="1" applyAlignment="1">
      <alignment horizontal="center" vertical="center"/>
    </xf>
    <xf numFmtId="15" fontId="34" fillId="20" borderId="30" xfId="0" applyNumberFormat="1" applyFont="1" applyFill="1" applyBorder="1" applyAlignment="1">
      <alignment vertical="center"/>
    </xf>
    <xf numFmtId="172" fontId="34" fillId="20" borderId="125" xfId="1" applyNumberFormat="1" applyFont="1" applyFill="1" applyBorder="1" applyAlignment="1">
      <alignment vertical="center"/>
    </xf>
    <xf numFmtId="172" fontId="34" fillId="20" borderId="119" xfId="1" applyNumberFormat="1" applyFont="1" applyFill="1" applyBorder="1" applyAlignment="1">
      <alignment vertical="center"/>
    </xf>
    <xf numFmtId="172" fontId="34" fillId="20" borderId="12" xfId="1" applyNumberFormat="1" applyFont="1" applyFill="1" applyBorder="1" applyAlignment="1">
      <alignment vertical="center"/>
    </xf>
    <xf numFmtId="172" fontId="34" fillId="20" borderId="120" xfId="1" applyNumberFormat="1" applyFont="1" applyFill="1" applyBorder="1" applyAlignment="1">
      <alignment vertical="center"/>
    </xf>
    <xf numFmtId="10" fontId="34" fillId="20" borderId="145" xfId="2" applyNumberFormat="1" applyFont="1" applyFill="1" applyBorder="1" applyAlignment="1">
      <alignment vertical="center"/>
    </xf>
    <xf numFmtId="10" fontId="34" fillId="20" borderId="146" xfId="2" applyNumberFormat="1" applyFont="1" applyFill="1" applyBorder="1" applyAlignment="1">
      <alignment vertical="center"/>
    </xf>
    <xf numFmtId="172" fontId="34" fillId="20" borderId="121" xfId="1" applyNumberFormat="1" applyFont="1" applyFill="1" applyBorder="1" applyAlignment="1">
      <alignment vertical="center"/>
    </xf>
    <xf numFmtId="172" fontId="5" fillId="20" borderId="119" xfId="1" applyNumberFormat="1" applyFont="1" applyFill="1" applyBorder="1" applyAlignment="1">
      <alignment vertical="center"/>
    </xf>
    <xf numFmtId="165" fontId="5" fillId="20" borderId="258" xfId="1" applyNumberFormat="1" applyFont="1" applyFill="1" applyBorder="1" applyAlignment="1">
      <alignment vertical="center"/>
    </xf>
    <xf numFmtId="164" fontId="5" fillId="20" borderId="257" xfId="1" applyNumberFormat="1" applyFont="1" applyFill="1" applyBorder="1" applyAlignment="1">
      <alignment vertical="center"/>
    </xf>
    <xf numFmtId="164" fontId="5" fillId="20" borderId="0" xfId="1" applyNumberFormat="1" applyFont="1" applyFill="1" applyBorder="1" applyAlignment="1">
      <alignment vertical="center"/>
    </xf>
    <xf numFmtId="10" fontId="5" fillId="20" borderId="0" xfId="2" applyNumberFormat="1" applyFont="1" applyFill="1" applyBorder="1" applyAlignment="1">
      <alignment vertical="center"/>
    </xf>
    <xf numFmtId="164" fontId="5" fillId="20" borderId="272" xfId="1" applyNumberFormat="1" applyFont="1" applyFill="1" applyBorder="1" applyAlignment="1">
      <alignment vertical="center"/>
    </xf>
    <xf numFmtId="15" fontId="34" fillId="20" borderId="22" xfId="0" applyNumberFormat="1" applyFont="1" applyFill="1" applyBorder="1" applyAlignment="1">
      <alignment horizontal="center" vertical="center"/>
    </xf>
    <xf numFmtId="0" fontId="34" fillId="20" borderId="101" xfId="0" applyFont="1" applyFill="1" applyBorder="1" applyAlignment="1">
      <alignment vertical="center"/>
    </xf>
    <xf numFmtId="0" fontId="34" fillId="20" borderId="99" xfId="0" applyFont="1" applyFill="1" applyBorder="1" applyAlignment="1">
      <alignment vertical="center"/>
    </xf>
    <xf numFmtId="0" fontId="5" fillId="20" borderId="259" xfId="0" applyFont="1" applyFill="1" applyBorder="1" applyAlignment="1">
      <alignment horizontal="center" vertical="center"/>
    </xf>
    <xf numFmtId="0" fontId="5" fillId="20" borderId="260" xfId="0" applyFont="1" applyFill="1" applyBorder="1" applyAlignment="1">
      <alignment horizontal="center" vertical="center"/>
    </xf>
    <xf numFmtId="15" fontId="34" fillId="20" borderId="261" xfId="0" applyNumberFormat="1" applyFont="1" applyFill="1" applyBorder="1" applyAlignment="1">
      <alignment horizontal="center" vertical="center"/>
    </xf>
    <xf numFmtId="15" fontId="34" fillId="20" borderId="262" xfId="0" applyNumberFormat="1" applyFont="1" applyFill="1" applyBorder="1" applyAlignment="1">
      <alignment vertical="center"/>
    </xf>
    <xf numFmtId="172" fontId="34" fillId="20" borderId="263" xfId="1" applyNumberFormat="1" applyFont="1" applyFill="1" applyBorder="1" applyAlignment="1">
      <alignment vertical="center"/>
    </xf>
    <xf numFmtId="172" fontId="34" fillId="20" borderId="264" xfId="1" applyNumberFormat="1" applyFont="1" applyFill="1" applyBorder="1" applyAlignment="1">
      <alignment vertical="center"/>
    </xf>
    <xf numFmtId="172" fontId="34" fillId="20" borderId="265" xfId="1" applyNumberFormat="1" applyFont="1" applyFill="1" applyBorder="1" applyAlignment="1">
      <alignment vertical="center"/>
    </xf>
    <xf numFmtId="172" fontId="34" fillId="20" borderId="266" xfId="1" applyNumberFormat="1" applyFont="1" applyFill="1" applyBorder="1" applyAlignment="1">
      <alignment vertical="center"/>
    </xf>
    <xf numFmtId="10" fontId="34" fillId="20" borderId="267" xfId="2" applyNumberFormat="1" applyFont="1" applyFill="1" applyBorder="1" applyAlignment="1">
      <alignment vertical="center"/>
    </xf>
    <xf numFmtId="10" fontId="34" fillId="20" borderId="268" xfId="2" applyNumberFormat="1" applyFont="1" applyFill="1" applyBorder="1" applyAlignment="1">
      <alignment vertical="center"/>
    </xf>
    <xf numFmtId="172" fontId="34" fillId="20" borderId="269" xfId="1" applyNumberFormat="1" applyFont="1" applyFill="1" applyBorder="1" applyAlignment="1">
      <alignment vertical="center"/>
    </xf>
    <xf numFmtId="172" fontId="5" fillId="20" borderId="264" xfId="1" applyNumberFormat="1" applyFont="1" applyFill="1" applyBorder="1" applyAlignment="1">
      <alignment vertical="center"/>
    </xf>
    <xf numFmtId="165" fontId="5" fillId="20" borderId="270" xfId="1" applyNumberFormat="1" applyFont="1" applyFill="1" applyBorder="1" applyAlignment="1">
      <alignment vertical="center"/>
    </xf>
    <xf numFmtId="164" fontId="5" fillId="20" borderId="259" xfId="1" applyNumberFormat="1" applyFont="1" applyFill="1" applyBorder="1" applyAlignment="1">
      <alignment vertical="center"/>
    </xf>
    <xf numFmtId="164" fontId="5" fillId="20" borderId="260" xfId="1" applyNumberFormat="1" applyFont="1" applyFill="1" applyBorder="1" applyAlignment="1">
      <alignment vertical="center"/>
    </xf>
    <xf numFmtId="165" fontId="5" fillId="20" borderId="260" xfId="1" applyNumberFormat="1" applyFont="1" applyFill="1" applyBorder="1" applyAlignment="1">
      <alignment vertical="center"/>
    </xf>
    <xf numFmtId="10" fontId="5" fillId="20" borderId="260" xfId="2" applyNumberFormat="1" applyFont="1" applyFill="1" applyBorder="1" applyAlignment="1">
      <alignment vertical="center"/>
    </xf>
    <xf numFmtId="164" fontId="5" fillId="20" borderId="273" xfId="1" applyNumberFormat="1" applyFont="1" applyFill="1" applyBorder="1" applyAlignment="1">
      <alignment vertical="center"/>
    </xf>
    <xf numFmtId="43" fontId="3" fillId="3" borderId="0" xfId="0" applyNumberFormat="1" applyFont="1" applyFill="1" applyAlignment="1">
      <alignment horizontal="left" vertical="center"/>
    </xf>
    <xf numFmtId="171" fontId="2" fillId="0" borderId="49" xfId="1" applyNumberForma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171" fontId="2" fillId="0" borderId="0" xfId="1" applyNumberFormat="1" applyFill="1" applyAlignment="1">
      <alignment horizontal="right" vertical="center"/>
    </xf>
    <xf numFmtId="10" fontId="2" fillId="0" borderId="49" xfId="2" applyNumberFormat="1" applyFill="1" applyBorder="1" applyAlignment="1">
      <alignment vertical="center"/>
    </xf>
    <xf numFmtId="10" fontId="0" fillId="0" borderId="119" xfId="2" applyNumberFormat="1" applyFont="1" applyFill="1" applyBorder="1"/>
    <xf numFmtId="164" fontId="2" fillId="13" borderId="49" xfId="1" applyNumberFormat="1" applyFill="1" applyBorder="1" applyAlignment="1">
      <alignment vertical="center"/>
    </xf>
    <xf numFmtId="164" fontId="0" fillId="13" borderId="49" xfId="1" applyNumberFormat="1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3" fontId="24" fillId="3" borderId="0" xfId="0" applyNumberFormat="1" applyFont="1" applyFill="1" applyAlignment="1">
      <alignment horizontal="left" vertical="center"/>
    </xf>
    <xf numFmtId="165" fontId="24" fillId="3" borderId="0" xfId="0" applyNumberFormat="1" applyFont="1" applyFill="1" applyAlignment="1">
      <alignment horizontal="center" vertical="center"/>
    </xf>
    <xf numFmtId="0" fontId="25" fillId="15" borderId="0" xfId="0" applyFont="1" applyFill="1" applyBorder="1" applyAlignment="1">
      <alignment horizontal="centerContinuous" vertical="center"/>
    </xf>
    <xf numFmtId="0" fontId="26" fillId="15" borderId="0" xfId="0" applyFont="1" applyFill="1" applyBorder="1" applyAlignment="1">
      <alignment horizontal="centerContinuous" vertical="center"/>
    </xf>
    <xf numFmtId="164" fontId="27" fillId="11" borderId="0" xfId="1" applyFont="1" applyFill="1" applyBorder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165" fontId="27" fillId="3" borderId="0" xfId="1" applyNumberFormat="1" applyFont="1" applyFill="1" applyBorder="1" applyAlignment="1">
      <alignment horizontal="center" vertical="center"/>
    </xf>
    <xf numFmtId="172" fontId="27" fillId="3" borderId="0" xfId="1" applyNumberFormat="1" applyFont="1" applyFill="1" applyBorder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left" vertical="center"/>
    </xf>
    <xf numFmtId="164" fontId="0" fillId="0" borderId="0" xfId="1" applyFont="1"/>
    <xf numFmtId="0" fontId="68" fillId="0" borderId="0" xfId="0" applyFont="1"/>
    <xf numFmtId="0" fontId="3" fillId="0" borderId="0" xfId="0" applyFont="1"/>
    <xf numFmtId="0" fontId="0" fillId="0" borderId="0" xfId="0" applyFill="1"/>
    <xf numFmtId="0" fontId="65" fillId="0" borderId="0" xfId="0" applyFont="1" applyFill="1" applyAlignment="1">
      <alignment vertical="center" wrapText="1"/>
    </xf>
    <xf numFmtId="0" fontId="0" fillId="0" borderId="0" xfId="0" applyFill="1" applyBorder="1"/>
    <xf numFmtId="0" fontId="6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21" borderId="0" xfId="0" applyFill="1"/>
    <xf numFmtId="164" fontId="0" fillId="21" borderId="0" xfId="1" applyFont="1" applyFill="1"/>
    <xf numFmtId="0" fontId="3" fillId="0" borderId="0" xfId="0" applyFont="1" applyFill="1" applyBorder="1"/>
    <xf numFmtId="0" fontId="7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17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14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0" borderId="0" xfId="1" applyFont="1" applyAlignment="1">
      <alignment horizontal="center"/>
    </xf>
    <xf numFmtId="3" fontId="68" fillId="0" borderId="0" xfId="0" applyNumberFormat="1" applyFont="1" applyAlignment="1">
      <alignment horizontal="center"/>
    </xf>
    <xf numFmtId="10" fontId="68" fillId="0" borderId="0" xfId="2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10" fontId="2" fillId="0" borderId="0" xfId="2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0" fontId="17" fillId="0" borderId="0" xfId="2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70" fontId="0" fillId="0" borderId="0" xfId="1" applyNumberFormat="1" applyFont="1" applyAlignment="1">
      <alignment horizontal="right" vertical="center"/>
    </xf>
    <xf numFmtId="170" fontId="0" fillId="19" borderId="0" xfId="1" applyNumberFormat="1" applyFont="1" applyFill="1" applyAlignment="1">
      <alignment horizontal="right" vertical="center"/>
    </xf>
    <xf numFmtId="0" fontId="0" fillId="19" borderId="0" xfId="0" applyFill="1" applyAlignment="1">
      <alignment vertical="center"/>
    </xf>
    <xf numFmtId="0" fontId="65" fillId="3" borderId="277" xfId="0" applyFont="1" applyFill="1" applyBorder="1" applyAlignment="1">
      <alignment vertical="center" wrapText="1"/>
    </xf>
    <xf numFmtId="0" fontId="14" fillId="3" borderId="277" xfId="0" applyFont="1" applyFill="1" applyBorder="1" applyAlignment="1">
      <alignment horizontal="center" vertical="center"/>
    </xf>
    <xf numFmtId="164" fontId="14" fillId="3" borderId="277" xfId="1" applyFont="1" applyFill="1" applyBorder="1" applyAlignment="1">
      <alignment horizontal="left" vertical="center"/>
    </xf>
    <xf numFmtId="0" fontId="65" fillId="3" borderId="72" xfId="0" applyFont="1" applyFill="1" applyBorder="1" applyAlignment="1">
      <alignment vertical="center" wrapText="1"/>
    </xf>
    <xf numFmtId="0" fontId="14" fillId="3" borderId="72" xfId="0" applyFont="1" applyFill="1" applyBorder="1" applyAlignment="1">
      <alignment horizontal="center" vertical="center"/>
    </xf>
    <xf numFmtId="10" fontId="14" fillId="3" borderId="72" xfId="2" applyNumberFormat="1" applyFont="1" applyFill="1" applyBorder="1" applyAlignment="1">
      <alignment horizontal="right" vertical="center"/>
    </xf>
    <xf numFmtId="164" fontId="14" fillId="3" borderId="72" xfId="1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left" vertical="center" wrapText="1"/>
    </xf>
    <xf numFmtId="0" fontId="65" fillId="3" borderId="72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right" vertical="center"/>
    </xf>
    <xf numFmtId="10" fontId="14" fillId="3" borderId="72" xfId="0" applyNumberFormat="1" applyFont="1" applyFill="1" applyBorder="1" applyAlignment="1">
      <alignment horizontal="right" vertical="center"/>
    </xf>
    <xf numFmtId="0" fontId="14" fillId="3" borderId="72" xfId="0" applyFont="1" applyFill="1" applyBorder="1" applyAlignment="1">
      <alignment vertical="center" wrapText="1"/>
    </xf>
    <xf numFmtId="170" fontId="14" fillId="3" borderId="72" xfId="1" applyNumberFormat="1" applyFont="1" applyFill="1" applyBorder="1" applyAlignment="1">
      <alignment horizontal="left" vertical="center"/>
    </xf>
    <xf numFmtId="0" fontId="65" fillId="3" borderId="72" xfId="0" applyFont="1" applyFill="1" applyBorder="1" applyAlignment="1">
      <alignment horizontal="center" vertical="center"/>
    </xf>
    <xf numFmtId="0" fontId="26" fillId="16" borderId="274" xfId="0" applyFont="1" applyFill="1" applyBorder="1" applyAlignment="1">
      <alignment horizontal="center" vertical="center"/>
    </xf>
    <xf numFmtId="0" fontId="26" fillId="16" borderId="275" xfId="0" applyFont="1" applyFill="1" applyBorder="1" applyAlignment="1">
      <alignment horizontal="center" vertical="center"/>
    </xf>
    <xf numFmtId="0" fontId="7" fillId="16" borderId="275" xfId="0" applyFont="1" applyFill="1" applyBorder="1" applyAlignment="1">
      <alignment horizontal="center" vertical="center"/>
    </xf>
    <xf numFmtId="164" fontId="7" fillId="16" borderId="275" xfId="1" applyFont="1" applyFill="1" applyBorder="1" applyAlignment="1">
      <alignment horizontal="center" vertical="center" wrapText="1"/>
    </xf>
    <xf numFmtId="164" fontId="7" fillId="16" borderId="276" xfId="1" applyFont="1" applyFill="1" applyBorder="1" applyAlignment="1">
      <alignment horizontal="center" vertical="center" wrapText="1"/>
    </xf>
    <xf numFmtId="0" fontId="0" fillId="3" borderId="278" xfId="0" applyFont="1" applyFill="1" applyBorder="1" applyAlignment="1">
      <alignment horizontal="center" vertical="center"/>
    </xf>
    <xf numFmtId="164" fontId="24" fillId="3" borderId="279" xfId="1" applyFont="1" applyFill="1" applyBorder="1" applyAlignment="1">
      <alignment horizontal="left" vertical="center"/>
    </xf>
    <xf numFmtId="0" fontId="24" fillId="3" borderId="71" xfId="0" applyFont="1" applyFill="1" applyBorder="1" applyAlignment="1">
      <alignment horizontal="center" vertical="center"/>
    </xf>
    <xf numFmtId="10" fontId="24" fillId="3" borderId="73" xfId="2" applyNumberFormat="1" applyFont="1" applyFill="1" applyBorder="1" applyAlignment="1">
      <alignment horizontal="right" vertical="center"/>
    </xf>
    <xf numFmtId="0" fontId="29" fillId="3" borderId="71" xfId="0" applyFont="1" applyFill="1" applyBorder="1" applyAlignment="1">
      <alignment horizontal="center" vertical="center"/>
    </xf>
    <xf numFmtId="3" fontId="24" fillId="3" borderId="73" xfId="0" applyNumberFormat="1" applyFont="1" applyFill="1" applyBorder="1" applyAlignment="1">
      <alignment horizontal="right" vertical="center"/>
    </xf>
    <xf numFmtId="0" fontId="24" fillId="3" borderId="73" xfId="0" applyFont="1" applyFill="1" applyBorder="1" applyAlignment="1">
      <alignment horizontal="right" vertical="center"/>
    </xf>
    <xf numFmtId="10" fontId="24" fillId="3" borderId="73" xfId="0" applyNumberFormat="1" applyFont="1" applyFill="1" applyBorder="1" applyAlignment="1">
      <alignment horizontal="right" vertical="center"/>
    </xf>
    <xf numFmtId="164" fontId="24" fillId="3" borderId="73" xfId="1" applyFont="1" applyFill="1" applyBorder="1" applyAlignment="1">
      <alignment horizontal="right" vertical="center"/>
    </xf>
    <xf numFmtId="0" fontId="14" fillId="3" borderId="72" xfId="0" applyFont="1" applyFill="1" applyBorder="1" applyAlignment="1">
      <alignment horizontal="left" vertical="center"/>
    </xf>
    <xf numFmtId="0" fontId="72" fillId="22" borderId="280" xfId="0" applyFont="1" applyFill="1" applyBorder="1" applyAlignment="1">
      <alignment vertical="center"/>
    </xf>
    <xf numFmtId="0" fontId="72" fillId="22" borderId="281" xfId="0" applyFont="1" applyFill="1" applyBorder="1" applyAlignment="1">
      <alignment horizontal="center" vertical="center"/>
    </xf>
    <xf numFmtId="0" fontId="72" fillId="22" borderId="281" xfId="0" applyFont="1" applyFill="1" applyBorder="1" applyAlignment="1">
      <alignment vertical="center" wrapText="1"/>
    </xf>
    <xf numFmtId="0" fontId="73" fillId="3" borderId="282" xfId="0" applyFont="1" applyFill="1" applyBorder="1" applyAlignment="1">
      <alignment vertical="center"/>
    </xf>
    <xf numFmtId="0" fontId="74" fillId="3" borderId="283" xfId="0" applyFont="1" applyFill="1" applyBorder="1" applyAlignment="1">
      <alignment horizontal="center" vertical="center"/>
    </xf>
    <xf numFmtId="3" fontId="74" fillId="3" borderId="283" xfId="0" applyNumberFormat="1" applyFont="1" applyFill="1" applyBorder="1" applyAlignment="1">
      <alignment horizontal="center" vertical="center" wrapText="1"/>
    </xf>
    <xf numFmtId="0" fontId="74" fillId="3" borderId="283" xfId="0" applyFont="1" applyFill="1" applyBorder="1" applyAlignment="1">
      <alignment horizontal="center" vertical="center" wrapText="1"/>
    </xf>
    <xf numFmtId="10" fontId="74" fillId="3" borderId="283" xfId="0" applyNumberFormat="1" applyFont="1" applyFill="1" applyBorder="1" applyAlignment="1">
      <alignment horizontal="center" vertical="center" wrapText="1"/>
    </xf>
    <xf numFmtId="10" fontId="74" fillId="3" borderId="283" xfId="2" applyNumberFormat="1" applyFont="1" applyFill="1" applyBorder="1" applyAlignment="1">
      <alignment horizontal="center" vertical="center" wrapText="1"/>
    </xf>
    <xf numFmtId="0" fontId="75" fillId="3" borderId="284" xfId="0" applyFont="1" applyFill="1" applyBorder="1" applyAlignment="1">
      <alignment horizontal="left" vertical="center" wrapText="1"/>
    </xf>
    <xf numFmtId="0" fontId="73" fillId="3" borderId="284" xfId="0" applyFont="1" applyFill="1" applyBorder="1" applyAlignment="1">
      <alignment horizontal="left" vertical="center" wrapText="1"/>
    </xf>
    <xf numFmtId="0" fontId="0" fillId="3" borderId="284" xfId="0" applyFont="1" applyFill="1" applyBorder="1" applyAlignment="1">
      <alignment horizontal="left" vertical="center"/>
    </xf>
    <xf numFmtId="0" fontId="0" fillId="3" borderId="284" xfId="0" applyFill="1" applyBorder="1" applyAlignment="1">
      <alignment vertical="center"/>
    </xf>
    <xf numFmtId="1" fontId="0" fillId="3" borderId="284" xfId="1" applyNumberFormat="1" applyFont="1" applyFill="1" applyBorder="1" applyAlignment="1">
      <alignment horizontal="center" vertical="center"/>
    </xf>
    <xf numFmtId="1" fontId="24" fillId="3" borderId="284" xfId="1" applyNumberFormat="1" applyFont="1" applyFill="1" applyBorder="1" applyAlignment="1">
      <alignment horizontal="center" vertical="center"/>
    </xf>
    <xf numFmtId="3" fontId="0" fillId="3" borderId="284" xfId="1" applyNumberFormat="1" applyFont="1" applyFill="1" applyBorder="1" applyAlignment="1">
      <alignment horizontal="center" vertical="center"/>
    </xf>
    <xf numFmtId="3" fontId="74" fillId="3" borderId="283" xfId="1" applyNumberFormat="1" applyFont="1" applyFill="1" applyBorder="1" applyAlignment="1">
      <alignment horizontal="center" vertical="center" wrapText="1"/>
    </xf>
    <xf numFmtId="3" fontId="24" fillId="3" borderId="284" xfId="1" applyNumberFormat="1" applyFont="1" applyFill="1" applyBorder="1" applyAlignment="1">
      <alignment horizontal="center" vertical="center"/>
    </xf>
    <xf numFmtId="0" fontId="76" fillId="23" borderId="0" xfId="0" applyFont="1" applyFill="1" applyAlignment="1">
      <alignment horizontal="center" vertical="center" wrapText="1"/>
    </xf>
    <xf numFmtId="0" fontId="77" fillId="3" borderId="0" xfId="0" applyFont="1" applyFill="1" applyAlignment="1">
      <alignment horizontal="center" vertical="center" wrapText="1"/>
    </xf>
    <xf numFmtId="0" fontId="74" fillId="3" borderId="0" xfId="0" applyFont="1" applyFill="1" applyAlignment="1">
      <alignment vertical="center" wrapText="1"/>
    </xf>
    <xf numFmtId="3" fontId="74" fillId="3" borderId="0" xfId="0" applyNumberFormat="1" applyFont="1" applyFill="1" applyAlignment="1">
      <alignment horizontal="center" vertical="center" wrapText="1"/>
    </xf>
    <xf numFmtId="0" fontId="74" fillId="3" borderId="0" xfId="0" applyFont="1" applyFill="1" applyAlignment="1">
      <alignment horizontal="center" vertical="center" wrapText="1"/>
    </xf>
    <xf numFmtId="3" fontId="78" fillId="3" borderId="0" xfId="0" applyNumberFormat="1" applyFont="1" applyFill="1" applyAlignment="1">
      <alignment horizontal="center" vertical="center" wrapText="1"/>
    </xf>
    <xf numFmtId="0" fontId="78" fillId="3" borderId="0" xfId="0" applyFont="1" applyFill="1" applyAlignment="1">
      <alignment vertical="center" wrapText="1"/>
    </xf>
    <xf numFmtId="0" fontId="76" fillId="23" borderId="0" xfId="0" applyFont="1" applyFill="1" applyAlignment="1">
      <alignment horizontal="left" vertical="center" wrapText="1"/>
    </xf>
    <xf numFmtId="176" fontId="74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176" fontId="2" fillId="3" borderId="0" xfId="2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left" vertical="center"/>
    </xf>
    <xf numFmtId="10" fontId="0" fillId="13" borderId="0" xfId="2" applyNumberFormat="1" applyFont="1" applyFill="1" applyAlignment="1">
      <alignment vertical="center"/>
    </xf>
    <xf numFmtId="164" fontId="5" fillId="0" borderId="0" xfId="1" applyFont="1" applyAlignment="1">
      <alignment horizontal="center"/>
    </xf>
    <xf numFmtId="0" fontId="5" fillId="0" borderId="0" xfId="0" applyFont="1"/>
    <xf numFmtId="0" fontId="0" fillId="3" borderId="2" xfId="0" applyFill="1" applyBorder="1" applyAlignment="1">
      <alignment horizontal="center" vertical="center" wrapText="1"/>
    </xf>
    <xf numFmtId="165" fontId="0" fillId="3" borderId="0" xfId="0" applyNumberFormat="1" applyFill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horizontal="centerContinuous" vertical="center"/>
    </xf>
    <xf numFmtId="165" fontId="3" fillId="14" borderId="41" xfId="1" applyNumberFormat="1" applyFont="1" applyFill="1" applyBorder="1" applyAlignment="1">
      <alignment horizontal="right" vertical="center"/>
    </xf>
    <xf numFmtId="10" fontId="2" fillId="13" borderId="49" xfId="2" applyNumberForma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center"/>
    </xf>
    <xf numFmtId="0" fontId="6" fillId="11" borderId="13" xfId="1" applyNumberFormat="1" applyFont="1" applyFill="1" applyBorder="1" applyAlignment="1">
      <alignment horizontal="left" vertical="center" wrapText="1"/>
    </xf>
    <xf numFmtId="0" fontId="36" fillId="11" borderId="23" xfId="1" applyNumberFormat="1" applyFont="1" applyFill="1" applyBorder="1" applyAlignment="1">
      <alignment horizontal="left" vertical="center" wrapText="1"/>
    </xf>
    <xf numFmtId="0" fontId="36" fillId="11" borderId="31" xfId="1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left" vertical="center"/>
    </xf>
    <xf numFmtId="170" fontId="41" fillId="6" borderId="4" xfId="1" applyNumberFormat="1" applyFont="1" applyFill="1" applyBorder="1" applyAlignment="1">
      <alignment horizontal="right" vertical="center"/>
    </xf>
    <xf numFmtId="170" fontId="41" fillId="6" borderId="3" xfId="1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11" borderId="5" xfId="0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horizontal="left" vertical="center" wrapText="1"/>
    </xf>
    <xf numFmtId="0" fontId="7" fillId="11" borderId="7" xfId="0" applyFont="1" applyFill="1" applyBorder="1" applyAlignment="1">
      <alignment horizontal="left" vertical="center" wrapText="1"/>
    </xf>
    <xf numFmtId="0" fontId="23" fillId="3" borderId="72" xfId="0" applyFont="1" applyFill="1" applyBorder="1" applyAlignment="1">
      <alignment horizontal="left" vertical="center" wrapText="1"/>
    </xf>
    <xf numFmtId="0" fontId="0" fillId="3" borderId="49" xfId="0" applyFill="1" applyBorder="1" applyAlignment="1">
      <alignment horizontal="left" vertical="center" wrapText="1"/>
    </xf>
    <xf numFmtId="0" fontId="17" fillId="12" borderId="51" xfId="0" applyFont="1" applyFill="1" applyBorder="1" applyAlignment="1">
      <alignment horizontal="left" vertical="center" wrapText="1"/>
    </xf>
    <xf numFmtId="0" fontId="17" fillId="12" borderId="49" xfId="0" applyFont="1" applyFill="1" applyBorder="1" applyAlignment="1">
      <alignment horizontal="left" vertical="center" wrapText="1"/>
    </xf>
    <xf numFmtId="0" fontId="17" fillId="12" borderId="52" xfId="0" applyFont="1" applyFill="1" applyBorder="1" applyAlignment="1">
      <alignment horizontal="left" vertical="center" wrapText="1"/>
    </xf>
    <xf numFmtId="0" fontId="17" fillId="3" borderId="5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left" vertical="center" wrapText="1"/>
    </xf>
    <xf numFmtId="164" fontId="17" fillId="12" borderId="51" xfId="1" applyFont="1" applyFill="1" applyBorder="1" applyAlignment="1">
      <alignment horizontal="left" vertical="center" wrapText="1"/>
    </xf>
    <xf numFmtId="164" fontId="17" fillId="12" borderId="49" xfId="1" applyFont="1" applyFill="1" applyBorder="1" applyAlignment="1">
      <alignment horizontal="left" vertical="center" wrapText="1"/>
    </xf>
    <xf numFmtId="164" fontId="17" fillId="12" borderId="52" xfId="1" applyFont="1" applyFill="1" applyBorder="1" applyAlignment="1">
      <alignment horizontal="left" vertical="center" wrapText="1"/>
    </xf>
    <xf numFmtId="0" fontId="17" fillId="12" borderId="51" xfId="1" applyNumberFormat="1" applyFont="1" applyFill="1" applyBorder="1" applyAlignment="1">
      <alignment horizontal="left" vertical="center" wrapText="1"/>
    </xf>
    <xf numFmtId="0" fontId="17" fillId="12" borderId="49" xfId="1" applyNumberFormat="1" applyFont="1" applyFill="1" applyBorder="1" applyAlignment="1">
      <alignment horizontal="left" vertical="center" wrapText="1"/>
    </xf>
    <xf numFmtId="0" fontId="17" fillId="12" borderId="52" xfId="1" applyNumberFormat="1" applyFont="1" applyFill="1" applyBorder="1" applyAlignment="1">
      <alignment horizontal="left" vertical="center" wrapText="1"/>
    </xf>
    <xf numFmtId="0" fontId="14" fillId="3" borderId="51" xfId="1" applyNumberFormat="1" applyFont="1" applyFill="1" applyBorder="1" applyAlignment="1">
      <alignment horizontal="left" vertical="center" wrapText="1"/>
    </xf>
    <xf numFmtId="0" fontId="14" fillId="3" borderId="49" xfId="1" applyNumberFormat="1" applyFont="1" applyFill="1" applyBorder="1" applyAlignment="1">
      <alignment horizontal="left" vertical="center" wrapText="1"/>
    </xf>
    <xf numFmtId="0" fontId="14" fillId="3" borderId="52" xfId="1" applyNumberFormat="1" applyFont="1" applyFill="1" applyBorder="1" applyAlignment="1">
      <alignment horizontal="left" vertical="center" wrapText="1"/>
    </xf>
    <xf numFmtId="0" fontId="20" fillId="12" borderId="51" xfId="0" applyFont="1" applyFill="1" applyBorder="1" applyAlignment="1">
      <alignment horizontal="left" vertical="center" wrapText="1"/>
    </xf>
    <xf numFmtId="0" fontId="20" fillId="12" borderId="49" xfId="0" applyFont="1" applyFill="1" applyBorder="1" applyAlignment="1">
      <alignment horizontal="left" vertical="center" wrapText="1"/>
    </xf>
    <xf numFmtId="0" fontId="20" fillId="12" borderId="52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left" vertical="center" wrapText="1"/>
    </xf>
    <xf numFmtId="0" fontId="5" fillId="3" borderId="72" xfId="0" applyFont="1" applyFill="1" applyBorder="1" applyAlignment="1">
      <alignment horizontal="left" vertical="center" wrapText="1"/>
    </xf>
    <xf numFmtId="0" fontId="49" fillId="3" borderId="81" xfId="0" applyFont="1" applyFill="1" applyBorder="1" applyAlignment="1">
      <alignment horizontal="left" vertical="center" wrapText="1"/>
    </xf>
    <xf numFmtId="0" fontId="49" fillId="3" borderId="0" xfId="0" applyFont="1" applyFill="1" applyAlignment="1">
      <alignment horizontal="left" vertical="center" wrapText="1"/>
    </xf>
    <xf numFmtId="0" fontId="49" fillId="3" borderId="101" xfId="0" applyFont="1" applyFill="1" applyBorder="1" applyAlignment="1">
      <alignment horizontal="left" vertical="center" wrapText="1"/>
    </xf>
    <xf numFmtId="0" fontId="7" fillId="10" borderId="0" xfId="0" applyFont="1" applyFill="1" applyAlignment="1">
      <alignment horizontal="left" vertical="center"/>
    </xf>
    <xf numFmtId="0" fontId="7" fillId="10" borderId="68" xfId="0" applyFont="1" applyFill="1" applyBorder="1" applyAlignment="1">
      <alignment horizontal="left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63" xfId="0" applyFont="1" applyFill="1" applyBorder="1" applyAlignment="1">
      <alignment horizontal="center" vertical="center"/>
    </xf>
    <xf numFmtId="0" fontId="7" fillId="10" borderId="6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68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6" fillId="3" borderId="68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68" xfId="0" applyFont="1" applyFill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6" fillId="5" borderId="71" xfId="0" applyFont="1" applyFill="1" applyBorder="1" applyAlignment="1">
      <alignment horizontal="left" vertical="top" wrapText="1"/>
    </xf>
    <xf numFmtId="0" fontId="6" fillId="5" borderId="72" xfId="0" applyFont="1" applyFill="1" applyBorder="1" applyAlignment="1">
      <alignment horizontal="left" vertical="top" wrapText="1"/>
    </xf>
    <xf numFmtId="0" fontId="6" fillId="5" borderId="73" xfId="0" applyFont="1" applyFill="1" applyBorder="1" applyAlignment="1">
      <alignment horizontal="left" vertical="top" wrapText="1"/>
    </xf>
    <xf numFmtId="0" fontId="7" fillId="10" borderId="67" xfId="0" applyFont="1" applyFill="1" applyBorder="1" applyAlignment="1">
      <alignment horizontal="center" vertical="center" wrapText="1"/>
    </xf>
    <xf numFmtId="0" fontId="7" fillId="10" borderId="68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6" fillId="3" borderId="7" xfId="0" applyFont="1" applyFill="1" applyBorder="1" applyAlignment="1">
      <alignment horizontal="justify" vertical="top" wrapText="1"/>
    </xf>
    <xf numFmtId="0" fontId="6" fillId="3" borderId="8" xfId="0" applyFont="1" applyFill="1" applyBorder="1" applyAlignment="1">
      <alignment horizontal="justify" vertical="top" wrapText="1"/>
    </xf>
    <xf numFmtId="0" fontId="6" fillId="3" borderId="9" xfId="0" applyFont="1" applyFill="1" applyBorder="1" applyAlignment="1">
      <alignment horizontal="justify" vertical="top" wrapText="1"/>
    </xf>
    <xf numFmtId="0" fontId="6" fillId="3" borderId="10" xfId="0" applyFont="1" applyFill="1" applyBorder="1" applyAlignment="1">
      <alignment horizontal="justify" vertical="top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10" fontId="3" fillId="3" borderId="9" xfId="0" applyNumberFormat="1" applyFont="1" applyFill="1" applyBorder="1" applyAlignment="1">
      <alignment horizontal="center" vertical="center" wrapText="1"/>
    </xf>
    <xf numFmtId="10" fontId="3" fillId="3" borderId="32" xfId="0" applyNumberFormat="1" applyFont="1" applyFill="1" applyBorder="1" applyAlignment="1">
      <alignment horizontal="center" vertical="center" wrapText="1"/>
    </xf>
    <xf numFmtId="10" fontId="3" fillId="3" borderId="10" xfId="0" applyNumberFormat="1" applyFont="1" applyFill="1" applyBorder="1" applyAlignment="1">
      <alignment horizontal="center" vertical="center" wrapText="1"/>
    </xf>
    <xf numFmtId="0" fontId="5" fillId="0" borderId="234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5">
    <cellStyle name="Comma" xfId="1" builtinId="3"/>
    <cellStyle name="Comma 2" xfId="3" xr:uid="{00000000-0005-0000-0000-000000000000}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  <color rgb="FF66FFFF"/>
      <color rgb="FF006E7A"/>
      <color rgb="FF6EA47A"/>
      <color rgb="FF92A43B"/>
      <color rgb="FF99FFCC"/>
      <color rgb="FFCC99FF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sale based on HSE planning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Sale_Data!$C$2:$C$144</c:f>
              <c:numCache>
                <c:formatCode>General</c:formatCode>
                <c:ptCount val="1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</c:numCache>
            </c:numRef>
          </c:xVal>
          <c:yVal>
            <c:numRef>
              <c:f>Sale_Data!$D$2:$D$144</c:f>
              <c:numCache>
                <c:formatCode>_(* #,##0_);_(* \(#,##0\);_(* "-"??_);_(@_)</c:formatCode>
                <c:ptCount val="143"/>
                <c:pt idx="0">
                  <c:v>2707</c:v>
                </c:pt>
                <c:pt idx="1">
                  <c:v>3447</c:v>
                </c:pt>
                <c:pt idx="2">
                  <c:v>4511</c:v>
                </c:pt>
                <c:pt idx="3">
                  <c:v>4295</c:v>
                </c:pt>
                <c:pt idx="4">
                  <c:v>4978</c:v>
                </c:pt>
                <c:pt idx="5">
                  <c:v>4195</c:v>
                </c:pt>
                <c:pt idx="6">
                  <c:v>3522</c:v>
                </c:pt>
                <c:pt idx="7">
                  <c:v>7567</c:v>
                </c:pt>
                <c:pt idx="8">
                  <c:v>4135</c:v>
                </c:pt>
                <c:pt idx="9">
                  <c:v>4322</c:v>
                </c:pt>
                <c:pt idx="10">
                  <c:v>10373</c:v>
                </c:pt>
                <c:pt idx="11">
                  <c:v>7484</c:v>
                </c:pt>
                <c:pt idx="12">
                  <c:v>4151</c:v>
                </c:pt>
                <c:pt idx="13">
                  <c:v>5186</c:v>
                </c:pt>
                <c:pt idx="14">
                  <c:v>4709</c:v>
                </c:pt>
                <c:pt idx="15">
                  <c:v>3521</c:v>
                </c:pt>
                <c:pt idx="16">
                  <c:v>2337</c:v>
                </c:pt>
                <c:pt idx="17">
                  <c:v>4702</c:v>
                </c:pt>
                <c:pt idx="18">
                  <c:v>5145</c:v>
                </c:pt>
                <c:pt idx="19">
                  <c:v>6848</c:v>
                </c:pt>
                <c:pt idx="20">
                  <c:v>2469</c:v>
                </c:pt>
                <c:pt idx="21">
                  <c:v>2777</c:v>
                </c:pt>
                <c:pt idx="22">
                  <c:v>2216</c:v>
                </c:pt>
                <c:pt idx="23">
                  <c:v>4413</c:v>
                </c:pt>
                <c:pt idx="24">
                  <c:v>3234</c:v>
                </c:pt>
                <c:pt idx="25">
                  <c:v>4178</c:v>
                </c:pt>
                <c:pt idx="26">
                  <c:v>3932</c:v>
                </c:pt>
                <c:pt idx="27">
                  <c:v>1735</c:v>
                </c:pt>
                <c:pt idx="28">
                  <c:v>3697</c:v>
                </c:pt>
                <c:pt idx="29">
                  <c:v>5191</c:v>
                </c:pt>
                <c:pt idx="30">
                  <c:v>3398</c:v>
                </c:pt>
                <c:pt idx="31">
                  <c:v>2951</c:v>
                </c:pt>
                <c:pt idx="32">
                  <c:v>3906</c:v>
                </c:pt>
                <c:pt idx="33">
                  <c:v>2254</c:v>
                </c:pt>
                <c:pt idx="34">
                  <c:v>3795</c:v>
                </c:pt>
                <c:pt idx="35">
                  <c:v>5009</c:v>
                </c:pt>
                <c:pt idx="36">
                  <c:v>3857</c:v>
                </c:pt>
                <c:pt idx="37">
                  <c:v>4791</c:v>
                </c:pt>
                <c:pt idx="38">
                  <c:v>3840</c:v>
                </c:pt>
                <c:pt idx="39">
                  <c:v>3079</c:v>
                </c:pt>
                <c:pt idx="40">
                  <c:v>4861</c:v>
                </c:pt>
                <c:pt idx="41">
                  <c:v>6614</c:v>
                </c:pt>
                <c:pt idx="42">
                  <c:v>4050</c:v>
                </c:pt>
                <c:pt idx="43">
                  <c:v>3577</c:v>
                </c:pt>
                <c:pt idx="44">
                  <c:v>5804</c:v>
                </c:pt>
                <c:pt idx="45">
                  <c:v>3154</c:v>
                </c:pt>
                <c:pt idx="46">
                  <c:v>4090</c:v>
                </c:pt>
                <c:pt idx="47">
                  <c:v>5674</c:v>
                </c:pt>
                <c:pt idx="48">
                  <c:v>7198</c:v>
                </c:pt>
                <c:pt idx="49">
                  <c:v>4971</c:v>
                </c:pt>
                <c:pt idx="50">
                  <c:v>4522</c:v>
                </c:pt>
                <c:pt idx="51">
                  <c:v>4309</c:v>
                </c:pt>
                <c:pt idx="52" formatCode="_-* #,##0_-;\-* #,##0_-;_-* &quot;-&quot;??_-;_-@_-">
                  <c:v>3512</c:v>
                </c:pt>
                <c:pt idx="53" formatCode="_-* #,##0_-;\-* #,##0_-;_-* &quot;-&quot;??_-;_-@_-">
                  <c:v>2897</c:v>
                </c:pt>
                <c:pt idx="54" formatCode="_-* #,##0_-;\-* #,##0_-;_-* &quot;-&quot;??_-;_-@_-">
                  <c:v>2402</c:v>
                </c:pt>
                <c:pt idx="55" formatCode="_-* #,##0_-;\-* #,##0_-;_-* &quot;-&quot;??_-;_-@_-">
                  <c:v>2656</c:v>
                </c:pt>
                <c:pt idx="56" formatCode="_-* #,##0_-;\-* #,##0_-;_-* &quot;-&quot;??_-;_-@_-">
                  <c:v>3834</c:v>
                </c:pt>
                <c:pt idx="57" formatCode="_-* #,##0_-;\-* #,##0_-;_-* &quot;-&quot;??_-;_-@_-">
                  <c:v>5672</c:v>
                </c:pt>
                <c:pt idx="58" formatCode="_-* #,##0_-;\-* #,##0_-;_-* &quot;-&quot;??_-;_-@_-">
                  <c:v>2424</c:v>
                </c:pt>
                <c:pt idx="59" formatCode="_-* #,##0_-;\-* #,##0_-;_-* &quot;-&quot;??_-;_-@_-">
                  <c:v>3788</c:v>
                </c:pt>
                <c:pt idx="60" formatCode="_-* #,##0_-;\-* #,##0_-;_-* &quot;-&quot;??_-;_-@_-">
                  <c:v>1857</c:v>
                </c:pt>
                <c:pt idx="61" formatCode="_-* #,##0_-;\-* #,##0_-;_-* &quot;-&quot;??_-;_-@_-">
                  <c:v>1429</c:v>
                </c:pt>
                <c:pt idx="62" formatCode="_-* #,##0_-;\-* #,##0_-;_-* &quot;-&quot;??_-;_-@_-">
                  <c:v>2944</c:v>
                </c:pt>
                <c:pt idx="63" formatCode="_-* #,##0_-;\-* #,##0_-;_-* &quot;-&quot;??_-;_-@_-">
                  <c:v>928</c:v>
                </c:pt>
                <c:pt idx="64" formatCode="_-* #,##0_-;\-* #,##0_-;_-* &quot;-&quot;??_-;_-@_-">
                  <c:v>1387</c:v>
                </c:pt>
                <c:pt idx="65" formatCode="_-* #,##0_-;\-* #,##0_-;_-* &quot;-&quot;??_-;_-@_-">
                  <c:v>3117</c:v>
                </c:pt>
                <c:pt idx="66" formatCode="_-* #,##0_-;\-* #,##0_-;_-* &quot;-&quot;??_-;_-@_-">
                  <c:v>1468</c:v>
                </c:pt>
                <c:pt idx="67" formatCode="_-* #,##0_-;\-* #,##0_-;_-* &quot;-&quot;??_-;_-@_-">
                  <c:v>3826</c:v>
                </c:pt>
                <c:pt idx="68" formatCode="_-* #,##0_-;\-* #,##0_-;_-* &quot;-&quot;??_-;_-@_-">
                  <c:v>4648</c:v>
                </c:pt>
                <c:pt idx="69" formatCode="_-* #,##0_-;\-* #,##0_-;_-* &quot;-&quot;??_-;_-@_-">
                  <c:v>2822</c:v>
                </c:pt>
                <c:pt idx="70" formatCode="_-* #,##0_-;\-* #,##0_-;_-* &quot;-&quot;??_-;_-@_-">
                  <c:v>3409</c:v>
                </c:pt>
                <c:pt idx="71" formatCode="_-* #,##0_-;\-* #,##0_-;_-* &quot;-&quot;??_-;_-@_-">
                  <c:v>3944</c:v>
                </c:pt>
                <c:pt idx="72" formatCode="General">
                  <c:v>3299</c:v>
                </c:pt>
                <c:pt idx="73" formatCode="General">
                  <c:v>4190</c:v>
                </c:pt>
                <c:pt idx="74" formatCode="General">
                  <c:v>2244</c:v>
                </c:pt>
                <c:pt idx="75" formatCode="General">
                  <c:v>2808</c:v>
                </c:pt>
                <c:pt idx="76" formatCode="General">
                  <c:v>3883</c:v>
                </c:pt>
                <c:pt idx="77" formatCode="General">
                  <c:v>3410</c:v>
                </c:pt>
                <c:pt idx="78" formatCode="General">
                  <c:v>2752</c:v>
                </c:pt>
                <c:pt idx="79" formatCode="General">
                  <c:v>2910</c:v>
                </c:pt>
                <c:pt idx="80" formatCode="General">
                  <c:v>2079</c:v>
                </c:pt>
                <c:pt idx="81" formatCode="General">
                  <c:v>3907</c:v>
                </c:pt>
                <c:pt idx="82" formatCode="General">
                  <c:v>1815</c:v>
                </c:pt>
                <c:pt idx="83" formatCode="General">
                  <c:v>1764</c:v>
                </c:pt>
                <c:pt idx="84" formatCode="General">
                  <c:v>2219</c:v>
                </c:pt>
                <c:pt idx="85" formatCode="General">
                  <c:v>3023</c:v>
                </c:pt>
                <c:pt idx="86" formatCode="General">
                  <c:v>2003</c:v>
                </c:pt>
                <c:pt idx="87" formatCode="General">
                  <c:v>1800</c:v>
                </c:pt>
                <c:pt idx="88" formatCode="General">
                  <c:v>2099</c:v>
                </c:pt>
                <c:pt idx="89" formatCode="General">
                  <c:v>2111</c:v>
                </c:pt>
                <c:pt idx="90" formatCode="General">
                  <c:v>2234</c:v>
                </c:pt>
                <c:pt idx="91" formatCode="General">
                  <c:v>2245</c:v>
                </c:pt>
                <c:pt idx="92" formatCode="General">
                  <c:v>5207</c:v>
                </c:pt>
                <c:pt idx="93" formatCode="General">
                  <c:v>1510</c:v>
                </c:pt>
                <c:pt idx="94" formatCode="General">
                  <c:v>1983</c:v>
                </c:pt>
                <c:pt idx="95" formatCode="General">
                  <c:v>7312</c:v>
                </c:pt>
                <c:pt idx="96" formatCode="General">
                  <c:v>4200</c:v>
                </c:pt>
                <c:pt idx="97" formatCode="General">
                  <c:v>4200</c:v>
                </c:pt>
                <c:pt idx="98" formatCode="General">
                  <c:v>3500</c:v>
                </c:pt>
                <c:pt idx="99" formatCode="General">
                  <c:v>2800</c:v>
                </c:pt>
                <c:pt idx="100" formatCode="General">
                  <c:v>3000</c:v>
                </c:pt>
                <c:pt idx="101" formatCode="General">
                  <c:v>3200</c:v>
                </c:pt>
                <c:pt idx="102" formatCode="General">
                  <c:v>3500</c:v>
                </c:pt>
                <c:pt idx="103" formatCode="General">
                  <c:v>3500</c:v>
                </c:pt>
                <c:pt idx="104" formatCode="General">
                  <c:v>3800</c:v>
                </c:pt>
                <c:pt idx="105" formatCode="General">
                  <c:v>3800</c:v>
                </c:pt>
                <c:pt idx="106" formatCode="General">
                  <c:v>4000</c:v>
                </c:pt>
                <c:pt idx="107" formatCode="General">
                  <c:v>4200</c:v>
                </c:pt>
                <c:pt idx="108" formatCode="General">
                  <c:v>4200</c:v>
                </c:pt>
                <c:pt idx="109" formatCode="General">
                  <c:v>4200</c:v>
                </c:pt>
                <c:pt idx="110" formatCode="General">
                  <c:v>3500</c:v>
                </c:pt>
                <c:pt idx="111" formatCode="General">
                  <c:v>2800</c:v>
                </c:pt>
                <c:pt idx="112" formatCode="General">
                  <c:v>3000</c:v>
                </c:pt>
                <c:pt idx="113" formatCode="General">
                  <c:v>3200</c:v>
                </c:pt>
                <c:pt idx="114" formatCode="General">
                  <c:v>3500</c:v>
                </c:pt>
                <c:pt idx="115" formatCode="General">
                  <c:v>3500</c:v>
                </c:pt>
                <c:pt idx="116" formatCode="General">
                  <c:v>3800</c:v>
                </c:pt>
                <c:pt idx="117" formatCode="General">
                  <c:v>3800</c:v>
                </c:pt>
                <c:pt idx="118" formatCode="General">
                  <c:v>4000</c:v>
                </c:pt>
                <c:pt idx="119" formatCode="General">
                  <c:v>4200</c:v>
                </c:pt>
                <c:pt idx="120" formatCode="General">
                  <c:v>4200</c:v>
                </c:pt>
                <c:pt idx="121" formatCode="General">
                  <c:v>4200</c:v>
                </c:pt>
                <c:pt idx="122" formatCode="General">
                  <c:v>3500</c:v>
                </c:pt>
                <c:pt idx="123" formatCode="General">
                  <c:v>2800</c:v>
                </c:pt>
                <c:pt idx="124" formatCode="General">
                  <c:v>3000</c:v>
                </c:pt>
                <c:pt idx="125" formatCode="General">
                  <c:v>3200</c:v>
                </c:pt>
                <c:pt idx="126" formatCode="General">
                  <c:v>3500</c:v>
                </c:pt>
                <c:pt idx="127" formatCode="General">
                  <c:v>3500</c:v>
                </c:pt>
                <c:pt idx="128" formatCode="General">
                  <c:v>3800</c:v>
                </c:pt>
                <c:pt idx="129" formatCode="General">
                  <c:v>3800</c:v>
                </c:pt>
                <c:pt idx="130" formatCode="General">
                  <c:v>4000</c:v>
                </c:pt>
                <c:pt idx="131" formatCode="General">
                  <c:v>4200</c:v>
                </c:pt>
                <c:pt idx="132" formatCode="General">
                  <c:v>4200</c:v>
                </c:pt>
                <c:pt idx="133" formatCode="General">
                  <c:v>4200</c:v>
                </c:pt>
                <c:pt idx="134" formatCode="General">
                  <c:v>3500</c:v>
                </c:pt>
                <c:pt idx="135" formatCode="General">
                  <c:v>2800</c:v>
                </c:pt>
                <c:pt idx="136" formatCode="General">
                  <c:v>3000</c:v>
                </c:pt>
                <c:pt idx="137" formatCode="General">
                  <c:v>3200</c:v>
                </c:pt>
                <c:pt idx="138" formatCode="General">
                  <c:v>3500</c:v>
                </c:pt>
                <c:pt idx="139" formatCode="General">
                  <c:v>3500</c:v>
                </c:pt>
                <c:pt idx="140" formatCode="General">
                  <c:v>3800</c:v>
                </c:pt>
                <c:pt idx="141" formatCode="General">
                  <c:v>3800</c:v>
                </c:pt>
                <c:pt idx="142" formatCode="General">
                  <c:v>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20-4746-B4AC-F5DA4716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565472"/>
        <c:axId val="438563296"/>
      </c:scatterChart>
      <c:valAx>
        <c:axId val="4385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3296"/>
        <c:crosses val="autoZero"/>
        <c:crossBetween val="midCat"/>
      </c:valAx>
      <c:valAx>
        <c:axId val="43856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35719</xdr:rowOff>
    </xdr:from>
    <xdr:to>
      <xdr:col>13</xdr:col>
      <xdr:colOff>511926</xdr:colOff>
      <xdr:row>5</xdr:row>
      <xdr:rowOff>43561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344" y="226219"/>
          <a:ext cx="1726363" cy="7698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214313</xdr:colOff>
      <xdr:row>0</xdr:row>
      <xdr:rowOff>111126</xdr:rowOff>
    </xdr:from>
    <xdr:to>
      <xdr:col>1</xdr:col>
      <xdr:colOff>420687</xdr:colOff>
      <xdr:row>5</xdr:row>
      <xdr:rowOff>33492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BEED2-5360-486F-B141-8783138F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111126"/>
          <a:ext cx="666749" cy="835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58208</xdr:colOff>
      <xdr:row>133</xdr:row>
      <xdr:rowOff>132290</xdr:rowOff>
    </xdr:from>
    <xdr:to>
      <xdr:col>2</xdr:col>
      <xdr:colOff>3271807</xdr:colOff>
      <xdr:row>135</xdr:row>
      <xdr:rowOff>86221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0A2EA-FE31-4EF6-AFD7-8B081B89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458" y="29916965"/>
          <a:ext cx="3213599" cy="3349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68792</xdr:colOff>
      <xdr:row>114</xdr:row>
      <xdr:rowOff>5292</xdr:rowOff>
    </xdr:from>
    <xdr:to>
      <xdr:col>4</xdr:col>
      <xdr:colOff>3143</xdr:colOff>
      <xdr:row>115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6E3F3-B9AD-44F1-ADD0-CCA6062E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9417" y="28075467"/>
          <a:ext cx="3058552" cy="3243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902758</xdr:colOff>
      <xdr:row>54</xdr:row>
      <xdr:rowOff>186265</xdr:rowOff>
    </xdr:from>
    <xdr:to>
      <xdr:col>13</xdr:col>
      <xdr:colOff>360892</xdr:colOff>
      <xdr:row>69</xdr:row>
      <xdr:rowOff>186265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1AA2A2-A97D-43E2-97ED-F93EBBA8F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nvibol Meng" id="{FD0AF64F-8C96-4BA8-B0DD-99C5FE5C1C10}" userId="S::v.meng@nexusfordevelopment.org::04c419ec-399b-48c4-8810-f9285a7fdd2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5" dT="2019-05-14T10:43:24.22" personId="{FD0AF64F-8C96-4BA8-B0DD-99C5FE5C1C10}" id="{CAE5E70B-0AE4-4A89-B6A3-4C953AC735BF}">
    <text>60 month (12*5)= 5 years in which the first sold filter come to its retirement stage.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dieselnet.com/standards/eu/fuel_reference.php" TargetMode="External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7:Q21"/>
  <sheetViews>
    <sheetView tabSelected="1" zoomScaleNormal="100" workbookViewId="0">
      <selection activeCell="C12" sqref="C12"/>
    </sheetView>
  </sheetViews>
  <sheetFormatPr defaultColWidth="9.140625" defaultRowHeight="15"/>
  <cols>
    <col min="1" max="1" width="6.42578125" style="38" customWidth="1"/>
    <col min="2" max="2" width="21.28515625" style="38" customWidth="1"/>
    <col min="3" max="16" width="9.140625" style="38"/>
    <col min="17" max="17" width="10.28515625" style="38" bestFit="1" customWidth="1"/>
    <col min="18" max="16384" width="9.140625" style="38"/>
  </cols>
  <sheetData>
    <row r="7" spans="2:17" ht="21">
      <c r="B7" s="260" t="s">
        <v>136</v>
      </c>
      <c r="C7" s="260"/>
      <c r="D7" s="260"/>
      <c r="E7" s="260"/>
      <c r="F7" s="260"/>
      <c r="G7" s="260"/>
      <c r="H7" s="261"/>
      <c r="I7" s="261"/>
      <c r="J7" s="261"/>
      <c r="K7" s="261"/>
      <c r="L7" s="261"/>
      <c r="M7" s="261"/>
      <c r="N7" s="261"/>
    </row>
    <row r="8" spans="2:17">
      <c r="B8" s="41" t="s">
        <v>134</v>
      </c>
      <c r="C8" s="40" t="s">
        <v>143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2:17">
      <c r="B9" s="41" t="s">
        <v>87</v>
      </c>
      <c r="C9" s="40" t="s">
        <v>89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2:17">
      <c r="B10" s="41" t="s">
        <v>88</v>
      </c>
      <c r="C10" s="40" t="s">
        <v>455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2:17">
      <c r="B11" s="41" t="s">
        <v>112</v>
      </c>
      <c r="C11" s="40" t="s">
        <v>804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2:17">
      <c r="B12" s="41" t="s">
        <v>135</v>
      </c>
      <c r="C12" s="40" t="s">
        <v>531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2:17">
      <c r="B13" s="41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Q13" s="201"/>
    </row>
    <row r="14" spans="2:17">
      <c r="B14" s="39" t="s">
        <v>662</v>
      </c>
      <c r="C14" s="11"/>
      <c r="D14" s="7"/>
      <c r="E14" s="11"/>
      <c r="F14" s="11"/>
      <c r="G14" s="11"/>
      <c r="H14" s="11"/>
      <c r="I14" s="11"/>
      <c r="J14" s="11"/>
      <c r="K14" s="11"/>
      <c r="L14" s="11"/>
      <c r="M14" s="11"/>
      <c r="N14"/>
    </row>
    <row r="16" spans="2:17" ht="21">
      <c r="B16" s="262" t="s">
        <v>131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</row>
    <row r="17" spans="2:14">
      <c r="B17" s="913" t="s">
        <v>602</v>
      </c>
      <c r="C17" s="913"/>
      <c r="D17" s="913"/>
      <c r="E17" s="913"/>
      <c r="F17" s="264"/>
      <c r="G17" s="264"/>
      <c r="H17" s="264"/>
      <c r="I17" s="264"/>
      <c r="J17" s="264"/>
      <c r="K17" s="264"/>
      <c r="L17" s="264"/>
      <c r="M17" s="264"/>
      <c r="N17" s="264"/>
    </row>
    <row r="18" spans="2:14">
      <c r="B18" s="913" t="s">
        <v>603</v>
      </c>
      <c r="C18" s="913"/>
      <c r="D18" s="913"/>
      <c r="E18" s="913"/>
      <c r="F18" s="264"/>
      <c r="G18" s="264"/>
      <c r="H18" s="264"/>
      <c r="I18" s="264"/>
      <c r="J18" s="264"/>
      <c r="K18" s="264"/>
      <c r="L18" s="264"/>
      <c r="M18" s="264"/>
      <c r="N18" s="264"/>
    </row>
    <row r="19" spans="2:14"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</row>
    <row r="20" spans="2:14"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</row>
    <row r="21" spans="2:14"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</row>
  </sheetData>
  <customSheetViews>
    <customSheetView guid="{D2AE56D6-E8AC-4B34-81C8-5074B4320CEA}" scale="80">
      <selection activeCell="P8" sqref="P8"/>
      <pageMargins left="0.7" right="0.7" top="0.75" bottom="0.75" header="0.3" footer="0.3"/>
    </customSheetView>
  </customSheetViews>
  <phoneticPr fontId="5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6312-3906-4879-9B14-541E891F33DC}">
  <sheetPr>
    <tabColor rgb="FFFFFF00"/>
  </sheetPr>
  <dimension ref="A1:H5"/>
  <sheetViews>
    <sheetView zoomScaleNormal="100" workbookViewId="0">
      <selection activeCell="D5" sqref="D5"/>
    </sheetView>
  </sheetViews>
  <sheetFormatPr defaultRowHeight="15"/>
  <cols>
    <col min="2" max="2" width="16.5703125" customWidth="1"/>
    <col min="3" max="3" width="16.28515625" customWidth="1"/>
    <col min="4" max="6" width="26.5703125" customWidth="1"/>
    <col min="7" max="7" width="28.7109375" customWidth="1"/>
    <col min="8" max="8" width="52.5703125" customWidth="1"/>
  </cols>
  <sheetData>
    <row r="1" spans="1:8" ht="29.25" customHeight="1">
      <c r="A1" s="1151"/>
      <c r="B1" s="1151"/>
      <c r="C1" s="1158" t="s">
        <v>748</v>
      </c>
      <c r="D1" s="1158" t="s">
        <v>749</v>
      </c>
      <c r="E1" s="1159" t="s">
        <v>750</v>
      </c>
      <c r="F1" s="1159" t="s">
        <v>751</v>
      </c>
      <c r="G1" s="1159" t="s">
        <v>752</v>
      </c>
    </row>
    <row r="2" spans="1:8" ht="63.75">
      <c r="A2" s="1151"/>
      <c r="B2" s="1151"/>
      <c r="C2" s="1155" t="s">
        <v>121</v>
      </c>
      <c r="D2" s="1154" t="s">
        <v>1</v>
      </c>
      <c r="E2" s="1154" t="s">
        <v>690</v>
      </c>
      <c r="F2" s="1154" t="s">
        <v>692</v>
      </c>
      <c r="G2" s="1154" t="s">
        <v>693</v>
      </c>
      <c r="H2" s="1154" t="s">
        <v>535</v>
      </c>
    </row>
    <row r="3" spans="1:8">
      <c r="B3" t="s">
        <v>746</v>
      </c>
      <c r="C3">
        <v>5.1390000000000002</v>
      </c>
      <c r="D3" s="1148">
        <f>C3*365</f>
        <v>1875.7350000000001</v>
      </c>
      <c r="E3">
        <v>1.63</v>
      </c>
      <c r="F3">
        <v>1.55</v>
      </c>
      <c r="G3">
        <v>0.05</v>
      </c>
      <c r="H3" t="s">
        <v>796</v>
      </c>
    </row>
    <row r="4" spans="1:8">
      <c r="B4" t="s">
        <v>331</v>
      </c>
      <c r="C4">
        <v>4.7699999999999996</v>
      </c>
      <c r="D4" s="1148">
        <f>C4*365</f>
        <v>1741.05</v>
      </c>
      <c r="E4">
        <v>1.46</v>
      </c>
      <c r="F4">
        <v>0.48</v>
      </c>
      <c r="G4">
        <v>0.15</v>
      </c>
      <c r="H4" t="s">
        <v>747</v>
      </c>
    </row>
    <row r="5" spans="1:8">
      <c r="B5" s="1156" t="s">
        <v>332</v>
      </c>
      <c r="C5" s="1156">
        <v>5.23</v>
      </c>
      <c r="D5" s="1157">
        <f>C5*CoreData!F8</f>
        <v>1914.18</v>
      </c>
      <c r="E5" s="1156">
        <v>1.19</v>
      </c>
      <c r="F5" s="1156">
        <v>0.55000000000000004</v>
      </c>
      <c r="G5" s="1156">
        <v>0.03</v>
      </c>
      <c r="H5" t="s">
        <v>671</v>
      </c>
    </row>
  </sheetData>
  <phoneticPr fontId="5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E9"/>
  <sheetViews>
    <sheetView zoomScale="85" zoomScaleNormal="85" workbookViewId="0">
      <selection activeCell="C5" sqref="C5"/>
    </sheetView>
  </sheetViews>
  <sheetFormatPr defaultColWidth="8.85546875" defaultRowHeight="15"/>
  <cols>
    <col min="1" max="1" width="28" bestFit="1" customWidth="1"/>
    <col min="2" max="2" width="31.42578125" style="289" customWidth="1"/>
    <col min="3" max="3" width="42" customWidth="1"/>
    <col min="4" max="4" width="49.5703125" customWidth="1"/>
    <col min="5" max="5" width="43.42578125" customWidth="1"/>
  </cols>
  <sheetData>
    <row r="1" spans="1:5" ht="15.75" customHeight="1">
      <c r="A1" t="s">
        <v>803</v>
      </c>
      <c r="B1" s="290"/>
    </row>
    <row r="2" spans="1:5" ht="21.6" customHeight="1">
      <c r="A2" s="850" t="s">
        <v>346</v>
      </c>
      <c r="B2" s="849" t="s">
        <v>454</v>
      </c>
      <c r="C2" s="849" t="s">
        <v>535</v>
      </c>
      <c r="D2" s="1246" t="s">
        <v>536</v>
      </c>
    </row>
    <row r="3" spans="1:5">
      <c r="A3" s="569" t="s">
        <v>330</v>
      </c>
      <c r="B3" s="571">
        <v>0.89400000000000002</v>
      </c>
      <c r="C3" s="1245" t="s">
        <v>537</v>
      </c>
      <c r="D3" t="s">
        <v>538</v>
      </c>
    </row>
    <row r="4" spans="1:5">
      <c r="A4" s="1006" t="s">
        <v>331</v>
      </c>
      <c r="B4" s="1007">
        <v>0.90559999999999996</v>
      </c>
      <c r="C4" s="1245" t="s">
        <v>611</v>
      </c>
      <c r="D4" t="s">
        <v>601</v>
      </c>
    </row>
    <row r="5" spans="1:5" ht="30">
      <c r="A5" s="1009" t="s">
        <v>332</v>
      </c>
      <c r="B5" s="1010">
        <v>0.9</v>
      </c>
      <c r="C5" s="1247" t="s">
        <v>802</v>
      </c>
      <c r="D5" t="s">
        <v>680</v>
      </c>
      <c r="E5" s="1008"/>
    </row>
    <row r="6" spans="1:5">
      <c r="A6" s="569" t="s">
        <v>333</v>
      </c>
      <c r="B6" s="570">
        <f t="shared" ref="B6:B9" si="0">B5</f>
        <v>0.9</v>
      </c>
    </row>
    <row r="7" spans="1:5">
      <c r="A7" s="569" t="s">
        <v>334</v>
      </c>
      <c r="B7" s="570">
        <f t="shared" si="0"/>
        <v>0.9</v>
      </c>
    </row>
    <row r="8" spans="1:5">
      <c r="A8" s="569" t="s">
        <v>335</v>
      </c>
      <c r="B8" s="570">
        <f t="shared" si="0"/>
        <v>0.9</v>
      </c>
    </row>
    <row r="9" spans="1:5">
      <c r="A9" s="569" t="s">
        <v>336</v>
      </c>
      <c r="B9" s="570">
        <f t="shared" si="0"/>
        <v>0.9</v>
      </c>
    </row>
  </sheetData>
  <phoneticPr fontId="5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144"/>
  <sheetViews>
    <sheetView topLeftCell="A98" zoomScale="55" zoomScaleNormal="55" workbookViewId="0">
      <selection activeCell="I135" sqref="I135"/>
    </sheetView>
  </sheetViews>
  <sheetFormatPr defaultColWidth="8.85546875" defaultRowHeight="15"/>
  <cols>
    <col min="3" max="3" width="9"/>
    <col min="4" max="4" width="9.85546875" bestFit="1" customWidth="1"/>
    <col min="5" max="5" width="20.28515625" customWidth="1"/>
    <col min="6" max="6" width="13.7109375" customWidth="1"/>
  </cols>
  <sheetData>
    <row r="1" spans="1:7">
      <c r="C1" t="s">
        <v>91</v>
      </c>
      <c r="D1" t="s">
        <v>449</v>
      </c>
    </row>
    <row r="2" spans="1:7">
      <c r="A2" s="335">
        <v>2013</v>
      </c>
      <c r="B2" s="328" t="s">
        <v>94</v>
      </c>
      <c r="C2" s="328">
        <v>1</v>
      </c>
      <c r="D2" s="329">
        <v>2707</v>
      </c>
      <c r="E2" s="651"/>
      <c r="F2" t="s">
        <v>451</v>
      </c>
    </row>
    <row r="3" spans="1:7">
      <c r="A3" s="335">
        <v>2013</v>
      </c>
      <c r="B3" s="328" t="s">
        <v>95</v>
      </c>
      <c r="C3" s="328">
        <v>2</v>
      </c>
      <c r="D3" s="329">
        <v>3447</v>
      </c>
      <c r="E3" s="651"/>
      <c r="F3" t="s">
        <v>448</v>
      </c>
      <c r="G3">
        <f>SLOPE(D2:D73,C2:C73)</f>
        <v>-24.916152164126309</v>
      </c>
    </row>
    <row r="4" spans="1:7">
      <c r="A4" s="335">
        <v>2013</v>
      </c>
      <c r="B4" s="328" t="s">
        <v>96</v>
      </c>
      <c r="C4" s="328">
        <v>3</v>
      </c>
      <c r="D4" s="329">
        <v>4511</v>
      </c>
      <c r="E4" s="651"/>
      <c r="F4" t="s">
        <v>450</v>
      </c>
      <c r="G4">
        <f>INTERCEPT(D2:D73,C2:C73)</f>
        <v>4890.6201095461656</v>
      </c>
    </row>
    <row r="5" spans="1:7">
      <c r="A5" s="335">
        <v>2013</v>
      </c>
      <c r="B5" s="328" t="s">
        <v>97</v>
      </c>
      <c r="C5" s="328">
        <v>4</v>
      </c>
      <c r="D5" s="329">
        <v>4295</v>
      </c>
      <c r="E5" s="651"/>
    </row>
    <row r="6" spans="1:7">
      <c r="A6" s="335">
        <v>2013</v>
      </c>
      <c r="B6" s="328" t="s">
        <v>98</v>
      </c>
      <c r="C6" s="328">
        <v>5</v>
      </c>
      <c r="D6" s="329">
        <v>4978</v>
      </c>
      <c r="E6" s="651"/>
    </row>
    <row r="7" spans="1:7">
      <c r="A7" s="335">
        <v>2013</v>
      </c>
      <c r="B7" s="328" t="s">
        <v>99</v>
      </c>
      <c r="C7" s="328">
        <v>6</v>
      </c>
      <c r="D7" s="329">
        <v>4195</v>
      </c>
      <c r="E7" s="651"/>
    </row>
    <row r="8" spans="1:7">
      <c r="A8" s="335">
        <v>2013</v>
      </c>
      <c r="B8" s="328" t="s">
        <v>100</v>
      </c>
      <c r="C8" s="328">
        <v>7</v>
      </c>
      <c r="D8" s="329">
        <v>3522</v>
      </c>
      <c r="E8" s="651"/>
    </row>
    <row r="9" spans="1:7">
      <c r="A9" s="335">
        <v>2013</v>
      </c>
      <c r="B9" s="328" t="s">
        <v>101</v>
      </c>
      <c r="C9" s="328">
        <v>8</v>
      </c>
      <c r="D9" s="329">
        <v>7567</v>
      </c>
      <c r="E9" s="651"/>
    </row>
    <row r="10" spans="1:7">
      <c r="A10" s="335">
        <v>2013</v>
      </c>
      <c r="B10" s="328" t="s">
        <v>102</v>
      </c>
      <c r="C10" s="328">
        <v>9</v>
      </c>
      <c r="D10" s="329">
        <v>4135</v>
      </c>
      <c r="E10" s="651"/>
    </row>
    <row r="11" spans="1:7">
      <c r="A11" s="335">
        <v>2013</v>
      </c>
      <c r="B11" s="328" t="s">
        <v>103</v>
      </c>
      <c r="C11" s="328">
        <v>10</v>
      </c>
      <c r="D11" s="329">
        <v>4322</v>
      </c>
      <c r="E11" s="651"/>
    </row>
    <row r="12" spans="1:7">
      <c r="A12" s="335">
        <v>2013</v>
      </c>
      <c r="B12" s="328" t="s">
        <v>104</v>
      </c>
      <c r="C12" s="328">
        <v>11</v>
      </c>
      <c r="D12" s="329">
        <v>10373</v>
      </c>
      <c r="E12" s="651"/>
    </row>
    <row r="13" spans="1:7">
      <c r="A13" s="335">
        <v>2013</v>
      </c>
      <c r="B13" s="328" t="s">
        <v>93</v>
      </c>
      <c r="C13" s="328">
        <v>12</v>
      </c>
      <c r="D13" s="329">
        <v>7484</v>
      </c>
      <c r="E13" s="651"/>
    </row>
    <row r="14" spans="1:7">
      <c r="A14" s="335">
        <v>2014</v>
      </c>
      <c r="B14" s="328" t="s">
        <v>94</v>
      </c>
      <c r="C14" s="328">
        <v>13</v>
      </c>
      <c r="D14" s="329">
        <v>4151</v>
      </c>
      <c r="E14" s="651"/>
    </row>
    <row r="15" spans="1:7">
      <c r="A15" s="335">
        <v>2014</v>
      </c>
      <c r="B15" s="328" t="s">
        <v>95</v>
      </c>
      <c r="C15" s="328">
        <v>14</v>
      </c>
      <c r="D15" s="329">
        <v>5186</v>
      </c>
      <c r="E15" s="651"/>
    </row>
    <row r="16" spans="1:7">
      <c r="A16" s="335">
        <v>2014</v>
      </c>
      <c r="B16" s="328" t="s">
        <v>96</v>
      </c>
      <c r="C16" s="328">
        <v>15</v>
      </c>
      <c r="D16" s="329">
        <v>4709</v>
      </c>
      <c r="E16" s="651"/>
    </row>
    <row r="17" spans="1:5">
      <c r="A17" s="335">
        <v>2014</v>
      </c>
      <c r="B17" s="328" t="s">
        <v>97</v>
      </c>
      <c r="C17" s="328">
        <v>16</v>
      </c>
      <c r="D17" s="329">
        <v>3521</v>
      </c>
      <c r="E17" s="651"/>
    </row>
    <row r="18" spans="1:5">
      <c r="A18" s="335">
        <v>2014</v>
      </c>
      <c r="B18" s="328" t="s">
        <v>98</v>
      </c>
      <c r="C18" s="328">
        <v>17</v>
      </c>
      <c r="D18" s="329">
        <v>2337</v>
      </c>
      <c r="E18" s="651"/>
    </row>
    <row r="19" spans="1:5">
      <c r="A19" s="335">
        <v>2014</v>
      </c>
      <c r="B19" s="328" t="s">
        <v>99</v>
      </c>
      <c r="C19" s="328">
        <v>18</v>
      </c>
      <c r="D19" s="329">
        <v>4702</v>
      </c>
      <c r="E19" s="651"/>
    </row>
    <row r="20" spans="1:5">
      <c r="A20" s="335">
        <v>2014</v>
      </c>
      <c r="B20" s="328" t="s">
        <v>100</v>
      </c>
      <c r="C20" s="328">
        <v>19</v>
      </c>
      <c r="D20" s="329">
        <v>5145</v>
      </c>
      <c r="E20" s="651"/>
    </row>
    <row r="21" spans="1:5">
      <c r="A21" s="335">
        <v>2014</v>
      </c>
      <c r="B21" s="328" t="s">
        <v>101</v>
      </c>
      <c r="C21" s="328">
        <v>20</v>
      </c>
      <c r="D21" s="329">
        <v>6848</v>
      </c>
      <c r="E21" s="651"/>
    </row>
    <row r="22" spans="1:5">
      <c r="A22" s="335">
        <v>2014</v>
      </c>
      <c r="B22" s="328" t="s">
        <v>102</v>
      </c>
      <c r="C22" s="328">
        <v>21</v>
      </c>
      <c r="D22" s="329">
        <v>2469</v>
      </c>
      <c r="E22" s="651"/>
    </row>
    <row r="23" spans="1:5">
      <c r="A23" s="335">
        <v>2014</v>
      </c>
      <c r="B23" s="328" t="s">
        <v>103</v>
      </c>
      <c r="C23" s="328">
        <v>22</v>
      </c>
      <c r="D23" s="329">
        <v>2777</v>
      </c>
      <c r="E23" s="651"/>
    </row>
    <row r="24" spans="1:5">
      <c r="A24" s="335">
        <v>2014</v>
      </c>
      <c r="B24" s="328" t="s">
        <v>104</v>
      </c>
      <c r="C24" s="328">
        <v>23</v>
      </c>
      <c r="D24" s="329">
        <v>2216</v>
      </c>
      <c r="E24" s="651"/>
    </row>
    <row r="25" spans="1:5">
      <c r="A25" s="335">
        <v>2014</v>
      </c>
      <c r="B25" s="328" t="s">
        <v>93</v>
      </c>
      <c r="C25" s="328">
        <v>24</v>
      </c>
      <c r="D25" s="329">
        <v>4413</v>
      </c>
      <c r="E25" s="651"/>
    </row>
    <row r="26" spans="1:5">
      <c r="A26" s="335">
        <v>2015</v>
      </c>
      <c r="B26" s="328" t="s">
        <v>94</v>
      </c>
      <c r="C26" s="328">
        <v>25</v>
      </c>
      <c r="D26" s="329">
        <v>3234</v>
      </c>
      <c r="E26" s="651"/>
    </row>
    <row r="27" spans="1:5">
      <c r="A27" s="335">
        <v>2015</v>
      </c>
      <c r="B27" s="328" t="s">
        <v>95</v>
      </c>
      <c r="C27" s="328">
        <v>26</v>
      </c>
      <c r="D27" s="329">
        <v>4178</v>
      </c>
      <c r="E27" s="651"/>
    </row>
    <row r="28" spans="1:5">
      <c r="A28" s="335">
        <v>2015</v>
      </c>
      <c r="B28" s="328" t="s">
        <v>96</v>
      </c>
      <c r="C28" s="328">
        <v>27</v>
      </c>
      <c r="D28" s="329">
        <v>3932</v>
      </c>
      <c r="E28" s="651"/>
    </row>
    <row r="29" spans="1:5">
      <c r="A29" s="335">
        <v>2015</v>
      </c>
      <c r="B29" s="328" t="s">
        <v>97</v>
      </c>
      <c r="C29" s="328">
        <v>28</v>
      </c>
      <c r="D29" s="329">
        <v>1735</v>
      </c>
      <c r="E29" s="651"/>
    </row>
    <row r="30" spans="1:5">
      <c r="A30" s="335">
        <v>2015</v>
      </c>
      <c r="B30" s="328" t="s">
        <v>98</v>
      </c>
      <c r="C30" s="328">
        <v>29</v>
      </c>
      <c r="D30" s="329">
        <v>3697</v>
      </c>
      <c r="E30" s="651"/>
    </row>
    <row r="31" spans="1:5">
      <c r="A31" s="335">
        <v>2015</v>
      </c>
      <c r="B31" s="328" t="s">
        <v>99</v>
      </c>
      <c r="C31" s="328">
        <v>30</v>
      </c>
      <c r="D31" s="329">
        <v>5191</v>
      </c>
      <c r="E31" s="651"/>
    </row>
    <row r="32" spans="1:5">
      <c r="A32" s="335">
        <v>2015</v>
      </c>
      <c r="B32" s="328" t="s">
        <v>100</v>
      </c>
      <c r="C32" s="328">
        <v>31</v>
      </c>
      <c r="D32" s="329">
        <v>3398</v>
      </c>
      <c r="E32" s="651"/>
    </row>
    <row r="33" spans="1:5">
      <c r="A33" s="335">
        <v>2015</v>
      </c>
      <c r="B33" s="328" t="s">
        <v>101</v>
      </c>
      <c r="C33" s="328">
        <v>32</v>
      </c>
      <c r="D33" s="329">
        <v>2951</v>
      </c>
      <c r="E33" s="651"/>
    </row>
    <row r="34" spans="1:5">
      <c r="A34" s="335">
        <v>2015</v>
      </c>
      <c r="B34" s="328" t="s">
        <v>102</v>
      </c>
      <c r="C34" s="328">
        <v>33</v>
      </c>
      <c r="D34" s="329">
        <v>3906</v>
      </c>
      <c r="E34" s="651"/>
    </row>
    <row r="35" spans="1:5">
      <c r="A35" s="335">
        <v>2015</v>
      </c>
      <c r="B35" s="328" t="s">
        <v>103</v>
      </c>
      <c r="C35" s="328">
        <v>34</v>
      </c>
      <c r="D35" s="329">
        <v>2254</v>
      </c>
      <c r="E35" s="651"/>
    </row>
    <row r="36" spans="1:5">
      <c r="A36" s="335">
        <v>2015</v>
      </c>
      <c r="B36" s="328" t="s">
        <v>104</v>
      </c>
      <c r="C36" s="328">
        <v>35</v>
      </c>
      <c r="D36" s="329">
        <v>3795</v>
      </c>
      <c r="E36" s="651"/>
    </row>
    <row r="37" spans="1:5">
      <c r="A37" s="335">
        <v>2015</v>
      </c>
      <c r="B37" s="328" t="s">
        <v>93</v>
      </c>
      <c r="C37" s="328">
        <v>36</v>
      </c>
      <c r="D37" s="329">
        <v>5009</v>
      </c>
      <c r="E37" s="651"/>
    </row>
    <row r="38" spans="1:5">
      <c r="A38" s="335">
        <v>2016</v>
      </c>
      <c r="B38" s="328" t="s">
        <v>94</v>
      </c>
      <c r="C38" s="328">
        <v>37</v>
      </c>
      <c r="D38" s="329">
        <v>3857</v>
      </c>
      <c r="E38" s="651"/>
    </row>
    <row r="39" spans="1:5">
      <c r="A39" s="335">
        <v>2016</v>
      </c>
      <c r="B39" s="328" t="s">
        <v>95</v>
      </c>
      <c r="C39" s="328">
        <v>38</v>
      </c>
      <c r="D39" s="329">
        <v>4791</v>
      </c>
      <c r="E39" s="651"/>
    </row>
    <row r="40" spans="1:5">
      <c r="A40" s="335">
        <v>2016</v>
      </c>
      <c r="B40" s="328" t="s">
        <v>96</v>
      </c>
      <c r="C40" s="328">
        <v>39</v>
      </c>
      <c r="D40" s="329">
        <v>3840</v>
      </c>
      <c r="E40" s="651"/>
    </row>
    <row r="41" spans="1:5">
      <c r="A41" s="467">
        <v>2016</v>
      </c>
      <c r="B41" s="468" t="s">
        <v>97</v>
      </c>
      <c r="C41" s="468">
        <v>40</v>
      </c>
      <c r="D41" s="469">
        <v>3079</v>
      </c>
      <c r="E41" s="651"/>
    </row>
    <row r="42" spans="1:5">
      <c r="A42" s="335">
        <v>2016</v>
      </c>
      <c r="B42" s="328" t="s">
        <v>98</v>
      </c>
      <c r="C42" s="328">
        <v>41</v>
      </c>
      <c r="D42" s="329">
        <v>4861</v>
      </c>
      <c r="E42" s="651"/>
    </row>
    <row r="43" spans="1:5">
      <c r="A43" s="335">
        <v>2016</v>
      </c>
      <c r="B43" s="328" t="s">
        <v>99</v>
      </c>
      <c r="C43" s="328">
        <v>42</v>
      </c>
      <c r="D43" s="329">
        <v>6614</v>
      </c>
      <c r="E43" s="651"/>
    </row>
    <row r="44" spans="1:5">
      <c r="A44" s="335">
        <v>2016</v>
      </c>
      <c r="B44" s="328" t="s">
        <v>100</v>
      </c>
      <c r="C44" s="328">
        <v>43</v>
      </c>
      <c r="D44" s="329">
        <v>4050</v>
      </c>
      <c r="E44" s="651"/>
    </row>
    <row r="45" spans="1:5">
      <c r="A45" s="335">
        <v>2016</v>
      </c>
      <c r="B45" s="328" t="s">
        <v>101</v>
      </c>
      <c r="C45" s="328">
        <v>44</v>
      </c>
      <c r="D45" s="329">
        <v>3577</v>
      </c>
      <c r="E45" s="651"/>
    </row>
    <row r="46" spans="1:5">
      <c r="A46" s="335">
        <v>2016</v>
      </c>
      <c r="B46" s="328" t="s">
        <v>102</v>
      </c>
      <c r="C46" s="328">
        <v>45</v>
      </c>
      <c r="D46" s="329">
        <v>5804</v>
      </c>
      <c r="E46" s="651"/>
    </row>
    <row r="47" spans="1:5">
      <c r="A47" s="335">
        <v>2016</v>
      </c>
      <c r="B47" s="328" t="s">
        <v>103</v>
      </c>
      <c r="C47" s="328">
        <v>46</v>
      </c>
      <c r="D47" s="329">
        <v>3154</v>
      </c>
      <c r="E47" s="651"/>
    </row>
    <row r="48" spans="1:5">
      <c r="A48" s="335">
        <v>2016</v>
      </c>
      <c r="B48" s="328" t="s">
        <v>104</v>
      </c>
      <c r="C48" s="328">
        <v>47</v>
      </c>
      <c r="D48" s="329">
        <v>4090</v>
      </c>
      <c r="E48" s="651"/>
    </row>
    <row r="49" spans="1:5">
      <c r="A49" s="467">
        <v>2016</v>
      </c>
      <c r="B49" s="468" t="s">
        <v>93</v>
      </c>
      <c r="C49" s="468">
        <v>48</v>
      </c>
      <c r="D49" s="469">
        <v>5674</v>
      </c>
      <c r="E49" s="651"/>
    </row>
    <row r="50" spans="1:5">
      <c r="A50" s="335">
        <v>2017</v>
      </c>
      <c r="B50" s="328" t="s">
        <v>94</v>
      </c>
      <c r="C50" s="328">
        <v>49</v>
      </c>
      <c r="D50" s="329">
        <v>7198</v>
      </c>
      <c r="E50" s="651"/>
    </row>
    <row r="51" spans="1:5">
      <c r="A51" s="335">
        <v>2017</v>
      </c>
      <c r="B51" s="328" t="s">
        <v>95</v>
      </c>
      <c r="C51" s="328">
        <v>50</v>
      </c>
      <c r="D51" s="329">
        <v>4971</v>
      </c>
      <c r="E51" s="651"/>
    </row>
    <row r="52" spans="1:5">
      <c r="A52" s="335">
        <v>2017</v>
      </c>
      <c r="B52" s="328" t="s">
        <v>96</v>
      </c>
      <c r="C52" s="328">
        <v>51</v>
      </c>
      <c r="D52" s="329">
        <v>4522</v>
      </c>
      <c r="E52" s="651"/>
    </row>
    <row r="53" spans="1:5" s="465" customFormat="1">
      <c r="A53" s="336">
        <v>2017</v>
      </c>
      <c r="B53" s="333" t="s">
        <v>97</v>
      </c>
      <c r="C53" s="333">
        <v>52</v>
      </c>
      <c r="D53" s="334">
        <v>4309</v>
      </c>
      <c r="E53" s="651"/>
    </row>
    <row r="54" spans="1:5">
      <c r="A54" s="335">
        <v>2017</v>
      </c>
      <c r="B54" s="328" t="s">
        <v>98</v>
      </c>
      <c r="C54" s="328">
        <v>53</v>
      </c>
      <c r="D54" s="470">
        <v>3512</v>
      </c>
      <c r="E54" s="652"/>
    </row>
    <row r="55" spans="1:5">
      <c r="A55" s="335">
        <v>2017</v>
      </c>
      <c r="B55" s="328" t="s">
        <v>99</v>
      </c>
      <c r="C55" s="328">
        <v>54</v>
      </c>
      <c r="D55" s="470">
        <v>2897</v>
      </c>
      <c r="E55" s="651"/>
    </row>
    <row r="56" spans="1:5">
      <c r="A56" s="335">
        <v>2017</v>
      </c>
      <c r="B56" s="328" t="s">
        <v>100</v>
      </c>
      <c r="C56" s="328">
        <v>55</v>
      </c>
      <c r="D56" s="470">
        <v>2402</v>
      </c>
      <c r="E56" s="651"/>
    </row>
    <row r="57" spans="1:5">
      <c r="A57" s="335">
        <v>2017</v>
      </c>
      <c r="B57" s="328" t="s">
        <v>101</v>
      </c>
      <c r="C57" s="328">
        <v>56</v>
      </c>
      <c r="D57" s="470">
        <v>2656</v>
      </c>
      <c r="E57" s="651"/>
    </row>
    <row r="58" spans="1:5">
      <c r="A58" s="335">
        <v>2017</v>
      </c>
      <c r="B58" s="328" t="s">
        <v>102</v>
      </c>
      <c r="C58" s="328">
        <v>57</v>
      </c>
      <c r="D58" s="470">
        <v>3834</v>
      </c>
      <c r="E58" s="651"/>
    </row>
    <row r="59" spans="1:5">
      <c r="A59" s="335">
        <v>2017</v>
      </c>
      <c r="B59" s="328" t="s">
        <v>103</v>
      </c>
      <c r="C59" s="328">
        <v>58</v>
      </c>
      <c r="D59" s="470">
        <v>5672</v>
      </c>
      <c r="E59" s="651"/>
    </row>
    <row r="60" spans="1:5">
      <c r="A60" s="467">
        <v>2017</v>
      </c>
      <c r="B60" s="468" t="s">
        <v>104</v>
      </c>
      <c r="C60" s="328">
        <v>59</v>
      </c>
      <c r="D60" s="470">
        <v>2424</v>
      </c>
      <c r="E60" s="651"/>
    </row>
    <row r="61" spans="1:5">
      <c r="A61" s="471">
        <v>2017</v>
      </c>
      <c r="B61" s="472" t="s">
        <v>93</v>
      </c>
      <c r="C61" s="333">
        <v>60</v>
      </c>
      <c r="D61" s="509">
        <v>3788</v>
      </c>
      <c r="E61" s="651"/>
    </row>
    <row r="62" spans="1:5">
      <c r="A62" s="335">
        <v>2018</v>
      </c>
      <c r="B62" s="328" t="s">
        <v>94</v>
      </c>
      <c r="C62" s="328">
        <v>61</v>
      </c>
      <c r="D62" s="470">
        <v>1857</v>
      </c>
      <c r="E62" s="651"/>
    </row>
    <row r="63" spans="1:5">
      <c r="A63" s="335">
        <v>2018</v>
      </c>
      <c r="B63" s="328" t="s">
        <v>95</v>
      </c>
      <c r="C63" s="328">
        <v>62</v>
      </c>
      <c r="D63" s="470">
        <v>1429</v>
      </c>
      <c r="E63" s="651"/>
    </row>
    <row r="64" spans="1:5">
      <c r="A64" s="335">
        <v>2018</v>
      </c>
      <c r="B64" s="328" t="s">
        <v>96</v>
      </c>
      <c r="C64" s="328">
        <v>63</v>
      </c>
      <c r="D64" s="470">
        <v>2944</v>
      </c>
      <c r="E64" s="651"/>
    </row>
    <row r="65" spans="1:5">
      <c r="A65" s="335">
        <v>2018</v>
      </c>
      <c r="B65" s="328" t="s">
        <v>97</v>
      </c>
      <c r="C65" s="328">
        <v>64</v>
      </c>
      <c r="D65" s="470">
        <v>928</v>
      </c>
      <c r="E65" s="651"/>
    </row>
    <row r="66" spans="1:5">
      <c r="A66" s="335">
        <v>2018</v>
      </c>
      <c r="B66" s="328" t="s">
        <v>98</v>
      </c>
      <c r="C66" s="328">
        <v>65</v>
      </c>
      <c r="D66" s="470">
        <v>1387</v>
      </c>
      <c r="E66" s="651"/>
    </row>
    <row r="67" spans="1:5">
      <c r="A67" s="335">
        <v>2018</v>
      </c>
      <c r="B67" s="328" t="s">
        <v>99</v>
      </c>
      <c r="C67" s="328">
        <v>66</v>
      </c>
      <c r="D67" s="470">
        <v>3117</v>
      </c>
      <c r="E67" s="651"/>
    </row>
    <row r="68" spans="1:5">
      <c r="A68" s="335">
        <v>2018</v>
      </c>
      <c r="B68" s="328" t="s">
        <v>100</v>
      </c>
      <c r="C68" s="328">
        <v>67</v>
      </c>
      <c r="D68" s="470">
        <v>1468</v>
      </c>
      <c r="E68" s="651"/>
    </row>
    <row r="69" spans="1:5">
      <c r="A69" s="335">
        <v>2018</v>
      </c>
      <c r="B69" s="328" t="s">
        <v>101</v>
      </c>
      <c r="C69" s="328">
        <v>68</v>
      </c>
      <c r="D69" s="470">
        <v>3826</v>
      </c>
      <c r="E69" s="651"/>
    </row>
    <row r="70" spans="1:5">
      <c r="A70" s="335">
        <v>2018</v>
      </c>
      <c r="B70" s="328" t="s">
        <v>102</v>
      </c>
      <c r="C70" s="328">
        <v>69</v>
      </c>
      <c r="D70" s="470">
        <v>4648</v>
      </c>
      <c r="E70" s="651"/>
    </row>
    <row r="71" spans="1:5">
      <c r="A71" s="335">
        <v>2018</v>
      </c>
      <c r="B71" s="328" t="s">
        <v>103</v>
      </c>
      <c r="C71" s="328">
        <v>70</v>
      </c>
      <c r="D71" s="470">
        <v>2822</v>
      </c>
      <c r="E71" s="651"/>
    </row>
    <row r="72" spans="1:5">
      <c r="A72" s="335">
        <v>2018</v>
      </c>
      <c r="B72" s="328" t="s">
        <v>104</v>
      </c>
      <c r="C72" s="328">
        <v>71</v>
      </c>
      <c r="D72" s="470">
        <v>3409</v>
      </c>
      <c r="E72" s="651"/>
    </row>
    <row r="73" spans="1:5">
      <c r="A73" s="336">
        <v>2018</v>
      </c>
      <c r="B73" s="333" t="s">
        <v>93</v>
      </c>
      <c r="C73" s="333">
        <v>72</v>
      </c>
      <c r="D73" s="509">
        <v>3944</v>
      </c>
      <c r="E73" s="854"/>
    </row>
    <row r="74" spans="1:5">
      <c r="A74" s="335">
        <v>2019</v>
      </c>
      <c r="B74" s="328" t="s">
        <v>94</v>
      </c>
      <c r="C74" s="328">
        <v>73</v>
      </c>
      <c r="D74">
        <v>3299</v>
      </c>
      <c r="E74" s="854"/>
    </row>
    <row r="75" spans="1:5">
      <c r="A75" s="335">
        <v>2019</v>
      </c>
      <c r="B75" s="328" t="s">
        <v>95</v>
      </c>
      <c r="C75" s="328">
        <v>74</v>
      </c>
      <c r="D75">
        <v>4190</v>
      </c>
      <c r="E75" s="651"/>
    </row>
    <row r="76" spans="1:5">
      <c r="A76" s="335">
        <v>2019</v>
      </c>
      <c r="B76" s="328" t="s">
        <v>96</v>
      </c>
      <c r="C76" s="328">
        <v>75</v>
      </c>
      <c r="D76">
        <v>2244</v>
      </c>
      <c r="E76" s="651"/>
    </row>
    <row r="77" spans="1:5">
      <c r="A77" s="335">
        <v>2019</v>
      </c>
      <c r="B77" s="328" t="s">
        <v>97</v>
      </c>
      <c r="C77" s="328">
        <v>76</v>
      </c>
      <c r="D77">
        <v>2808</v>
      </c>
      <c r="E77" s="651"/>
    </row>
    <row r="78" spans="1:5">
      <c r="A78" s="335">
        <v>2019</v>
      </c>
      <c r="B78" s="328" t="s">
        <v>98</v>
      </c>
      <c r="C78" s="328">
        <v>77</v>
      </c>
      <c r="D78">
        <v>3883</v>
      </c>
      <c r="E78" s="651"/>
    </row>
    <row r="79" spans="1:5">
      <c r="A79" s="335">
        <v>2019</v>
      </c>
      <c r="B79" s="328" t="s">
        <v>99</v>
      </c>
      <c r="C79" s="328">
        <v>78</v>
      </c>
      <c r="D79">
        <v>3410</v>
      </c>
      <c r="E79" s="651"/>
    </row>
    <row r="80" spans="1:5">
      <c r="A80" s="335">
        <v>2019</v>
      </c>
      <c r="B80" s="328" t="s">
        <v>100</v>
      </c>
      <c r="C80" s="328">
        <v>79</v>
      </c>
      <c r="D80">
        <v>2752</v>
      </c>
      <c r="E80" s="651"/>
    </row>
    <row r="81" spans="1:5">
      <c r="A81" s="335">
        <v>2019</v>
      </c>
      <c r="B81" s="328" t="s">
        <v>101</v>
      </c>
      <c r="C81" s="328">
        <v>80</v>
      </c>
      <c r="D81">
        <v>2910</v>
      </c>
      <c r="E81" s="651"/>
    </row>
    <row r="82" spans="1:5">
      <c r="A82" s="335">
        <v>2019</v>
      </c>
      <c r="B82" s="328" t="s">
        <v>102</v>
      </c>
      <c r="C82" s="328">
        <v>81</v>
      </c>
      <c r="D82">
        <v>2079</v>
      </c>
      <c r="E82" s="651"/>
    </row>
    <row r="83" spans="1:5">
      <c r="A83" s="335">
        <v>2019</v>
      </c>
      <c r="B83" s="328" t="s">
        <v>103</v>
      </c>
      <c r="C83" s="328">
        <v>82</v>
      </c>
      <c r="D83">
        <v>3907</v>
      </c>
      <c r="E83" s="652" t="s">
        <v>495</v>
      </c>
    </row>
    <row r="84" spans="1:5">
      <c r="A84" s="335">
        <v>2019</v>
      </c>
      <c r="B84" s="328" t="s">
        <v>104</v>
      </c>
      <c r="C84" s="328">
        <v>83</v>
      </c>
      <c r="D84">
        <v>1815</v>
      </c>
      <c r="E84" s="651"/>
    </row>
    <row r="85" spans="1:5">
      <c r="A85" s="336">
        <v>2019</v>
      </c>
      <c r="B85" s="333" t="s">
        <v>93</v>
      </c>
      <c r="C85" s="333">
        <v>84</v>
      </c>
      <c r="D85" s="465">
        <v>1764</v>
      </c>
      <c r="E85" s="651"/>
    </row>
    <row r="86" spans="1:5">
      <c r="A86" s="335">
        <v>2020</v>
      </c>
      <c r="B86" s="328" t="s">
        <v>94</v>
      </c>
      <c r="C86" s="328">
        <v>85</v>
      </c>
      <c r="D86" s="1001">
        <v>2219</v>
      </c>
      <c r="E86" s="1334" t="s">
        <v>663</v>
      </c>
    </row>
    <row r="87" spans="1:5">
      <c r="A87" s="335">
        <v>2020</v>
      </c>
      <c r="B87" s="328" t="s">
        <v>95</v>
      </c>
      <c r="C87" s="328">
        <v>86</v>
      </c>
      <c r="D87" s="1001">
        <v>3023</v>
      </c>
      <c r="E87" s="1335"/>
    </row>
    <row r="88" spans="1:5">
      <c r="A88" s="335">
        <v>2020</v>
      </c>
      <c r="B88" s="328" t="s">
        <v>96</v>
      </c>
      <c r="C88" s="328">
        <v>87</v>
      </c>
      <c r="D88" s="1001">
        <v>2003</v>
      </c>
      <c r="E88" s="1335"/>
    </row>
    <row r="89" spans="1:5">
      <c r="A89" s="335">
        <v>2020</v>
      </c>
      <c r="B89" s="328" t="s">
        <v>97</v>
      </c>
      <c r="C89" s="328">
        <v>88</v>
      </c>
      <c r="D89" s="1001">
        <v>1800</v>
      </c>
      <c r="E89" s="1335"/>
    </row>
    <row r="90" spans="1:5">
      <c r="A90" s="335">
        <v>2020</v>
      </c>
      <c r="B90" s="328" t="s">
        <v>98</v>
      </c>
      <c r="C90" s="328">
        <v>89</v>
      </c>
      <c r="D90" s="1001">
        <v>2099</v>
      </c>
      <c r="E90" s="1335"/>
    </row>
    <row r="91" spans="1:5">
      <c r="A91" s="335">
        <v>2020</v>
      </c>
      <c r="B91" s="328" t="s">
        <v>99</v>
      </c>
      <c r="C91" s="328">
        <v>90</v>
      </c>
      <c r="D91" s="1001">
        <v>2111</v>
      </c>
      <c r="E91" s="1335"/>
    </row>
    <row r="92" spans="1:5">
      <c r="A92" s="335">
        <v>2020</v>
      </c>
      <c r="B92" s="328" t="s">
        <v>100</v>
      </c>
      <c r="C92" s="328">
        <v>91</v>
      </c>
      <c r="D92" s="1001">
        <v>2234</v>
      </c>
      <c r="E92" s="1335"/>
    </row>
    <row r="93" spans="1:5">
      <c r="A93" s="335">
        <v>2020</v>
      </c>
      <c r="B93" s="328" t="s">
        <v>101</v>
      </c>
      <c r="C93" s="328">
        <v>92</v>
      </c>
      <c r="D93" s="1002">
        <v>2245</v>
      </c>
      <c r="E93" s="1335"/>
    </row>
    <row r="94" spans="1:5">
      <c r="A94" s="335">
        <v>2020</v>
      </c>
      <c r="B94" s="328" t="s">
        <v>102</v>
      </c>
      <c r="C94" s="328">
        <v>93</v>
      </c>
      <c r="D94" s="1002">
        <v>5207</v>
      </c>
      <c r="E94" s="1335"/>
    </row>
    <row r="95" spans="1:5">
      <c r="A95" s="335">
        <v>2020</v>
      </c>
      <c r="B95" s="328" t="s">
        <v>103</v>
      </c>
      <c r="C95" s="328">
        <v>94</v>
      </c>
      <c r="D95" s="1002">
        <v>1510</v>
      </c>
      <c r="E95" s="1335"/>
    </row>
    <row r="96" spans="1:5">
      <c r="A96" s="335">
        <v>2020</v>
      </c>
      <c r="B96" s="328" t="s">
        <v>104</v>
      </c>
      <c r="C96" s="328">
        <v>95</v>
      </c>
      <c r="D96" s="1002">
        <v>1983</v>
      </c>
      <c r="E96" s="1335"/>
    </row>
    <row r="97" spans="1:5">
      <c r="A97" s="336">
        <v>2020</v>
      </c>
      <c r="B97" s="333" t="s">
        <v>93</v>
      </c>
      <c r="C97" s="328">
        <v>96</v>
      </c>
      <c r="D97" s="1002">
        <v>7312</v>
      </c>
      <c r="E97" s="1336"/>
    </row>
    <row r="98" spans="1:5">
      <c r="A98" s="335">
        <v>2021</v>
      </c>
      <c r="B98" s="328" t="s">
        <v>94</v>
      </c>
      <c r="C98" s="328">
        <v>97</v>
      </c>
      <c r="D98" s="764">
        <v>4200</v>
      </c>
      <c r="E98" s="49" t="s">
        <v>530</v>
      </c>
    </row>
    <row r="99" spans="1:5">
      <c r="A99" s="335">
        <v>2021</v>
      </c>
      <c r="B99" s="328" t="s">
        <v>95</v>
      </c>
      <c r="C99" s="328">
        <v>98</v>
      </c>
      <c r="D99" s="764">
        <v>4200</v>
      </c>
      <c r="E99" s="466"/>
    </row>
    <row r="100" spans="1:5">
      <c r="A100" s="335">
        <v>2021</v>
      </c>
      <c r="B100" s="328" t="s">
        <v>96</v>
      </c>
      <c r="C100" s="328">
        <v>99</v>
      </c>
      <c r="D100" s="764">
        <v>3500</v>
      </c>
      <c r="E100" s="466"/>
    </row>
    <row r="101" spans="1:5">
      <c r="A101" s="335">
        <v>2021</v>
      </c>
      <c r="B101" s="328" t="s">
        <v>97</v>
      </c>
      <c r="C101" s="328">
        <v>100</v>
      </c>
      <c r="D101" s="764">
        <v>2800</v>
      </c>
      <c r="E101" s="466"/>
    </row>
    <row r="102" spans="1:5">
      <c r="A102" s="335">
        <v>2021</v>
      </c>
      <c r="B102" s="328" t="s">
        <v>98</v>
      </c>
      <c r="C102" s="328">
        <v>101</v>
      </c>
      <c r="D102" s="764">
        <v>3000</v>
      </c>
      <c r="E102" s="466"/>
    </row>
    <row r="103" spans="1:5">
      <c r="A103" s="335">
        <v>2021</v>
      </c>
      <c r="B103" s="328" t="s">
        <v>99</v>
      </c>
      <c r="C103" s="328">
        <v>102</v>
      </c>
      <c r="D103" s="764">
        <v>3200</v>
      </c>
      <c r="E103" s="466"/>
    </row>
    <row r="104" spans="1:5">
      <c r="A104" s="335">
        <v>2021</v>
      </c>
      <c r="B104" s="328" t="s">
        <v>100</v>
      </c>
      <c r="C104" s="328">
        <v>103</v>
      </c>
      <c r="D104" s="764">
        <v>3500</v>
      </c>
      <c r="E104" s="466"/>
    </row>
    <row r="105" spans="1:5">
      <c r="A105" s="335">
        <v>2021</v>
      </c>
      <c r="B105" s="328" t="s">
        <v>101</v>
      </c>
      <c r="C105" s="328">
        <v>104</v>
      </c>
      <c r="D105" s="764">
        <v>3500</v>
      </c>
      <c r="E105" s="466"/>
    </row>
    <row r="106" spans="1:5">
      <c r="A106" s="335">
        <v>2021</v>
      </c>
      <c r="B106" s="328" t="s">
        <v>102</v>
      </c>
      <c r="C106" s="328">
        <v>105</v>
      </c>
      <c r="D106" s="764">
        <v>3800</v>
      </c>
      <c r="E106" s="466"/>
    </row>
    <row r="107" spans="1:5">
      <c r="A107" s="335">
        <v>2021</v>
      </c>
      <c r="B107" s="328" t="s">
        <v>103</v>
      </c>
      <c r="C107" s="328">
        <v>106</v>
      </c>
      <c r="D107" s="764">
        <v>3800</v>
      </c>
      <c r="E107" s="466"/>
    </row>
    <row r="108" spans="1:5">
      <c r="A108" s="335">
        <v>2021</v>
      </c>
      <c r="B108" s="328" t="s">
        <v>104</v>
      </c>
      <c r="C108" s="328">
        <v>107</v>
      </c>
      <c r="D108" s="765">
        <v>4000</v>
      </c>
      <c r="E108" s="466"/>
    </row>
    <row r="109" spans="1:5">
      <c r="A109" s="336">
        <v>2021</v>
      </c>
      <c r="B109" s="333" t="s">
        <v>93</v>
      </c>
      <c r="C109" s="328">
        <v>108</v>
      </c>
      <c r="D109" s="763">
        <v>4200</v>
      </c>
      <c r="E109" s="466"/>
    </row>
    <row r="110" spans="1:5">
      <c r="A110" s="335">
        <v>2022</v>
      </c>
      <c r="B110" s="328" t="s">
        <v>94</v>
      </c>
      <c r="C110" s="328">
        <v>109</v>
      </c>
      <c r="D110" s="763">
        <v>4200</v>
      </c>
      <c r="E110" s="466"/>
    </row>
    <row r="111" spans="1:5">
      <c r="A111" s="335">
        <v>2022</v>
      </c>
      <c r="B111" s="328" t="s">
        <v>95</v>
      </c>
      <c r="C111" s="328">
        <v>110</v>
      </c>
      <c r="D111" s="763">
        <v>4200</v>
      </c>
      <c r="E111" s="466"/>
    </row>
    <row r="112" spans="1:5">
      <c r="A112" s="335">
        <v>2022</v>
      </c>
      <c r="B112" s="328" t="s">
        <v>96</v>
      </c>
      <c r="C112" s="328">
        <v>111</v>
      </c>
      <c r="D112" s="763">
        <v>3500</v>
      </c>
      <c r="E112" s="466"/>
    </row>
    <row r="113" spans="1:5">
      <c r="A113" s="335">
        <v>2022</v>
      </c>
      <c r="B113" s="328" t="s">
        <v>97</v>
      </c>
      <c r="C113" s="328">
        <v>112</v>
      </c>
      <c r="D113" s="763">
        <v>2800</v>
      </c>
      <c r="E113" s="466"/>
    </row>
    <row r="114" spans="1:5">
      <c r="A114" s="335">
        <v>2022</v>
      </c>
      <c r="B114" s="328" t="s">
        <v>98</v>
      </c>
      <c r="C114" s="328">
        <v>113</v>
      </c>
      <c r="D114" s="763">
        <v>3000</v>
      </c>
      <c r="E114" s="466"/>
    </row>
    <row r="115" spans="1:5">
      <c r="A115" s="335">
        <v>2022</v>
      </c>
      <c r="B115" s="328" t="s">
        <v>99</v>
      </c>
      <c r="C115" s="328">
        <v>114</v>
      </c>
      <c r="D115" s="763">
        <v>3200</v>
      </c>
      <c r="E115" s="466"/>
    </row>
    <row r="116" spans="1:5">
      <c r="A116" s="335">
        <v>2022</v>
      </c>
      <c r="B116" s="328" t="s">
        <v>100</v>
      </c>
      <c r="C116" s="328">
        <v>115</v>
      </c>
      <c r="D116" s="763">
        <v>3500</v>
      </c>
      <c r="E116" s="466"/>
    </row>
    <row r="117" spans="1:5">
      <c r="A117" s="335">
        <v>2022</v>
      </c>
      <c r="B117" s="328" t="s">
        <v>101</v>
      </c>
      <c r="C117" s="328">
        <v>116</v>
      </c>
      <c r="D117" s="763">
        <v>3500</v>
      </c>
      <c r="E117" s="466"/>
    </row>
    <row r="118" spans="1:5">
      <c r="A118" s="335">
        <v>2022</v>
      </c>
      <c r="B118" s="328" t="s">
        <v>102</v>
      </c>
      <c r="C118" s="328">
        <v>117</v>
      </c>
      <c r="D118" s="763">
        <v>3800</v>
      </c>
      <c r="E118" s="466"/>
    </row>
    <row r="119" spans="1:5">
      <c r="A119" s="335">
        <v>2022</v>
      </c>
      <c r="B119" s="328" t="s">
        <v>103</v>
      </c>
      <c r="C119" s="328">
        <v>118</v>
      </c>
      <c r="D119" s="763">
        <v>3800</v>
      </c>
      <c r="E119" s="466"/>
    </row>
    <row r="120" spans="1:5">
      <c r="A120" s="335">
        <v>2022</v>
      </c>
      <c r="B120" s="328" t="s">
        <v>104</v>
      </c>
      <c r="C120" s="328">
        <v>119</v>
      </c>
      <c r="D120" s="766">
        <v>4000</v>
      </c>
      <c r="E120" s="466"/>
    </row>
    <row r="121" spans="1:5">
      <c r="A121" s="336">
        <v>2022</v>
      </c>
      <c r="B121" s="333" t="s">
        <v>93</v>
      </c>
      <c r="C121" s="328">
        <v>120</v>
      </c>
      <c r="D121" s="763">
        <v>4200</v>
      </c>
      <c r="E121" s="466"/>
    </row>
    <row r="122" spans="1:5">
      <c r="A122" s="335">
        <v>2023</v>
      </c>
      <c r="B122" s="328" t="s">
        <v>94</v>
      </c>
      <c r="C122" s="328">
        <v>121</v>
      </c>
      <c r="D122" s="763">
        <v>4200</v>
      </c>
      <c r="E122" s="466"/>
    </row>
    <row r="123" spans="1:5">
      <c r="A123" s="335">
        <v>2023</v>
      </c>
      <c r="B123" s="328" t="s">
        <v>95</v>
      </c>
      <c r="C123" s="328">
        <v>122</v>
      </c>
      <c r="D123" s="763">
        <v>4200</v>
      </c>
      <c r="E123" s="466"/>
    </row>
    <row r="124" spans="1:5">
      <c r="A124" s="335">
        <v>2023</v>
      </c>
      <c r="B124" s="328" t="s">
        <v>96</v>
      </c>
      <c r="C124" s="328">
        <v>123</v>
      </c>
      <c r="D124" s="763">
        <v>3500</v>
      </c>
      <c r="E124" s="466"/>
    </row>
    <row r="125" spans="1:5">
      <c r="A125" s="335">
        <v>2023</v>
      </c>
      <c r="B125" s="328" t="s">
        <v>97</v>
      </c>
      <c r="C125" s="328">
        <v>124</v>
      </c>
      <c r="D125" s="763">
        <v>2800</v>
      </c>
      <c r="E125" s="466"/>
    </row>
    <row r="126" spans="1:5">
      <c r="A126" s="335">
        <v>2023</v>
      </c>
      <c r="B126" s="328" t="s">
        <v>98</v>
      </c>
      <c r="C126" s="328">
        <v>125</v>
      </c>
      <c r="D126" s="763">
        <v>3000</v>
      </c>
      <c r="E126" s="466"/>
    </row>
    <row r="127" spans="1:5">
      <c r="A127" s="335">
        <v>2023</v>
      </c>
      <c r="B127" s="328" t="s">
        <v>99</v>
      </c>
      <c r="C127" s="328">
        <v>126</v>
      </c>
      <c r="D127" s="763">
        <v>3200</v>
      </c>
      <c r="E127" s="466"/>
    </row>
    <row r="128" spans="1:5">
      <c r="A128" s="335">
        <v>2023</v>
      </c>
      <c r="B128" s="328" t="s">
        <v>100</v>
      </c>
      <c r="C128" s="328">
        <v>127</v>
      </c>
      <c r="D128" s="763">
        <v>3500</v>
      </c>
      <c r="E128" s="466"/>
    </row>
    <row r="129" spans="1:5">
      <c r="A129" s="335">
        <v>2023</v>
      </c>
      <c r="B129" s="328" t="s">
        <v>101</v>
      </c>
      <c r="C129" s="328">
        <v>128</v>
      </c>
      <c r="D129" s="763">
        <v>3500</v>
      </c>
      <c r="E129" s="466"/>
    </row>
    <row r="130" spans="1:5">
      <c r="A130" s="335">
        <v>2023</v>
      </c>
      <c r="B130" s="328" t="s">
        <v>102</v>
      </c>
      <c r="C130" s="328">
        <v>129</v>
      </c>
      <c r="D130" s="763">
        <v>3800</v>
      </c>
      <c r="E130" s="466"/>
    </row>
    <row r="131" spans="1:5">
      <c r="A131" s="335">
        <v>2023</v>
      </c>
      <c r="B131" s="328" t="s">
        <v>103</v>
      </c>
      <c r="C131" s="328">
        <v>130</v>
      </c>
      <c r="D131" s="763">
        <v>3800</v>
      </c>
      <c r="E131" s="466"/>
    </row>
    <row r="132" spans="1:5">
      <c r="A132" s="335">
        <v>2023</v>
      </c>
      <c r="B132" s="328" t="s">
        <v>104</v>
      </c>
      <c r="C132" s="328">
        <v>131</v>
      </c>
      <c r="D132" s="766">
        <v>4000</v>
      </c>
      <c r="E132" s="466"/>
    </row>
    <row r="133" spans="1:5">
      <c r="A133" s="336">
        <v>2023</v>
      </c>
      <c r="B133" s="333" t="s">
        <v>93</v>
      </c>
      <c r="C133" s="328">
        <v>132</v>
      </c>
      <c r="D133" s="763">
        <v>4200</v>
      </c>
      <c r="E133" s="466"/>
    </row>
    <row r="134" spans="1:5">
      <c r="A134" s="335">
        <v>2024</v>
      </c>
      <c r="B134" s="328" t="s">
        <v>94</v>
      </c>
      <c r="C134" s="328">
        <v>133</v>
      </c>
      <c r="D134" s="763">
        <v>4200</v>
      </c>
      <c r="E134" s="466"/>
    </row>
    <row r="135" spans="1:5">
      <c r="A135" s="335">
        <v>2024</v>
      </c>
      <c r="B135" s="328" t="s">
        <v>95</v>
      </c>
      <c r="C135" s="328">
        <v>134</v>
      </c>
      <c r="D135" s="763">
        <v>4200</v>
      </c>
      <c r="E135" s="466"/>
    </row>
    <row r="136" spans="1:5">
      <c r="A136" s="335">
        <v>2024</v>
      </c>
      <c r="B136" s="328" t="s">
        <v>96</v>
      </c>
      <c r="C136" s="328">
        <v>135</v>
      </c>
      <c r="D136" s="763">
        <v>3500</v>
      </c>
      <c r="E136" s="466"/>
    </row>
    <row r="137" spans="1:5">
      <c r="A137" s="335">
        <v>2024</v>
      </c>
      <c r="B137" s="328" t="s">
        <v>97</v>
      </c>
      <c r="C137" s="328">
        <v>136</v>
      </c>
      <c r="D137" s="763">
        <v>2800</v>
      </c>
      <c r="E137" s="466"/>
    </row>
    <row r="138" spans="1:5">
      <c r="A138" s="335">
        <v>2024</v>
      </c>
      <c r="B138" s="328" t="s">
        <v>98</v>
      </c>
      <c r="C138" s="328">
        <v>137</v>
      </c>
      <c r="D138" s="763">
        <v>3000</v>
      </c>
      <c r="E138" s="466"/>
    </row>
    <row r="139" spans="1:5">
      <c r="A139" s="335">
        <v>2024</v>
      </c>
      <c r="B139" s="328" t="s">
        <v>99</v>
      </c>
      <c r="C139" s="328">
        <v>138</v>
      </c>
      <c r="D139" s="763">
        <v>3200</v>
      </c>
      <c r="E139" s="466"/>
    </row>
    <row r="140" spans="1:5">
      <c r="A140" s="335">
        <v>2024</v>
      </c>
      <c r="B140" s="328" t="s">
        <v>100</v>
      </c>
      <c r="C140" s="328">
        <v>139</v>
      </c>
      <c r="D140" s="763">
        <v>3500</v>
      </c>
      <c r="E140" s="466"/>
    </row>
    <row r="141" spans="1:5">
      <c r="A141" s="335">
        <v>2024</v>
      </c>
      <c r="B141" s="328" t="s">
        <v>101</v>
      </c>
      <c r="C141" s="328">
        <v>140</v>
      </c>
      <c r="D141" s="763">
        <v>3500</v>
      </c>
      <c r="E141" s="466"/>
    </row>
    <row r="142" spans="1:5">
      <c r="A142" s="335">
        <v>2024</v>
      </c>
      <c r="B142" s="328" t="s">
        <v>102</v>
      </c>
      <c r="C142" s="328">
        <v>141</v>
      </c>
      <c r="D142" s="763">
        <v>3800</v>
      </c>
      <c r="E142" s="466"/>
    </row>
    <row r="143" spans="1:5">
      <c r="A143" s="335">
        <v>2024</v>
      </c>
      <c r="B143" s="328" t="s">
        <v>103</v>
      </c>
      <c r="C143" s="328">
        <v>142</v>
      </c>
      <c r="D143" s="763">
        <v>3800</v>
      </c>
      <c r="E143" s="466"/>
    </row>
    <row r="144" spans="1:5">
      <c r="A144" s="336">
        <v>2024</v>
      </c>
      <c r="B144" s="333" t="s">
        <v>104</v>
      </c>
      <c r="C144" s="328">
        <v>143</v>
      </c>
      <c r="D144" s="766">
        <v>4000</v>
      </c>
      <c r="E144" s="466">
        <f>SUM(D61:D144)</f>
        <v>274974</v>
      </c>
    </row>
  </sheetData>
  <mergeCells count="1">
    <mergeCell ref="E86:E97"/>
  </mergeCells>
  <phoneticPr fontId="56" type="noConversion"/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4251-C8AD-496D-B47A-2E3B9F849EFC}">
  <sheetPr>
    <tabColor rgb="FFFFFF00"/>
  </sheetPr>
  <dimension ref="A1:J23"/>
  <sheetViews>
    <sheetView topLeftCell="C1" zoomScale="96" zoomScaleNormal="96" workbookViewId="0">
      <selection activeCell="O65" sqref="O65"/>
    </sheetView>
  </sheetViews>
  <sheetFormatPr defaultColWidth="8.85546875" defaultRowHeight="15"/>
  <cols>
    <col min="1" max="1" width="3.28515625" bestFit="1" customWidth="1"/>
    <col min="2" max="2" width="72.28515625" customWidth="1"/>
    <col min="3" max="3" width="10" style="289" customWidth="1"/>
    <col min="4" max="4" width="52.5703125" customWidth="1"/>
    <col min="5" max="5" width="11.5703125" style="289" customWidth="1"/>
    <col min="6" max="6" width="47.28515625" customWidth="1"/>
    <col min="10" max="10" width="14.140625" customWidth="1"/>
  </cols>
  <sheetData>
    <row r="1" spans="1:10">
      <c r="C1" s="1162" t="s">
        <v>331</v>
      </c>
      <c r="E1" s="1162" t="s">
        <v>332</v>
      </c>
    </row>
    <row r="2" spans="1:10">
      <c r="A2" s="560" t="s">
        <v>584</v>
      </c>
      <c r="B2" s="560"/>
      <c r="C2" s="1163" t="s">
        <v>64</v>
      </c>
      <c r="D2" s="560" t="s">
        <v>535</v>
      </c>
      <c r="E2" s="1163" t="s">
        <v>64</v>
      </c>
      <c r="F2" s="560" t="s">
        <v>535</v>
      </c>
    </row>
    <row r="3" spans="1:10">
      <c r="B3" t="s">
        <v>585</v>
      </c>
      <c r="C3" s="1164">
        <v>0.80700000000000005</v>
      </c>
      <c r="D3" t="s">
        <v>740</v>
      </c>
      <c r="E3" s="1164">
        <v>0.82099999999999995</v>
      </c>
      <c r="F3" t="s">
        <v>675</v>
      </c>
    </row>
    <row r="4" spans="1:10">
      <c r="B4" t="s">
        <v>586</v>
      </c>
      <c r="C4" s="1164">
        <f>(83.3%+98%)/2</f>
        <v>0.90649999999999997</v>
      </c>
      <c r="D4" t="s">
        <v>741</v>
      </c>
      <c r="E4" s="1164">
        <f>(94.8%+87.6%)/2</f>
        <v>0.91199999999999992</v>
      </c>
      <c r="F4" t="s">
        <v>676</v>
      </c>
    </row>
    <row r="5" spans="1:10">
      <c r="B5" t="s">
        <v>587</v>
      </c>
      <c r="C5" s="1164">
        <v>0.74</v>
      </c>
      <c r="D5" t="s">
        <v>742</v>
      </c>
      <c r="E5" s="1164">
        <v>0.75900000000000001</v>
      </c>
      <c r="F5" t="s">
        <v>677</v>
      </c>
    </row>
    <row r="6" spans="1:10">
      <c r="B6" t="s">
        <v>588</v>
      </c>
      <c r="C6" s="1164">
        <v>0.54339999999999999</v>
      </c>
      <c r="D6" t="s">
        <v>743</v>
      </c>
      <c r="E6" s="1164">
        <v>0.5625</v>
      </c>
      <c r="F6" t="s">
        <v>678</v>
      </c>
    </row>
    <row r="7" spans="1:10">
      <c r="B7" t="s">
        <v>589</v>
      </c>
      <c r="C7" s="1165">
        <f>AVERAGE(72.4%,95.9%)</f>
        <v>0.84150000000000014</v>
      </c>
      <c r="D7" t="s">
        <v>744</v>
      </c>
      <c r="E7" s="1165">
        <f>AVERAGE((70.1%+0.9%),(88.9%+3.4%))</f>
        <v>0.8165</v>
      </c>
      <c r="F7" t="s">
        <v>679</v>
      </c>
    </row>
    <row r="8" spans="1:10">
      <c r="B8" t="s">
        <v>590</v>
      </c>
      <c r="C8" s="1166">
        <v>90</v>
      </c>
      <c r="D8" t="s">
        <v>609</v>
      </c>
      <c r="E8" s="1237">
        <v>85</v>
      </c>
      <c r="F8" s="1238" t="s">
        <v>609</v>
      </c>
      <c r="G8" s="1238"/>
      <c r="H8" s="1238"/>
      <c r="I8" s="1238"/>
      <c r="J8" s="1238"/>
    </row>
    <row r="9" spans="1:10">
      <c r="B9" t="s">
        <v>686</v>
      </c>
      <c r="C9" s="1167">
        <v>91764</v>
      </c>
      <c r="D9" s="1149" t="s">
        <v>745</v>
      </c>
      <c r="E9" s="1171">
        <v>113246</v>
      </c>
      <c r="F9" t="s">
        <v>687</v>
      </c>
    </row>
    <row r="10" spans="1:10" ht="11.25" customHeight="1">
      <c r="A10" s="1153"/>
      <c r="B10" s="1153"/>
      <c r="C10" s="1167"/>
      <c r="D10" s="1149"/>
      <c r="E10" s="1171"/>
    </row>
    <row r="11" spans="1:10">
      <c r="A11" s="1153"/>
      <c r="B11" s="1160" t="s">
        <v>604</v>
      </c>
      <c r="C11" s="1168">
        <v>3.1E-2</v>
      </c>
      <c r="D11" s="1161" t="s">
        <v>608</v>
      </c>
      <c r="E11" s="1170">
        <v>1.2E-2</v>
      </c>
      <c r="F11" s="1161" t="s">
        <v>670</v>
      </c>
    </row>
    <row r="12" spans="1:10">
      <c r="A12" s="1153"/>
      <c r="B12" s="1160" t="s">
        <v>667</v>
      </c>
      <c r="C12" s="1168">
        <v>0</v>
      </c>
      <c r="D12" s="1161" t="s">
        <v>608</v>
      </c>
      <c r="E12" s="1170">
        <v>2.4E-2</v>
      </c>
      <c r="F12" s="1161" t="s">
        <v>670</v>
      </c>
    </row>
    <row r="13" spans="1:10">
      <c r="A13" s="1153"/>
      <c r="B13" s="1160" t="s">
        <v>753</v>
      </c>
      <c r="C13" s="1168">
        <v>0.50800000000000001</v>
      </c>
      <c r="D13" s="1161" t="s">
        <v>608</v>
      </c>
      <c r="E13" s="1170">
        <v>0.40500000000000003</v>
      </c>
      <c r="F13" s="1161" t="s">
        <v>670</v>
      </c>
    </row>
    <row r="14" spans="1:10">
      <c r="A14" s="1153"/>
      <c r="B14" s="1153" t="str">
        <f>Parameter_Summary!I29</f>
        <v>Percentage of Traditional Stove Users with wood in the project scenario</v>
      </c>
      <c r="C14" s="1169">
        <f>SUM(C11:C13)</f>
        <v>0.53900000000000003</v>
      </c>
      <c r="D14" s="1161" t="s">
        <v>754</v>
      </c>
      <c r="E14" s="1170">
        <f>E11+E12+E13</f>
        <v>0.44100000000000006</v>
      </c>
      <c r="F14" s="1161" t="s">
        <v>668</v>
      </c>
    </row>
    <row r="15" spans="1:10">
      <c r="A15" s="1153"/>
      <c r="B15" s="1153" t="str">
        <f>Parameter_Summary!I30</f>
        <v>Percentage of Improved Stove Users with wood in the project scenario</v>
      </c>
      <c r="C15" s="1170">
        <v>0.185</v>
      </c>
      <c r="D15" s="1161" t="s">
        <v>608</v>
      </c>
      <c r="E15" s="1170">
        <v>0.13100000000000001</v>
      </c>
      <c r="F15" s="1161" t="s">
        <v>670</v>
      </c>
    </row>
    <row r="16" spans="1:10">
      <c r="A16" s="1153"/>
      <c r="B16" s="1153" t="str">
        <f>Parameter_Summary!I31</f>
        <v>Percentage of Traditional Stove Users with charcoal in the project scenario</v>
      </c>
      <c r="C16" s="1170">
        <v>1.4999999999999999E-2</v>
      </c>
      <c r="D16" s="1161" t="s">
        <v>608</v>
      </c>
      <c r="E16" s="1170">
        <v>0</v>
      </c>
      <c r="F16" s="1161" t="s">
        <v>670</v>
      </c>
    </row>
    <row r="17" spans="1:6">
      <c r="A17" s="1153"/>
      <c r="B17" s="1153" t="str">
        <f>Parameter_Summary!I32</f>
        <v>Percentage of Improved Stove Users with charcoal in the project scenario</v>
      </c>
      <c r="C17" s="1170">
        <v>1.4999999999999999E-2</v>
      </c>
      <c r="D17" s="1161" t="s">
        <v>608</v>
      </c>
      <c r="E17" s="1170">
        <v>1.2E-2</v>
      </c>
      <c r="F17" s="1161" t="s">
        <v>670</v>
      </c>
    </row>
    <row r="18" spans="1:6">
      <c r="A18" s="1153"/>
      <c r="B18" s="1153" t="str">
        <f>Parameter_Summary!I33</f>
        <v>Percentage of LPG stove usage in the project scenario</v>
      </c>
      <c r="C18" s="1170">
        <v>0.2</v>
      </c>
      <c r="D18" s="1161" t="s">
        <v>608</v>
      </c>
      <c r="E18" s="1170">
        <f>26.2%</f>
        <v>0.26200000000000001</v>
      </c>
      <c r="F18" s="1161" t="s">
        <v>670</v>
      </c>
    </row>
    <row r="19" spans="1:6">
      <c r="A19" s="1153"/>
      <c r="B19" s="1153" t="str">
        <f>Parameter_Summary!I34</f>
        <v>Percentage of small LPG stove usage in the project scenario</v>
      </c>
      <c r="C19" s="1172">
        <v>0.38500000000000001</v>
      </c>
      <c r="D19" s="1161" t="s">
        <v>755</v>
      </c>
      <c r="E19" s="1172">
        <v>9.0999999999999998E-2</v>
      </c>
      <c r="F19" s="1161" t="s">
        <v>673</v>
      </c>
    </row>
    <row r="20" spans="1:6">
      <c r="A20" s="1153"/>
      <c r="B20" s="1153" t="str">
        <f>Parameter_Summary!I35</f>
        <v>Percentage of large LPG stove usage in the project scenario</v>
      </c>
      <c r="C20" s="1172">
        <v>0.61499999999999999</v>
      </c>
      <c r="D20" s="1161" t="s">
        <v>755</v>
      </c>
      <c r="E20" s="1172">
        <v>0.90900000000000003</v>
      </c>
      <c r="F20" s="1161" t="s">
        <v>673</v>
      </c>
    </row>
    <row r="22" spans="1:6">
      <c r="B22" s="1150"/>
    </row>
    <row r="23" spans="1:6">
      <c r="B23" s="1152"/>
      <c r="D23" s="1161"/>
      <c r="E23" s="1173"/>
    </row>
  </sheetData>
  <phoneticPr fontId="64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R199"/>
  <sheetViews>
    <sheetView topLeftCell="A19" zoomScale="106" zoomScaleNormal="106" workbookViewId="0">
      <selection activeCell="F27" sqref="F27"/>
    </sheetView>
  </sheetViews>
  <sheetFormatPr defaultColWidth="8.85546875" defaultRowHeight="15"/>
  <cols>
    <col min="1" max="1" width="11.85546875" bestFit="1" customWidth="1"/>
    <col min="2" max="2" width="19.42578125" style="755" customWidth="1"/>
    <col min="3" max="3" width="25" customWidth="1"/>
    <col min="4" max="4" width="25.42578125" customWidth="1"/>
    <col min="5" max="5" width="23.85546875" customWidth="1"/>
    <col min="6" max="6" width="27.28515625" customWidth="1"/>
    <col min="7" max="7" width="24" customWidth="1"/>
    <col min="8" max="8" width="23.85546875" bestFit="1" customWidth="1"/>
    <col min="9" max="9" width="21" customWidth="1"/>
    <col min="10" max="10" width="12.28515625" customWidth="1"/>
    <col min="11" max="11" width="22" customWidth="1"/>
    <col min="12" max="12" width="22.42578125" customWidth="1"/>
    <col min="13" max="13" width="20" customWidth="1"/>
  </cols>
  <sheetData>
    <row r="1" spans="1:18" s="661" customFormat="1">
      <c r="B1" s="742"/>
    </row>
    <row r="2" spans="1:18" s="661" customFormat="1" ht="21">
      <c r="B2" s="66" t="s">
        <v>501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62"/>
      <c r="N2" s="662"/>
      <c r="O2" s="662"/>
      <c r="P2" s="662"/>
      <c r="Q2" s="662"/>
      <c r="R2" s="662"/>
    </row>
    <row r="3" spans="1:18" s="726" customFormat="1" ht="21">
      <c r="B3" s="670" t="s">
        <v>513</v>
      </c>
      <c r="C3" s="729">
        <v>1</v>
      </c>
      <c r="E3" s="670"/>
      <c r="F3" s="670"/>
      <c r="H3" s="727"/>
      <c r="I3" s="727"/>
      <c r="J3" s="727"/>
      <c r="K3" s="727"/>
      <c r="L3" s="727"/>
    </row>
    <row r="4" spans="1:18" s="759" customFormat="1" ht="15.75" thickBot="1">
      <c r="A4" s="739">
        <v>1</v>
      </c>
      <c r="B4" s="758">
        <f>A4+1</f>
        <v>2</v>
      </c>
      <c r="C4" s="758">
        <f>B4+1</f>
        <v>3</v>
      </c>
      <c r="D4" s="758">
        <f t="shared" ref="D4:I4" si="0">C4+1</f>
        <v>4</v>
      </c>
      <c r="E4" s="758">
        <f t="shared" si="0"/>
        <v>5</v>
      </c>
      <c r="F4" s="758">
        <f t="shared" si="0"/>
        <v>6</v>
      </c>
      <c r="G4" s="758">
        <f t="shared" si="0"/>
        <v>7</v>
      </c>
      <c r="H4" s="758">
        <f t="shared" si="0"/>
        <v>8</v>
      </c>
      <c r="I4" s="758">
        <f t="shared" si="0"/>
        <v>9</v>
      </c>
      <c r="J4" s="760"/>
      <c r="K4" s="760"/>
      <c r="L4" s="760"/>
    </row>
    <row r="5" spans="1:18" s="663" customFormat="1" ht="56.25" customHeight="1">
      <c r="A5" s="734" t="s">
        <v>175</v>
      </c>
      <c r="B5" s="743" t="s">
        <v>524</v>
      </c>
      <c r="C5" s="735" t="s">
        <v>525</v>
      </c>
      <c r="D5" s="735" t="s">
        <v>509</v>
      </c>
      <c r="E5" s="735" t="s">
        <v>510</v>
      </c>
      <c r="F5" s="735" t="s">
        <v>526</v>
      </c>
      <c r="G5" s="735" t="s">
        <v>511</v>
      </c>
      <c r="H5" s="735" t="s">
        <v>512</v>
      </c>
      <c r="I5" s="736" t="s">
        <v>527</v>
      </c>
      <c r="L5" s="664"/>
      <c r="M5" s="664"/>
      <c r="N5" s="664"/>
      <c r="O5" s="664"/>
      <c r="P5" s="664"/>
      <c r="Q5" s="664"/>
      <c r="R5" s="664"/>
    </row>
    <row r="6" spans="1:18" s="663" customFormat="1">
      <c r="A6" s="737" t="s">
        <v>502</v>
      </c>
      <c r="B6" s="729">
        <v>1.46</v>
      </c>
      <c r="C6" s="729">
        <v>6.02</v>
      </c>
      <c r="D6" s="730">
        <f>(1.36-0.68)</f>
        <v>0.68</v>
      </c>
      <c r="E6" s="730">
        <f>0.04-0.02</f>
        <v>0.02</v>
      </c>
      <c r="F6" s="670">
        <v>0</v>
      </c>
      <c r="G6" s="730">
        <f>D6/12</f>
        <v>5.6666666666666671E-2</v>
      </c>
      <c r="H6" s="730">
        <f>E6/12</f>
        <v>1.6666666666666668E-3</v>
      </c>
      <c r="I6" s="757">
        <f>F6/12</f>
        <v>0</v>
      </c>
    </row>
    <row r="7" spans="1:18" s="663" customFormat="1">
      <c r="A7" s="737" t="s">
        <v>503</v>
      </c>
      <c r="B7" s="728">
        <f>B6</f>
        <v>1.46</v>
      </c>
      <c r="C7" s="728">
        <f>C6</f>
        <v>6.02</v>
      </c>
      <c r="D7" s="670">
        <f>1.36-0.68</f>
        <v>0.68</v>
      </c>
      <c r="E7" s="670">
        <f>0.04-0.02</f>
        <v>0.02</v>
      </c>
      <c r="F7" s="670">
        <v>0</v>
      </c>
      <c r="G7" s="730">
        <f t="shared" ref="G7:H13" si="1">D7/12</f>
        <v>5.6666666666666671E-2</v>
      </c>
      <c r="H7" s="730">
        <f t="shared" si="1"/>
        <v>1.6666666666666668E-3</v>
      </c>
      <c r="I7" s="757">
        <f t="shared" ref="I7:I12" si="2">F7/12</f>
        <v>0</v>
      </c>
    </row>
    <row r="8" spans="1:18" s="663" customFormat="1">
      <c r="A8" s="737" t="s">
        <v>504</v>
      </c>
      <c r="B8" s="729">
        <v>1.78</v>
      </c>
      <c r="C8" s="729">
        <v>5.3</v>
      </c>
      <c r="D8" s="670">
        <f>1.36-0.68</f>
        <v>0.68</v>
      </c>
      <c r="E8" s="670">
        <f>0.04-0.02</f>
        <v>0.02</v>
      </c>
      <c r="F8" s="670">
        <v>0</v>
      </c>
      <c r="G8" s="730">
        <f t="shared" si="1"/>
        <v>5.6666666666666671E-2</v>
      </c>
      <c r="H8" s="730">
        <f t="shared" si="1"/>
        <v>1.6666666666666668E-3</v>
      </c>
      <c r="I8" s="757">
        <f t="shared" si="2"/>
        <v>0</v>
      </c>
    </row>
    <row r="9" spans="1:18" s="663" customFormat="1">
      <c r="A9" s="737" t="s">
        <v>505</v>
      </c>
      <c r="B9" s="728">
        <f>B8</f>
        <v>1.78</v>
      </c>
      <c r="C9" s="728">
        <f>C8</f>
        <v>5.3</v>
      </c>
      <c r="D9" s="731">
        <f>1.25-0.55</f>
        <v>0.7</v>
      </c>
      <c r="E9" s="670">
        <f>0.02-0.01</f>
        <v>0.01</v>
      </c>
      <c r="F9" s="670">
        <v>0</v>
      </c>
      <c r="G9" s="730">
        <f t="shared" si="1"/>
        <v>5.8333333333333327E-2</v>
      </c>
      <c r="H9" s="730">
        <f t="shared" si="1"/>
        <v>8.3333333333333339E-4</v>
      </c>
      <c r="I9" s="757">
        <f t="shared" si="2"/>
        <v>0</v>
      </c>
    </row>
    <row r="10" spans="1:18" s="663" customFormat="1">
      <c r="A10" s="737" t="s">
        <v>506</v>
      </c>
      <c r="B10" s="729">
        <v>1.6319999999999999</v>
      </c>
      <c r="C10" s="729">
        <v>5.1390000000000002</v>
      </c>
      <c r="D10" s="732">
        <f>1.228-0.618</f>
        <v>0.61</v>
      </c>
      <c r="E10" s="670">
        <f>0.01-0.005</f>
        <v>5.0000000000000001E-3</v>
      </c>
      <c r="F10" s="670">
        <v>0</v>
      </c>
      <c r="G10" s="730">
        <f t="shared" si="1"/>
        <v>5.0833333333333335E-2</v>
      </c>
      <c r="H10" s="730">
        <f t="shared" si="1"/>
        <v>4.1666666666666669E-4</v>
      </c>
      <c r="I10" s="757">
        <f t="shared" si="2"/>
        <v>0</v>
      </c>
      <c r="K10" s="668"/>
      <c r="L10" s="669"/>
    </row>
    <row r="11" spans="1:18" s="663" customFormat="1">
      <c r="A11" s="737" t="s">
        <v>507</v>
      </c>
      <c r="B11" s="728">
        <f>B10</f>
        <v>1.6319999999999999</v>
      </c>
      <c r="C11" s="728">
        <f>C10</f>
        <v>5.1390000000000002</v>
      </c>
      <c r="D11" s="733">
        <v>0.5865605369509671</v>
      </c>
      <c r="E11" s="733">
        <v>0</v>
      </c>
      <c r="F11" s="670">
        <v>0</v>
      </c>
      <c r="G11" s="732">
        <f t="shared" si="1"/>
        <v>4.8880044745913925E-2</v>
      </c>
      <c r="H11" s="732">
        <f t="shared" si="1"/>
        <v>0</v>
      </c>
      <c r="I11" s="757">
        <f t="shared" si="2"/>
        <v>0</v>
      </c>
      <c r="K11" s="668"/>
      <c r="L11" s="669"/>
    </row>
    <row r="12" spans="1:18" s="663" customFormat="1">
      <c r="A12" s="737" t="s">
        <v>508</v>
      </c>
      <c r="B12" s="728">
        <f>B11</f>
        <v>1.6319999999999999</v>
      </c>
      <c r="C12" s="728">
        <f>C11</f>
        <v>5.1390000000000002</v>
      </c>
      <c r="D12" s="733">
        <v>0.44789974467439025</v>
      </c>
      <c r="E12" s="733">
        <v>4.491535152917573E-2</v>
      </c>
      <c r="F12" s="670">
        <v>0</v>
      </c>
      <c r="G12" s="732">
        <f t="shared" si="1"/>
        <v>3.7324978722865852E-2</v>
      </c>
      <c r="H12" s="732">
        <f t="shared" si="1"/>
        <v>3.7429459607646442E-3</v>
      </c>
      <c r="I12" s="757">
        <f t="shared" si="2"/>
        <v>0</v>
      </c>
    </row>
    <row r="13" spans="1:18" s="663" customFormat="1" ht="18.75" customHeight="1">
      <c r="A13" s="737" t="s">
        <v>330</v>
      </c>
      <c r="B13" s="670">
        <v>1.46</v>
      </c>
      <c r="C13" s="670">
        <v>4.7699999999999996</v>
      </c>
      <c r="D13" s="731">
        <v>0.32728559217699416</v>
      </c>
      <c r="E13" s="731">
        <v>6.3505492124004293E-3</v>
      </c>
      <c r="F13" s="731">
        <v>6.754979674983023E-3</v>
      </c>
      <c r="G13" s="732">
        <f t="shared" si="1"/>
        <v>2.7273799348082845E-2</v>
      </c>
      <c r="H13" s="732">
        <f t="shared" si="1"/>
        <v>5.2921243436670248E-4</v>
      </c>
      <c r="I13" s="757">
        <f>F13/12</f>
        <v>5.6291497291525191E-4</v>
      </c>
    </row>
    <row r="14" spans="1:18" s="663" customFormat="1">
      <c r="A14" s="737" t="s">
        <v>331</v>
      </c>
      <c r="B14" s="670">
        <v>1.46</v>
      </c>
      <c r="C14" s="670">
        <v>4.7699999999999996</v>
      </c>
      <c r="D14" s="732">
        <v>0.31272702897046589</v>
      </c>
      <c r="E14" s="731">
        <v>1.7410565878630501E-2</v>
      </c>
      <c r="F14" s="731">
        <v>6.9527099009235463E-3</v>
      </c>
      <c r="G14" s="732">
        <v>2.6060585747538823E-2</v>
      </c>
      <c r="H14" s="732">
        <v>1.450880489885875E-3</v>
      </c>
      <c r="I14" s="757">
        <v>5.7939249174362886E-4</v>
      </c>
    </row>
    <row r="15" spans="1:18" s="663" customFormat="1">
      <c r="A15" s="737" t="s">
        <v>332</v>
      </c>
      <c r="B15" s="670">
        <f>CoreData!$F$40</f>
        <v>1.19</v>
      </c>
      <c r="C15" s="670">
        <f>CoreData!$F$7</f>
        <v>5.23</v>
      </c>
      <c r="D15" s="732">
        <f>Calculations!D29-Calculations!D58</f>
        <v>0.34361745136312849</v>
      </c>
      <c r="E15" s="731">
        <f>Calculations!D31-Calculations!D60</f>
        <v>1.9290237712809934E-2</v>
      </c>
      <c r="F15" s="731">
        <f>Calculations!D35-Calculations!D62</f>
        <v>6.6982583539170202E-3</v>
      </c>
      <c r="G15" s="732">
        <f>D15/12</f>
        <v>2.8634787613594042E-2</v>
      </c>
      <c r="H15" s="732">
        <f>E15/12</f>
        <v>1.6075198094008278E-3</v>
      </c>
      <c r="I15" s="757">
        <f>F15/12</f>
        <v>5.5818819615975168E-4</v>
      </c>
    </row>
    <row r="16" spans="1:18" s="663" customFormat="1">
      <c r="A16" s="737" t="s">
        <v>333</v>
      </c>
      <c r="B16" s="670"/>
      <c r="C16" s="670"/>
      <c r="D16" s="670"/>
      <c r="E16" s="670"/>
      <c r="F16" s="670"/>
      <c r="G16" s="670"/>
      <c r="H16" s="670"/>
      <c r="I16" s="738"/>
    </row>
    <row r="17" spans="1:13" s="663" customFormat="1">
      <c r="A17" s="737" t="s">
        <v>334</v>
      </c>
      <c r="B17" s="670"/>
      <c r="C17" s="670"/>
      <c r="D17" s="670"/>
      <c r="E17" s="670"/>
      <c r="F17" s="670"/>
      <c r="G17" s="670"/>
      <c r="H17" s="670"/>
      <c r="I17" s="738"/>
    </row>
    <row r="18" spans="1:13" s="663" customFormat="1">
      <c r="A18" s="737" t="s">
        <v>335</v>
      </c>
      <c r="B18" s="670"/>
      <c r="C18" s="670"/>
      <c r="D18" s="670"/>
      <c r="E18" s="670"/>
      <c r="F18" s="670"/>
      <c r="G18" s="670"/>
      <c r="H18" s="670"/>
      <c r="I18" s="738"/>
    </row>
    <row r="19" spans="1:13" s="663" customFormat="1" ht="19.5" customHeight="1" thickBot="1">
      <c r="A19" s="737" t="s">
        <v>336</v>
      </c>
      <c r="B19" s="671"/>
      <c r="C19" s="671"/>
      <c r="D19" s="671"/>
      <c r="E19" s="671"/>
      <c r="F19" s="671"/>
      <c r="G19" s="671"/>
      <c r="H19" s="671"/>
      <c r="I19" s="672"/>
    </row>
    <row r="20" spans="1:13" s="663" customFormat="1" hidden="1">
      <c r="B20" s="670"/>
      <c r="C20" s="670"/>
      <c r="D20" s="670"/>
      <c r="E20" s="670"/>
      <c r="F20" s="670"/>
      <c r="G20" s="670"/>
    </row>
    <row r="21" spans="1:13" s="663" customFormat="1" hidden="1">
      <c r="K21" s="668"/>
    </row>
    <row r="22" spans="1:13" s="663" customFormat="1" hidden="1">
      <c r="K22" s="668"/>
    </row>
    <row r="23" spans="1:13" s="663" customFormat="1" hidden="1">
      <c r="K23" s="668"/>
    </row>
    <row r="24" spans="1:13" s="663" customFormat="1" ht="15.75" thickBot="1">
      <c r="B24" s="666"/>
      <c r="C24" s="667"/>
      <c r="D24" s="667"/>
      <c r="E24" s="667"/>
      <c r="F24" s="667"/>
      <c r="G24" s="673"/>
      <c r="K24" s="668"/>
    </row>
    <row r="25" spans="1:13" s="663" customFormat="1" ht="51" customHeight="1" thickBot="1">
      <c r="B25" s="744" t="s">
        <v>90</v>
      </c>
      <c r="C25" s="674" t="s">
        <v>91</v>
      </c>
      <c r="D25" s="675" t="s">
        <v>514</v>
      </c>
      <c r="E25" s="675" t="s">
        <v>515</v>
      </c>
      <c r="F25" s="676" t="s">
        <v>516</v>
      </c>
      <c r="G25" s="677" t="s">
        <v>517</v>
      </c>
      <c r="H25" s="677" t="s">
        <v>518</v>
      </c>
      <c r="I25" s="677" t="s">
        <v>519</v>
      </c>
      <c r="K25" s="678" t="s">
        <v>520</v>
      </c>
      <c r="L25" s="679" t="s">
        <v>521</v>
      </c>
      <c r="M25" s="679" t="s">
        <v>528</v>
      </c>
    </row>
    <row r="26" spans="1:13" s="663" customFormat="1" ht="15.75" thickBot="1">
      <c r="A26" s="663" t="s">
        <v>502</v>
      </c>
      <c r="B26" s="745">
        <f>Units_month!C6</f>
        <v>40513</v>
      </c>
      <c r="C26" s="707">
        <f>Units_month!D6</f>
        <v>40543</v>
      </c>
      <c r="D26" s="680">
        <v>0</v>
      </c>
      <c r="E26" s="680">
        <v>31</v>
      </c>
      <c r="F26" s="680">
        <f>D26*E26*$C$3*VLOOKUP(A26,$A$5:$I$19,$B$4,0)*VLOOKUP(A26,$A$5:$I$19,$C$4,0)</f>
        <v>0</v>
      </c>
      <c r="G26" s="681">
        <f>SUM(F26)</f>
        <v>0</v>
      </c>
      <c r="H26" s="681"/>
      <c r="I26" s="682">
        <f>D26*VLOOKUP(A26,$A$5:$I$19,$C$4,0)</f>
        <v>0</v>
      </c>
      <c r="K26" s="683">
        <f>D26*VLOOKUP(A26,$A$5:$I$19,$G$4,0)</f>
        <v>0</v>
      </c>
      <c r="L26" s="684">
        <f>D26*VLOOKUP(A26,$A$5:$I$19,$H$4,0)</f>
        <v>0</v>
      </c>
      <c r="M26" s="684">
        <f>D26*VLOOKUP(A26,$A$5:$I$19,$I$4,0)</f>
        <v>0</v>
      </c>
    </row>
    <row r="27" spans="1:13" s="663" customFormat="1" ht="15.75" thickBot="1">
      <c r="A27" s="663" t="s">
        <v>502</v>
      </c>
      <c r="B27" s="746">
        <f>Units_month!C7</f>
        <v>40544</v>
      </c>
      <c r="C27" s="708">
        <f>Units_month!D7</f>
        <v>40574</v>
      </c>
      <c r="D27" s="685">
        <v>3929</v>
      </c>
      <c r="E27" s="685">
        <v>31</v>
      </c>
      <c r="F27" s="680">
        <f>D27*E27*$C$3*VLOOKUP(A27,$A$5:$I$19,$B$4,0)*VLOOKUP(A27,$A$5:$I$19,$C$4,0)</f>
        <v>1070515.7708000001</v>
      </c>
      <c r="G27" s="740"/>
      <c r="H27" s="741"/>
      <c r="I27" s="682">
        <f t="shared" ref="I27:I90" si="3">D27*VLOOKUP(A27,$A$5:$I$19,$C$4,0)</f>
        <v>23652.579999999998</v>
      </c>
      <c r="K27" s="683">
        <f t="shared" ref="K27:K90" si="4">D27*VLOOKUP(A27,$A$5:$I$19,$G$4,0)</f>
        <v>222.64333333333335</v>
      </c>
      <c r="L27" s="684">
        <f t="shared" ref="L27:L90" si="5">D27*VLOOKUP(A27,$A$5:$I$19,$H$4,0)</f>
        <v>6.5483333333333338</v>
      </c>
      <c r="M27" s="684">
        <f t="shared" ref="M27:M90" si="6">D27*VLOOKUP(A27,$A$5:$I$19,$I$4,0)</f>
        <v>0</v>
      </c>
    </row>
    <row r="28" spans="1:13" s="663" customFormat="1" ht="15.75" thickBot="1">
      <c r="A28" s="663" t="s">
        <v>502</v>
      </c>
      <c r="B28" s="746">
        <f>Units_month!C8</f>
        <v>40575</v>
      </c>
      <c r="C28" s="708">
        <f>Units_month!D8</f>
        <v>40602</v>
      </c>
      <c r="D28" s="685">
        <v>5148</v>
      </c>
      <c r="E28" s="685">
        <v>28</v>
      </c>
      <c r="F28" s="680">
        <f t="shared" ref="F28:F90" si="7">D28*E28*$C$3*VLOOKUP(A28,$A$5:$I$19,$B$4,0)*VLOOKUP(A28,$A$5:$I$19,$C$4,0)</f>
        <v>1266910.4447999999</v>
      </c>
      <c r="G28" s="740"/>
      <c r="H28" s="741"/>
      <c r="I28" s="682">
        <f t="shared" si="3"/>
        <v>30990.959999999999</v>
      </c>
      <c r="K28" s="683">
        <f t="shared" si="4"/>
        <v>291.72000000000003</v>
      </c>
      <c r="L28" s="684">
        <f t="shared" si="5"/>
        <v>8.58</v>
      </c>
      <c r="M28" s="684">
        <f t="shared" si="6"/>
        <v>0</v>
      </c>
    </row>
    <row r="29" spans="1:13" s="663" customFormat="1" ht="15.75" thickBot="1">
      <c r="A29" s="663" t="s">
        <v>502</v>
      </c>
      <c r="B29" s="746">
        <f>Units_month!C9</f>
        <v>40603</v>
      </c>
      <c r="C29" s="708">
        <f>Units_month!D9</f>
        <v>40633</v>
      </c>
      <c r="D29" s="685">
        <v>9408</v>
      </c>
      <c r="E29" s="685">
        <v>31</v>
      </c>
      <c r="F29" s="680">
        <f t="shared" si="7"/>
        <v>2563352.6015999997</v>
      </c>
      <c r="G29" s="740"/>
      <c r="H29" s="741"/>
      <c r="I29" s="682">
        <f t="shared" si="3"/>
        <v>56636.159999999996</v>
      </c>
      <c r="K29" s="683">
        <f t="shared" si="4"/>
        <v>533.12</v>
      </c>
      <c r="L29" s="684">
        <f t="shared" si="5"/>
        <v>15.680000000000001</v>
      </c>
      <c r="M29" s="684">
        <f t="shared" si="6"/>
        <v>0</v>
      </c>
    </row>
    <row r="30" spans="1:13" s="663" customFormat="1" ht="15.75" thickBot="1">
      <c r="A30" s="663" t="s">
        <v>502</v>
      </c>
      <c r="B30" s="746">
        <f>Units_month!C10</f>
        <v>40634</v>
      </c>
      <c r="C30" s="708">
        <f>Units_month!D10</f>
        <v>40663</v>
      </c>
      <c r="D30" s="685">
        <v>11075</v>
      </c>
      <c r="E30" s="685">
        <v>30</v>
      </c>
      <c r="F30" s="680">
        <f t="shared" si="7"/>
        <v>2920211.6999999997</v>
      </c>
      <c r="G30" s="740"/>
      <c r="H30" s="741"/>
      <c r="I30" s="682">
        <f t="shared" si="3"/>
        <v>66671.5</v>
      </c>
      <c r="K30" s="683">
        <f t="shared" si="4"/>
        <v>627.58333333333337</v>
      </c>
      <c r="L30" s="684">
        <f t="shared" si="5"/>
        <v>18.458333333333336</v>
      </c>
      <c r="M30" s="684">
        <f t="shared" si="6"/>
        <v>0</v>
      </c>
    </row>
    <row r="31" spans="1:13" s="663" customFormat="1" ht="15.75" thickBot="1">
      <c r="A31" s="663" t="s">
        <v>502</v>
      </c>
      <c r="B31" s="746">
        <f>Units_month!C11</f>
        <v>40664</v>
      </c>
      <c r="C31" s="708">
        <f>Units_month!D11</f>
        <v>40694</v>
      </c>
      <c r="D31" s="685">
        <v>12210</v>
      </c>
      <c r="E31" s="685">
        <v>31</v>
      </c>
      <c r="F31" s="680">
        <f t="shared" si="7"/>
        <v>3326800.0919999997</v>
      </c>
      <c r="G31" s="740"/>
      <c r="H31" s="741"/>
      <c r="I31" s="682">
        <f t="shared" si="3"/>
        <v>73504.2</v>
      </c>
      <c r="K31" s="683">
        <f t="shared" si="4"/>
        <v>691.90000000000009</v>
      </c>
      <c r="L31" s="684">
        <f t="shared" si="5"/>
        <v>20.350000000000001</v>
      </c>
      <c r="M31" s="684">
        <f t="shared" si="6"/>
        <v>0</v>
      </c>
    </row>
    <row r="32" spans="1:13" s="663" customFormat="1" ht="15.75" thickBot="1">
      <c r="A32" s="663" t="s">
        <v>502</v>
      </c>
      <c r="B32" s="746">
        <f>Units_month!C12</f>
        <v>40695</v>
      </c>
      <c r="C32" s="708">
        <f>Units_month!D12</f>
        <v>40724</v>
      </c>
      <c r="D32" s="685">
        <v>16101</v>
      </c>
      <c r="E32" s="685">
        <v>30</v>
      </c>
      <c r="F32" s="680">
        <f t="shared" si="7"/>
        <v>4245447.2759999996</v>
      </c>
      <c r="G32" s="740"/>
      <c r="H32" s="741"/>
      <c r="I32" s="682">
        <f t="shared" si="3"/>
        <v>96928.01999999999</v>
      </c>
      <c r="K32" s="683">
        <f t="shared" si="4"/>
        <v>912.3900000000001</v>
      </c>
      <c r="L32" s="684">
        <f t="shared" si="5"/>
        <v>26.835000000000001</v>
      </c>
      <c r="M32" s="684">
        <f t="shared" si="6"/>
        <v>0</v>
      </c>
    </row>
    <row r="33" spans="1:13" s="663" customFormat="1" ht="15.75" thickBot="1">
      <c r="A33" s="663" t="s">
        <v>502</v>
      </c>
      <c r="B33" s="746">
        <f>Units_month!C13</f>
        <v>40725</v>
      </c>
      <c r="C33" s="708">
        <f>Units_month!D13</f>
        <v>40755</v>
      </c>
      <c r="D33" s="685">
        <v>23254</v>
      </c>
      <c r="E33" s="685">
        <v>31</v>
      </c>
      <c r="F33" s="680">
        <f t="shared" si="7"/>
        <v>6335905.7607999993</v>
      </c>
      <c r="G33" s="740"/>
      <c r="H33" s="741"/>
      <c r="I33" s="682">
        <f t="shared" si="3"/>
        <v>139989.07999999999</v>
      </c>
      <c r="K33" s="683">
        <f t="shared" si="4"/>
        <v>1317.7266666666667</v>
      </c>
      <c r="L33" s="684">
        <f t="shared" si="5"/>
        <v>38.756666666666668</v>
      </c>
      <c r="M33" s="684">
        <f t="shared" si="6"/>
        <v>0</v>
      </c>
    </row>
    <row r="34" spans="1:13" s="663" customFormat="1" ht="15.75" thickBot="1">
      <c r="A34" s="663" t="s">
        <v>502</v>
      </c>
      <c r="B34" s="746">
        <f>Units_month!C14</f>
        <v>40756</v>
      </c>
      <c r="C34" s="708">
        <f>Units_month!D14</f>
        <v>40786</v>
      </c>
      <c r="D34" s="685">
        <v>28324</v>
      </c>
      <c r="E34" s="685">
        <v>31</v>
      </c>
      <c r="F34" s="680">
        <f t="shared" si="7"/>
        <v>7717304.3247999996</v>
      </c>
      <c r="G34" s="740"/>
      <c r="H34" s="741"/>
      <c r="I34" s="682">
        <f t="shared" si="3"/>
        <v>170510.47999999998</v>
      </c>
      <c r="K34" s="683">
        <f t="shared" si="4"/>
        <v>1605.0266666666669</v>
      </c>
      <c r="L34" s="684">
        <f t="shared" si="5"/>
        <v>47.206666666666671</v>
      </c>
      <c r="M34" s="684">
        <f t="shared" si="6"/>
        <v>0</v>
      </c>
    </row>
    <row r="35" spans="1:13" s="663" customFormat="1" ht="15.75" thickBot="1">
      <c r="A35" s="663" t="s">
        <v>502</v>
      </c>
      <c r="B35" s="746">
        <f>Units_month!C15</f>
        <v>40787</v>
      </c>
      <c r="C35" s="708">
        <f>Units_month!D15</f>
        <v>40816</v>
      </c>
      <c r="D35" s="685">
        <v>33003</v>
      </c>
      <c r="E35" s="685">
        <v>30</v>
      </c>
      <c r="F35" s="680">
        <f t="shared" si="7"/>
        <v>8702099.027999999</v>
      </c>
      <c r="G35" s="740"/>
      <c r="H35" s="741"/>
      <c r="I35" s="682">
        <f t="shared" si="3"/>
        <v>198678.06</v>
      </c>
      <c r="K35" s="683">
        <f t="shared" si="4"/>
        <v>1870.17</v>
      </c>
      <c r="L35" s="684">
        <f t="shared" si="5"/>
        <v>55.005000000000003</v>
      </c>
      <c r="M35" s="684">
        <f t="shared" si="6"/>
        <v>0</v>
      </c>
    </row>
    <row r="36" spans="1:13" s="663" customFormat="1" ht="15.75" thickBot="1">
      <c r="A36" s="663" t="s">
        <v>502</v>
      </c>
      <c r="B36" s="746">
        <f>Units_month!C16</f>
        <v>40817</v>
      </c>
      <c r="C36" s="708">
        <f>Units_month!D16</f>
        <v>40847</v>
      </c>
      <c r="D36" s="685">
        <v>35590</v>
      </c>
      <c r="E36" s="685">
        <v>31</v>
      </c>
      <c r="F36" s="680">
        <f t="shared" si="7"/>
        <v>9697036.4679999985</v>
      </c>
      <c r="G36" s="740"/>
      <c r="H36" s="741"/>
      <c r="I36" s="682">
        <f t="shared" si="3"/>
        <v>214251.8</v>
      </c>
      <c r="K36" s="683">
        <f t="shared" si="4"/>
        <v>2016.7666666666669</v>
      </c>
      <c r="L36" s="684">
        <f t="shared" si="5"/>
        <v>59.31666666666667</v>
      </c>
      <c r="M36" s="684">
        <f t="shared" si="6"/>
        <v>0</v>
      </c>
    </row>
    <row r="37" spans="1:13" s="663" customFormat="1" ht="15.75" thickBot="1">
      <c r="A37" s="663" t="s">
        <v>502</v>
      </c>
      <c r="B37" s="746">
        <f>Units_month!C17</f>
        <v>40848</v>
      </c>
      <c r="C37" s="708">
        <f>Units_month!D17</f>
        <v>40877</v>
      </c>
      <c r="D37" s="685">
        <v>41363</v>
      </c>
      <c r="E37" s="685">
        <v>30</v>
      </c>
      <c r="F37" s="680">
        <f t="shared" si="7"/>
        <v>10906430.387999998</v>
      </c>
      <c r="G37" s="665"/>
      <c r="H37" s="741"/>
      <c r="I37" s="682">
        <f t="shared" si="3"/>
        <v>249005.25999999998</v>
      </c>
      <c r="K37" s="683">
        <f t="shared" si="4"/>
        <v>2343.9033333333336</v>
      </c>
      <c r="L37" s="684">
        <f t="shared" si="5"/>
        <v>68.938333333333333</v>
      </c>
      <c r="M37" s="684">
        <f t="shared" si="6"/>
        <v>0</v>
      </c>
    </row>
    <row r="38" spans="1:13" s="663" customFormat="1" ht="15.75" thickBot="1">
      <c r="A38" s="663" t="s">
        <v>502</v>
      </c>
      <c r="B38" s="746">
        <f>Units_month!C18</f>
        <v>40878</v>
      </c>
      <c r="C38" s="708">
        <f>Units_month!D18</f>
        <v>40908</v>
      </c>
      <c r="D38" s="685">
        <v>45239</v>
      </c>
      <c r="E38" s="685">
        <v>31</v>
      </c>
      <c r="F38" s="680">
        <f t="shared" si="7"/>
        <v>12326053.182799999</v>
      </c>
      <c r="G38" s="686">
        <f>SUM(F27:F38)</f>
        <v>71078067.037599981</v>
      </c>
      <c r="H38" s="741"/>
      <c r="I38" s="682">
        <f t="shared" si="3"/>
        <v>272338.77999999997</v>
      </c>
      <c r="K38" s="683">
        <f t="shared" si="4"/>
        <v>2563.5433333333335</v>
      </c>
      <c r="L38" s="684">
        <f t="shared" si="5"/>
        <v>75.398333333333341</v>
      </c>
      <c r="M38" s="684">
        <f t="shared" si="6"/>
        <v>0</v>
      </c>
    </row>
    <row r="39" spans="1:13" s="663" customFormat="1" ht="15.75" thickBot="1">
      <c r="A39" s="663" t="s">
        <v>502</v>
      </c>
      <c r="B39" s="746">
        <f>Units_month!C19</f>
        <v>40909</v>
      </c>
      <c r="C39" s="708">
        <f>Units_month!D19</f>
        <v>40939</v>
      </c>
      <c r="D39" s="685">
        <v>50347</v>
      </c>
      <c r="E39" s="685">
        <v>31</v>
      </c>
      <c r="F39" s="680">
        <f t="shared" si="7"/>
        <v>13717805.424399998</v>
      </c>
      <c r="G39" s="665"/>
      <c r="H39" s="665"/>
      <c r="I39" s="682">
        <f t="shared" si="3"/>
        <v>303088.94</v>
      </c>
      <c r="K39" s="683">
        <f t="shared" si="4"/>
        <v>2852.9966666666669</v>
      </c>
      <c r="L39" s="684">
        <f t="shared" si="5"/>
        <v>83.911666666666676</v>
      </c>
      <c r="M39" s="684">
        <f t="shared" si="6"/>
        <v>0</v>
      </c>
    </row>
    <row r="40" spans="1:13" s="663" customFormat="1" ht="15.75" thickBot="1">
      <c r="A40" s="663" t="s">
        <v>502</v>
      </c>
      <c r="B40" s="746">
        <f>Units_month!C20</f>
        <v>40940</v>
      </c>
      <c r="C40" s="708">
        <f>Units_month!D20</f>
        <v>40968</v>
      </c>
      <c r="D40" s="685">
        <v>53426</v>
      </c>
      <c r="E40" s="685">
        <v>29</v>
      </c>
      <c r="F40" s="680">
        <f t="shared" si="7"/>
        <v>13617582.176799998</v>
      </c>
      <c r="G40" s="665"/>
      <c r="H40" s="665"/>
      <c r="I40" s="682">
        <f t="shared" si="3"/>
        <v>321624.51999999996</v>
      </c>
      <c r="K40" s="683">
        <f t="shared" si="4"/>
        <v>3027.4733333333334</v>
      </c>
      <c r="L40" s="684">
        <f t="shared" si="5"/>
        <v>89.043333333333337</v>
      </c>
      <c r="M40" s="684">
        <f t="shared" si="6"/>
        <v>0</v>
      </c>
    </row>
    <row r="41" spans="1:13" s="663" customFormat="1" ht="15.75" thickBot="1">
      <c r="A41" s="663" t="s">
        <v>502</v>
      </c>
      <c r="B41" s="746">
        <f>Units_month!C21</f>
        <v>40969</v>
      </c>
      <c r="C41" s="708">
        <f>Units_month!D21</f>
        <v>40999</v>
      </c>
      <c r="D41" s="685">
        <v>56827</v>
      </c>
      <c r="E41" s="685">
        <v>31</v>
      </c>
      <c r="F41" s="680">
        <f t="shared" si="7"/>
        <v>15483379.920399999</v>
      </c>
      <c r="G41" s="665"/>
      <c r="H41" s="665"/>
      <c r="I41" s="682">
        <f t="shared" si="3"/>
        <v>342098.54</v>
      </c>
      <c r="J41" s="687"/>
      <c r="K41" s="683">
        <f t="shared" si="4"/>
        <v>3220.1966666666667</v>
      </c>
      <c r="L41" s="684">
        <f t="shared" si="5"/>
        <v>94.711666666666673</v>
      </c>
      <c r="M41" s="684">
        <f t="shared" si="6"/>
        <v>0</v>
      </c>
    </row>
    <row r="42" spans="1:13" s="663" customFormat="1" ht="15.75" thickBot="1">
      <c r="A42" s="663" t="s">
        <v>502</v>
      </c>
      <c r="B42" s="746">
        <f>Units_month!C22</f>
        <v>41000</v>
      </c>
      <c r="C42" s="708">
        <f>Units_month!D22</f>
        <v>41029</v>
      </c>
      <c r="D42" s="685">
        <v>59951</v>
      </c>
      <c r="E42" s="685">
        <v>30</v>
      </c>
      <c r="F42" s="680">
        <f t="shared" si="7"/>
        <v>15807639.875999998</v>
      </c>
      <c r="G42" s="665"/>
      <c r="H42" s="665"/>
      <c r="I42" s="682">
        <f t="shared" si="3"/>
        <v>360905.01999999996</v>
      </c>
      <c r="J42" s="687"/>
      <c r="K42" s="683">
        <f t="shared" si="4"/>
        <v>3397.2233333333334</v>
      </c>
      <c r="L42" s="684">
        <f t="shared" si="5"/>
        <v>99.918333333333337</v>
      </c>
      <c r="M42" s="684">
        <f t="shared" si="6"/>
        <v>0</v>
      </c>
    </row>
    <row r="43" spans="1:13" s="663" customFormat="1" ht="15.75" thickBot="1">
      <c r="A43" s="663" t="s">
        <v>502</v>
      </c>
      <c r="B43" s="747">
        <f>Units_month!C23</f>
        <v>41030</v>
      </c>
      <c r="C43" s="709">
        <f>Units_month!D23</f>
        <v>41060</v>
      </c>
      <c r="D43" s="688">
        <v>62910</v>
      </c>
      <c r="E43" s="688">
        <v>31</v>
      </c>
      <c r="F43" s="680">
        <f t="shared" si="7"/>
        <v>17140785.732000001</v>
      </c>
      <c r="G43" s="689"/>
      <c r="H43" s="690">
        <f>SUM(F26:F43)</f>
        <v>146845260.16719997</v>
      </c>
      <c r="I43" s="682">
        <f t="shared" si="3"/>
        <v>378718.19999999995</v>
      </c>
      <c r="J43" s="687"/>
      <c r="K43" s="683">
        <f t="shared" si="4"/>
        <v>3564.9</v>
      </c>
      <c r="L43" s="684">
        <f t="shared" si="5"/>
        <v>104.85000000000001</v>
      </c>
      <c r="M43" s="684">
        <f t="shared" si="6"/>
        <v>0</v>
      </c>
    </row>
    <row r="44" spans="1:13" s="663" customFormat="1" ht="15.75" thickBot="1">
      <c r="A44" s="663" t="s">
        <v>503</v>
      </c>
      <c r="B44" s="745">
        <f>Units_month!C24</f>
        <v>41061</v>
      </c>
      <c r="C44" s="707">
        <f>Units_month!D24</f>
        <v>41090</v>
      </c>
      <c r="D44" s="680">
        <v>55914</v>
      </c>
      <c r="E44" s="680">
        <v>30</v>
      </c>
      <c r="F44" s="680">
        <f t="shared" si="7"/>
        <v>14743179.863999998</v>
      </c>
      <c r="G44" s="691"/>
      <c r="H44" s="691"/>
      <c r="I44" s="682">
        <f t="shared" si="3"/>
        <v>336602.27999999997</v>
      </c>
      <c r="J44" s="687"/>
      <c r="K44" s="683">
        <f t="shared" si="4"/>
        <v>3168.46</v>
      </c>
      <c r="L44" s="684">
        <f t="shared" si="5"/>
        <v>93.190000000000012</v>
      </c>
      <c r="M44" s="684">
        <f t="shared" si="6"/>
        <v>0</v>
      </c>
    </row>
    <row r="45" spans="1:13" s="663" customFormat="1" ht="15.75" thickBot="1">
      <c r="A45" s="663" t="s">
        <v>503</v>
      </c>
      <c r="B45" s="746">
        <f>Units_month!C25</f>
        <v>41091</v>
      </c>
      <c r="C45" s="708">
        <f>Units_month!D25</f>
        <v>41121</v>
      </c>
      <c r="D45" s="685">
        <v>60664</v>
      </c>
      <c r="E45" s="685">
        <v>31</v>
      </c>
      <c r="F45" s="680">
        <f t="shared" si="7"/>
        <v>16528828.8928</v>
      </c>
      <c r="G45" s="692"/>
      <c r="H45" s="692"/>
      <c r="I45" s="682">
        <f t="shared" si="3"/>
        <v>365197.27999999997</v>
      </c>
      <c r="J45" s="687"/>
      <c r="K45" s="683">
        <f t="shared" si="4"/>
        <v>3437.626666666667</v>
      </c>
      <c r="L45" s="684">
        <f t="shared" si="5"/>
        <v>101.10666666666667</v>
      </c>
      <c r="M45" s="684">
        <f t="shared" si="6"/>
        <v>0</v>
      </c>
    </row>
    <row r="46" spans="1:13" s="661" customFormat="1" ht="15.75" thickBot="1">
      <c r="A46" s="663" t="s">
        <v>503</v>
      </c>
      <c r="B46" s="746">
        <f>Units_month!C26</f>
        <v>41122</v>
      </c>
      <c r="C46" s="708">
        <f>Units_month!D26</f>
        <v>41152</v>
      </c>
      <c r="D46" s="685">
        <v>62402</v>
      </c>
      <c r="E46" s="685">
        <v>31</v>
      </c>
      <c r="F46" s="680">
        <f t="shared" si="7"/>
        <v>17002373.410399999</v>
      </c>
      <c r="G46" s="692"/>
      <c r="H46" s="692"/>
      <c r="I46" s="682">
        <f t="shared" si="3"/>
        <v>375660.04</v>
      </c>
      <c r="J46" s="693"/>
      <c r="K46" s="683">
        <f t="shared" si="4"/>
        <v>3536.1133333333337</v>
      </c>
      <c r="L46" s="684">
        <f t="shared" si="5"/>
        <v>104.00333333333334</v>
      </c>
      <c r="M46" s="684">
        <f t="shared" si="6"/>
        <v>0</v>
      </c>
    </row>
    <row r="47" spans="1:13" s="661" customFormat="1" ht="15.75" thickBot="1">
      <c r="A47" s="663" t="s">
        <v>503</v>
      </c>
      <c r="B47" s="746">
        <f>Units_month!C27</f>
        <v>41153</v>
      </c>
      <c r="C47" s="708">
        <f>Units_month!D27</f>
        <v>41182</v>
      </c>
      <c r="D47" s="685">
        <v>65759</v>
      </c>
      <c r="E47" s="685">
        <v>30</v>
      </c>
      <c r="F47" s="680">
        <f t="shared" si="7"/>
        <v>17339070.083999999</v>
      </c>
      <c r="G47" s="692"/>
      <c r="H47" s="692"/>
      <c r="I47" s="682">
        <f t="shared" si="3"/>
        <v>395869.18</v>
      </c>
      <c r="J47" s="693"/>
      <c r="K47" s="683">
        <f t="shared" si="4"/>
        <v>3726.3433333333337</v>
      </c>
      <c r="L47" s="684">
        <f t="shared" si="5"/>
        <v>109.59833333333334</v>
      </c>
      <c r="M47" s="684">
        <f t="shared" si="6"/>
        <v>0</v>
      </c>
    </row>
    <row r="48" spans="1:13" s="661" customFormat="1" ht="15.75" thickBot="1">
      <c r="A48" s="663" t="s">
        <v>503</v>
      </c>
      <c r="B48" s="746">
        <f>Units_month!C28</f>
        <v>41183</v>
      </c>
      <c r="C48" s="708">
        <f>Units_month!D28</f>
        <v>41213</v>
      </c>
      <c r="D48" s="685">
        <v>68554</v>
      </c>
      <c r="E48" s="685">
        <v>31</v>
      </c>
      <c r="F48" s="680">
        <f t="shared" si="7"/>
        <v>18678579.320799999</v>
      </c>
      <c r="G48" s="692"/>
      <c r="H48" s="692"/>
      <c r="I48" s="682">
        <f t="shared" si="3"/>
        <v>412695.07999999996</v>
      </c>
      <c r="J48" s="693"/>
      <c r="K48" s="683">
        <f t="shared" si="4"/>
        <v>3884.7266666666669</v>
      </c>
      <c r="L48" s="684">
        <f t="shared" si="5"/>
        <v>114.25666666666667</v>
      </c>
      <c r="M48" s="684">
        <f t="shared" si="6"/>
        <v>0</v>
      </c>
    </row>
    <row r="49" spans="1:13" s="661" customFormat="1" ht="15.75" thickBot="1">
      <c r="A49" s="663" t="s">
        <v>503</v>
      </c>
      <c r="B49" s="746">
        <f>Units_month!C29</f>
        <v>41214</v>
      </c>
      <c r="C49" s="708">
        <f>Units_month!D29</f>
        <v>41243</v>
      </c>
      <c r="D49" s="685">
        <v>75047</v>
      </c>
      <c r="E49" s="685">
        <v>30</v>
      </c>
      <c r="F49" s="680">
        <f t="shared" si="7"/>
        <v>19788092.772</v>
      </c>
      <c r="G49" s="692"/>
      <c r="H49" s="692"/>
      <c r="I49" s="682">
        <f t="shared" si="3"/>
        <v>451782.93999999994</v>
      </c>
      <c r="J49" s="693"/>
      <c r="K49" s="683">
        <f t="shared" si="4"/>
        <v>4252.6633333333339</v>
      </c>
      <c r="L49" s="684">
        <f t="shared" si="5"/>
        <v>125.07833333333335</v>
      </c>
      <c r="M49" s="684">
        <f t="shared" si="6"/>
        <v>0</v>
      </c>
    </row>
    <row r="50" spans="1:13" s="661" customFormat="1" ht="15.75" thickBot="1">
      <c r="A50" s="663" t="s">
        <v>503</v>
      </c>
      <c r="B50" s="746">
        <f>Units_month!C30</f>
        <v>41244</v>
      </c>
      <c r="C50" s="708">
        <f>Units_month!D30</f>
        <v>41274</v>
      </c>
      <c r="D50" s="685">
        <v>78874</v>
      </c>
      <c r="E50" s="685">
        <v>31</v>
      </c>
      <c r="F50" s="680">
        <f t="shared" si="7"/>
        <v>21490420.184799995</v>
      </c>
      <c r="G50" s="694">
        <f>SUM(F39:F50)</f>
        <v>201337737.65839997</v>
      </c>
      <c r="H50" s="694"/>
      <c r="I50" s="682">
        <f t="shared" si="3"/>
        <v>474821.48</v>
      </c>
      <c r="J50" s="693"/>
      <c r="K50" s="683">
        <f t="shared" si="4"/>
        <v>4469.5266666666666</v>
      </c>
      <c r="L50" s="684">
        <f t="shared" si="5"/>
        <v>131.45666666666668</v>
      </c>
      <c r="M50" s="684">
        <f t="shared" si="6"/>
        <v>0</v>
      </c>
    </row>
    <row r="51" spans="1:13" s="661" customFormat="1" ht="15.75" thickBot="1">
      <c r="A51" s="663" t="s">
        <v>503</v>
      </c>
      <c r="B51" s="748">
        <f>Units_month!C31</f>
        <v>41275</v>
      </c>
      <c r="C51" s="708">
        <f>Units_month!D31</f>
        <v>41305</v>
      </c>
      <c r="D51" s="685">
        <v>78010</v>
      </c>
      <c r="E51" s="685">
        <v>31</v>
      </c>
      <c r="F51" s="680">
        <f t="shared" si="7"/>
        <v>21255010.252</v>
      </c>
      <c r="G51" s="692"/>
      <c r="H51" s="692"/>
      <c r="I51" s="682">
        <f t="shared" si="3"/>
        <v>469620.19999999995</v>
      </c>
      <c r="J51" s="693"/>
      <c r="K51" s="683">
        <f t="shared" si="4"/>
        <v>4420.5666666666666</v>
      </c>
      <c r="L51" s="684">
        <f t="shared" si="5"/>
        <v>130.01666666666668</v>
      </c>
      <c r="M51" s="684">
        <f t="shared" si="6"/>
        <v>0</v>
      </c>
    </row>
    <row r="52" spans="1:13" s="661" customFormat="1" ht="15.75" thickBot="1">
      <c r="A52" s="663" t="s">
        <v>503</v>
      </c>
      <c r="B52" s="748">
        <f>Units_month!C32</f>
        <v>41306</v>
      </c>
      <c r="C52" s="708">
        <f>Units_month!D32</f>
        <v>41333</v>
      </c>
      <c r="D52" s="685">
        <v>79260</v>
      </c>
      <c r="E52" s="685">
        <v>28</v>
      </c>
      <c r="F52" s="680">
        <f t="shared" si="7"/>
        <v>19505695.775999997</v>
      </c>
      <c r="G52" s="692"/>
      <c r="H52" s="692"/>
      <c r="I52" s="682">
        <f t="shared" si="3"/>
        <v>477145.19999999995</v>
      </c>
      <c r="J52" s="693"/>
      <c r="K52" s="683">
        <f t="shared" si="4"/>
        <v>4491.4000000000005</v>
      </c>
      <c r="L52" s="684">
        <f t="shared" si="5"/>
        <v>132.1</v>
      </c>
      <c r="M52" s="684">
        <f t="shared" si="6"/>
        <v>0</v>
      </c>
    </row>
    <row r="53" spans="1:13" s="661" customFormat="1" ht="15.75" thickBot="1">
      <c r="A53" s="663" t="s">
        <v>503</v>
      </c>
      <c r="B53" s="748">
        <f>Units_month!C33</f>
        <v>41334</v>
      </c>
      <c r="C53" s="708">
        <f>Units_month!D33</f>
        <v>41364</v>
      </c>
      <c r="D53" s="685">
        <v>78577</v>
      </c>
      <c r="E53" s="685">
        <v>31</v>
      </c>
      <c r="F53" s="680">
        <f t="shared" si="7"/>
        <v>21409498.020399999</v>
      </c>
      <c r="G53" s="692"/>
      <c r="H53" s="692"/>
      <c r="I53" s="682">
        <f t="shared" si="3"/>
        <v>473033.54</v>
      </c>
      <c r="J53" s="693"/>
      <c r="K53" s="683">
        <f t="shared" si="4"/>
        <v>4452.6966666666667</v>
      </c>
      <c r="L53" s="684">
        <f t="shared" si="5"/>
        <v>130.96166666666667</v>
      </c>
      <c r="M53" s="684">
        <f t="shared" si="6"/>
        <v>0</v>
      </c>
    </row>
    <row r="54" spans="1:13" s="661" customFormat="1" ht="15.75" thickBot="1">
      <c r="A54" s="663" t="s">
        <v>503</v>
      </c>
      <c r="B54" s="749">
        <f>Units_month!C34</f>
        <v>41365</v>
      </c>
      <c r="C54" s="709">
        <f>Units_month!D34</f>
        <v>41394</v>
      </c>
      <c r="D54" s="688">
        <v>80966</v>
      </c>
      <c r="E54" s="688">
        <v>30</v>
      </c>
      <c r="F54" s="680">
        <f t="shared" si="7"/>
        <v>21348791.015999999</v>
      </c>
      <c r="G54" s="695"/>
      <c r="H54" s="696">
        <f>SUM(F44:F54)</f>
        <v>209089539.59319997</v>
      </c>
      <c r="I54" s="682">
        <f t="shared" si="3"/>
        <v>487415.31999999995</v>
      </c>
      <c r="J54" s="693"/>
      <c r="K54" s="683">
        <f t="shared" si="4"/>
        <v>4588.0733333333337</v>
      </c>
      <c r="L54" s="684">
        <f t="shared" si="5"/>
        <v>134.94333333333333</v>
      </c>
      <c r="M54" s="684">
        <f t="shared" si="6"/>
        <v>0</v>
      </c>
    </row>
    <row r="55" spans="1:13" s="661" customFormat="1" ht="15.75" thickBot="1">
      <c r="A55" s="661" t="s">
        <v>504</v>
      </c>
      <c r="B55" s="750">
        <f>Units_month!C35</f>
        <v>41395</v>
      </c>
      <c r="C55" s="707">
        <f>Units_month!D35</f>
        <v>41425</v>
      </c>
      <c r="D55" s="680">
        <v>71818</v>
      </c>
      <c r="E55" s="680">
        <v>31</v>
      </c>
      <c r="F55" s="680">
        <f t="shared" si="7"/>
        <v>21003461.372000001</v>
      </c>
      <c r="G55" s="691"/>
      <c r="H55" s="691"/>
      <c r="I55" s="682">
        <f t="shared" si="3"/>
        <v>380635.39999999997</v>
      </c>
      <c r="J55" s="697"/>
      <c r="K55" s="683">
        <f t="shared" si="4"/>
        <v>4069.686666666667</v>
      </c>
      <c r="L55" s="684">
        <f t="shared" si="5"/>
        <v>119.69666666666667</v>
      </c>
      <c r="M55" s="684">
        <f t="shared" si="6"/>
        <v>0</v>
      </c>
    </row>
    <row r="56" spans="1:13" s="661" customFormat="1" ht="15.75" thickBot="1">
      <c r="A56" s="661" t="s">
        <v>504</v>
      </c>
      <c r="B56" s="748">
        <f>Units_month!C36</f>
        <v>41426</v>
      </c>
      <c r="C56" s="708">
        <f>Units_month!D36</f>
        <v>41455</v>
      </c>
      <c r="D56" s="685">
        <v>75369</v>
      </c>
      <c r="E56" s="685">
        <v>30</v>
      </c>
      <c r="F56" s="680">
        <f t="shared" si="7"/>
        <v>21330934.379999999</v>
      </c>
      <c r="G56" s="692"/>
      <c r="H56" s="692"/>
      <c r="I56" s="682">
        <f t="shared" si="3"/>
        <v>399455.7</v>
      </c>
      <c r="J56" s="697"/>
      <c r="K56" s="683">
        <f t="shared" si="4"/>
        <v>4270.91</v>
      </c>
      <c r="L56" s="684">
        <f t="shared" si="5"/>
        <v>125.61500000000001</v>
      </c>
      <c r="M56" s="684">
        <f t="shared" si="6"/>
        <v>0</v>
      </c>
    </row>
    <row r="57" spans="1:13" s="661" customFormat="1" ht="15.75" thickBot="1">
      <c r="A57" s="661" t="s">
        <v>504</v>
      </c>
      <c r="B57" s="748">
        <f>Units_month!C37</f>
        <v>41456</v>
      </c>
      <c r="C57" s="708">
        <f>Units_month!D37</f>
        <v>41486</v>
      </c>
      <c r="D57" s="685">
        <v>78361</v>
      </c>
      <c r="E57" s="685">
        <v>31</v>
      </c>
      <c r="F57" s="680">
        <f t="shared" si="7"/>
        <v>22916987.894000001</v>
      </c>
      <c r="G57" s="692"/>
      <c r="H57" s="692"/>
      <c r="I57" s="682">
        <f t="shared" si="3"/>
        <v>415313.3</v>
      </c>
      <c r="J57" s="697"/>
      <c r="K57" s="683">
        <f t="shared" si="4"/>
        <v>4440.4566666666669</v>
      </c>
      <c r="L57" s="684">
        <f t="shared" si="5"/>
        <v>130.60166666666669</v>
      </c>
      <c r="M57" s="684">
        <f t="shared" si="6"/>
        <v>0</v>
      </c>
    </row>
    <row r="58" spans="1:13" s="661" customFormat="1" ht="15.75" thickBot="1">
      <c r="A58" s="661" t="s">
        <v>504</v>
      </c>
      <c r="B58" s="748">
        <f>Units_month!C38</f>
        <v>41487</v>
      </c>
      <c r="C58" s="708">
        <f>Units_month!D38</f>
        <v>41517</v>
      </c>
      <c r="D58" s="685">
        <v>80873</v>
      </c>
      <c r="E58" s="685">
        <v>31</v>
      </c>
      <c r="F58" s="680">
        <f t="shared" si="7"/>
        <v>23651632.341999996</v>
      </c>
      <c r="G58" s="692"/>
      <c r="H58" s="692"/>
      <c r="I58" s="682">
        <f t="shared" si="3"/>
        <v>428626.89999999997</v>
      </c>
      <c r="J58" s="697"/>
      <c r="K58" s="683">
        <f t="shared" si="4"/>
        <v>4582.8033333333333</v>
      </c>
      <c r="L58" s="684">
        <f t="shared" si="5"/>
        <v>134.78833333333336</v>
      </c>
      <c r="M58" s="684">
        <f t="shared" si="6"/>
        <v>0</v>
      </c>
    </row>
    <row r="59" spans="1:13" s="661" customFormat="1" ht="15.75" thickBot="1">
      <c r="A59" s="661" t="s">
        <v>504</v>
      </c>
      <c r="B59" s="748">
        <f>Units_month!C39</f>
        <v>41518</v>
      </c>
      <c r="C59" s="708">
        <f>Units_month!D39</f>
        <v>41547</v>
      </c>
      <c r="D59" s="685">
        <v>86271</v>
      </c>
      <c r="E59" s="685">
        <v>30</v>
      </c>
      <c r="F59" s="680">
        <f t="shared" si="7"/>
        <v>24416418.420000002</v>
      </c>
      <c r="G59" s="692"/>
      <c r="H59" s="692"/>
      <c r="I59" s="682">
        <f t="shared" si="3"/>
        <v>457236.3</v>
      </c>
      <c r="J59" s="697"/>
      <c r="K59" s="683">
        <f t="shared" si="4"/>
        <v>4888.6900000000005</v>
      </c>
      <c r="L59" s="684">
        <f t="shared" si="5"/>
        <v>143.785</v>
      </c>
      <c r="M59" s="684">
        <f t="shared" si="6"/>
        <v>0</v>
      </c>
    </row>
    <row r="60" spans="1:13" s="661" customFormat="1" ht="15.75" thickBot="1">
      <c r="A60" s="661" t="s">
        <v>504</v>
      </c>
      <c r="B60" s="748">
        <f>Units_month!C40</f>
        <v>41548</v>
      </c>
      <c r="C60" s="708">
        <f>Units_month!D40</f>
        <v>41578</v>
      </c>
      <c r="D60" s="685">
        <v>89220</v>
      </c>
      <c r="E60" s="685">
        <v>31</v>
      </c>
      <c r="F60" s="680">
        <f t="shared" si="7"/>
        <v>26092745.879999999</v>
      </c>
      <c r="G60" s="692"/>
      <c r="H60" s="692"/>
      <c r="I60" s="682">
        <f t="shared" si="3"/>
        <v>472866</v>
      </c>
      <c r="J60" s="697"/>
      <c r="K60" s="683">
        <f t="shared" si="4"/>
        <v>5055.8</v>
      </c>
      <c r="L60" s="684">
        <f t="shared" si="5"/>
        <v>148.70000000000002</v>
      </c>
      <c r="M60" s="684">
        <f t="shared" si="6"/>
        <v>0</v>
      </c>
    </row>
    <row r="61" spans="1:13" s="661" customFormat="1" ht="15.75" thickBot="1">
      <c r="A61" s="661" t="s">
        <v>504</v>
      </c>
      <c r="B61" s="748">
        <f>Units_month!C41</f>
        <v>41579</v>
      </c>
      <c r="C61" s="708">
        <f>Units_month!D41</f>
        <v>41608</v>
      </c>
      <c r="D61" s="685">
        <v>92303</v>
      </c>
      <c r="E61" s="685">
        <v>30</v>
      </c>
      <c r="F61" s="680">
        <f t="shared" si="7"/>
        <v>26123595.059999999</v>
      </c>
      <c r="G61" s="692"/>
      <c r="H61" s="692"/>
      <c r="I61" s="682">
        <f t="shared" si="3"/>
        <v>489205.89999999997</v>
      </c>
      <c r="K61" s="683">
        <f t="shared" si="4"/>
        <v>5230.503333333334</v>
      </c>
      <c r="L61" s="684">
        <f t="shared" si="5"/>
        <v>153.83833333333334</v>
      </c>
      <c r="M61" s="684">
        <f t="shared" si="6"/>
        <v>0</v>
      </c>
    </row>
    <row r="62" spans="1:13" s="661" customFormat="1" ht="15.75" thickBot="1">
      <c r="A62" s="661" t="s">
        <v>504</v>
      </c>
      <c r="B62" s="748">
        <f>Units_month!C42</f>
        <v>41609</v>
      </c>
      <c r="C62" s="708">
        <f>Units_month!D42</f>
        <v>41639</v>
      </c>
      <c r="D62" s="685">
        <v>99702</v>
      </c>
      <c r="E62" s="685">
        <v>31</v>
      </c>
      <c r="F62" s="680">
        <f t="shared" si="7"/>
        <v>29158248.708000001</v>
      </c>
      <c r="G62" s="698">
        <f>SUM(F51:F62)</f>
        <v>278213019.12040001</v>
      </c>
      <c r="H62" s="698"/>
      <c r="I62" s="682">
        <f t="shared" si="3"/>
        <v>528420.6</v>
      </c>
      <c r="K62" s="683">
        <f t="shared" si="4"/>
        <v>5649.7800000000007</v>
      </c>
      <c r="L62" s="684">
        <f t="shared" si="5"/>
        <v>166.17000000000002</v>
      </c>
      <c r="M62" s="684">
        <f t="shared" si="6"/>
        <v>0</v>
      </c>
    </row>
    <row r="63" spans="1:13" s="661" customFormat="1" ht="15.75" thickBot="1">
      <c r="A63" s="661" t="s">
        <v>504</v>
      </c>
      <c r="B63" s="748">
        <f>Units_month!C43</f>
        <v>41640</v>
      </c>
      <c r="C63" s="708">
        <f>Units_month!D43</f>
        <v>41670</v>
      </c>
      <c r="D63" s="685">
        <v>105041</v>
      </c>
      <c r="E63" s="685">
        <v>31</v>
      </c>
      <c r="F63" s="680">
        <f t="shared" si="7"/>
        <v>30719660.614</v>
      </c>
      <c r="G63" s="692"/>
      <c r="H63" s="692"/>
      <c r="I63" s="682">
        <f t="shared" si="3"/>
        <v>556717.29999999993</v>
      </c>
      <c r="K63" s="683">
        <f t="shared" si="4"/>
        <v>5952.3233333333337</v>
      </c>
      <c r="L63" s="684">
        <f t="shared" si="5"/>
        <v>175.06833333333336</v>
      </c>
      <c r="M63" s="684">
        <f t="shared" si="6"/>
        <v>0</v>
      </c>
    </row>
    <row r="64" spans="1:13" s="661" customFormat="1" ht="15.75" thickBot="1">
      <c r="A64" s="661" t="s">
        <v>504</v>
      </c>
      <c r="B64" s="748">
        <f>Units_month!C44</f>
        <v>41671</v>
      </c>
      <c r="C64" s="708">
        <f>Units_month!D44</f>
        <v>41698</v>
      </c>
      <c r="D64" s="685">
        <v>108002</v>
      </c>
      <c r="E64" s="685">
        <v>28</v>
      </c>
      <c r="F64" s="680">
        <f t="shared" si="7"/>
        <v>28528944.303999998</v>
      </c>
      <c r="G64" s="692"/>
      <c r="H64" s="692"/>
      <c r="I64" s="682">
        <f t="shared" si="3"/>
        <v>572410.6</v>
      </c>
      <c r="K64" s="683">
        <f t="shared" si="4"/>
        <v>6120.1133333333337</v>
      </c>
      <c r="L64" s="684">
        <f t="shared" si="5"/>
        <v>180.00333333333336</v>
      </c>
      <c r="M64" s="684">
        <f t="shared" si="6"/>
        <v>0</v>
      </c>
    </row>
    <row r="65" spans="1:13" s="661" customFormat="1" ht="15.75" thickBot="1">
      <c r="A65" s="661" t="s">
        <v>504</v>
      </c>
      <c r="B65" s="748">
        <f>Units_month!C45</f>
        <v>41699</v>
      </c>
      <c r="C65" s="708">
        <f>Units_month!D45</f>
        <v>41729</v>
      </c>
      <c r="D65" s="685">
        <v>111701</v>
      </c>
      <c r="E65" s="685">
        <v>31</v>
      </c>
      <c r="F65" s="680">
        <f t="shared" si="7"/>
        <v>32667404.253999997</v>
      </c>
      <c r="G65" s="692"/>
      <c r="H65" s="692"/>
      <c r="I65" s="682">
        <f t="shared" si="3"/>
        <v>592015.29999999993</v>
      </c>
      <c r="K65" s="683">
        <f t="shared" si="4"/>
        <v>6329.7233333333334</v>
      </c>
      <c r="L65" s="684">
        <f t="shared" si="5"/>
        <v>186.16833333333335</v>
      </c>
      <c r="M65" s="684">
        <f t="shared" si="6"/>
        <v>0</v>
      </c>
    </row>
    <row r="66" spans="1:13" s="661" customFormat="1" ht="15.75" thickBot="1">
      <c r="A66" s="661" t="s">
        <v>504</v>
      </c>
      <c r="B66" s="749">
        <f>Units_month!C46</f>
        <v>41730</v>
      </c>
      <c r="C66" s="709">
        <f>Units_month!D46</f>
        <v>41759</v>
      </c>
      <c r="D66" s="688">
        <v>115060</v>
      </c>
      <c r="E66" s="688">
        <v>30</v>
      </c>
      <c r="F66" s="680">
        <f t="shared" si="7"/>
        <v>32564281.199999999</v>
      </c>
      <c r="G66" s="696"/>
      <c r="H66" s="696">
        <f>SUM(F55:F66)</f>
        <v>319174314.42799997</v>
      </c>
      <c r="I66" s="682">
        <f t="shared" si="3"/>
        <v>609818</v>
      </c>
      <c r="K66" s="683">
        <f t="shared" si="4"/>
        <v>6520.0666666666675</v>
      </c>
      <c r="L66" s="684">
        <f t="shared" si="5"/>
        <v>191.76666666666668</v>
      </c>
      <c r="M66" s="684">
        <f t="shared" si="6"/>
        <v>0</v>
      </c>
    </row>
    <row r="67" spans="1:13" s="661" customFormat="1" ht="15.75" thickBot="1">
      <c r="A67" s="661" t="s">
        <v>505</v>
      </c>
      <c r="B67" s="750">
        <f>Units_month!C47</f>
        <v>41760</v>
      </c>
      <c r="C67" s="707">
        <f>Units_month!D47</f>
        <v>41790</v>
      </c>
      <c r="D67" s="680">
        <v>125125</v>
      </c>
      <c r="E67" s="680">
        <v>31</v>
      </c>
      <c r="F67" s="680">
        <f t="shared" si="7"/>
        <v>36593306.75</v>
      </c>
      <c r="G67" s="691"/>
      <c r="H67" s="691"/>
      <c r="I67" s="682">
        <f t="shared" si="3"/>
        <v>663162.5</v>
      </c>
      <c r="J67" s="693"/>
      <c r="K67" s="683">
        <f t="shared" si="4"/>
        <v>7298.958333333333</v>
      </c>
      <c r="L67" s="684">
        <f t="shared" si="5"/>
        <v>104.27083333333334</v>
      </c>
      <c r="M67" s="684">
        <f t="shared" si="6"/>
        <v>0</v>
      </c>
    </row>
    <row r="68" spans="1:13" s="661" customFormat="1" ht="15.75" thickBot="1">
      <c r="A68" s="661" t="s">
        <v>505</v>
      </c>
      <c r="B68" s="748">
        <f>Units_month!C48</f>
        <v>41791</v>
      </c>
      <c r="C68" s="708">
        <f>Units_month!D48</f>
        <v>41820</v>
      </c>
      <c r="D68" s="685">
        <v>126899</v>
      </c>
      <c r="E68" s="685">
        <v>30</v>
      </c>
      <c r="F68" s="680">
        <f t="shared" si="7"/>
        <v>35914954.980000004</v>
      </c>
      <c r="G68" s="692"/>
      <c r="H68" s="692"/>
      <c r="I68" s="682">
        <f t="shared" si="3"/>
        <v>672564.7</v>
      </c>
      <c r="J68" s="693"/>
      <c r="K68" s="683">
        <f t="shared" si="4"/>
        <v>7402.4416666666657</v>
      </c>
      <c r="L68" s="684">
        <f t="shared" si="5"/>
        <v>105.74916666666667</v>
      </c>
      <c r="M68" s="684">
        <f t="shared" si="6"/>
        <v>0</v>
      </c>
    </row>
    <row r="69" spans="1:13" s="661" customFormat="1" ht="15.75" thickBot="1">
      <c r="A69" s="661" t="s">
        <v>505</v>
      </c>
      <c r="B69" s="748">
        <f>Units_month!C49</f>
        <v>41821</v>
      </c>
      <c r="C69" s="708">
        <f>Units_month!D49</f>
        <v>41851</v>
      </c>
      <c r="D69" s="685">
        <v>130468</v>
      </c>
      <c r="E69" s="685">
        <v>31</v>
      </c>
      <c r="F69" s="680">
        <f t="shared" si="7"/>
        <v>38155888.472000003</v>
      </c>
      <c r="G69" s="692"/>
      <c r="H69" s="692"/>
      <c r="I69" s="682">
        <f t="shared" si="3"/>
        <v>691480.4</v>
      </c>
      <c r="J69" s="693"/>
      <c r="K69" s="683">
        <f t="shared" si="4"/>
        <v>7610.6333333333323</v>
      </c>
      <c r="L69" s="684">
        <f t="shared" si="5"/>
        <v>108.72333333333334</v>
      </c>
      <c r="M69" s="684">
        <f t="shared" si="6"/>
        <v>0</v>
      </c>
    </row>
    <row r="70" spans="1:13" s="661" customFormat="1" ht="15.75" thickBot="1">
      <c r="A70" s="661" t="s">
        <v>505</v>
      </c>
      <c r="B70" s="748">
        <f>Units_month!C50</f>
        <v>41852</v>
      </c>
      <c r="C70" s="708">
        <f>Units_month!D50</f>
        <v>41882</v>
      </c>
      <c r="D70" s="685">
        <v>134374</v>
      </c>
      <c r="E70" s="685">
        <v>31</v>
      </c>
      <c r="F70" s="680">
        <f t="shared" si="7"/>
        <v>39298213.796000004</v>
      </c>
      <c r="G70" s="692"/>
      <c r="H70" s="692"/>
      <c r="I70" s="682">
        <f t="shared" si="3"/>
        <v>712182.2</v>
      </c>
      <c r="J70" s="693"/>
      <c r="K70" s="683">
        <f t="shared" si="4"/>
        <v>7838.4833333333327</v>
      </c>
      <c r="L70" s="684">
        <f t="shared" si="5"/>
        <v>111.97833333333334</v>
      </c>
      <c r="M70" s="684">
        <f t="shared" si="6"/>
        <v>0</v>
      </c>
    </row>
    <row r="71" spans="1:13" s="661" customFormat="1" ht="15.75" thickBot="1">
      <c r="A71" s="661" t="s">
        <v>505</v>
      </c>
      <c r="B71" s="748">
        <f>Units_month!C51</f>
        <v>41883</v>
      </c>
      <c r="C71" s="708">
        <f>Units_month!D51</f>
        <v>41912</v>
      </c>
      <c r="D71" s="685">
        <v>139572</v>
      </c>
      <c r="E71" s="685">
        <v>30</v>
      </c>
      <c r="F71" s="680">
        <f t="shared" si="7"/>
        <v>39501667.439999998</v>
      </c>
      <c r="G71" s="692"/>
      <c r="H71" s="692"/>
      <c r="I71" s="682">
        <f t="shared" si="3"/>
        <v>739731.6</v>
      </c>
      <c r="J71" s="693"/>
      <c r="K71" s="683">
        <f t="shared" si="4"/>
        <v>8141.6999999999989</v>
      </c>
      <c r="L71" s="684">
        <f t="shared" si="5"/>
        <v>116.31</v>
      </c>
      <c r="M71" s="684">
        <f t="shared" si="6"/>
        <v>0</v>
      </c>
    </row>
    <row r="72" spans="1:13" s="661" customFormat="1" ht="15.75" thickBot="1">
      <c r="A72" s="661" t="s">
        <v>505</v>
      </c>
      <c r="B72" s="748">
        <f>Units_month!C52</f>
        <v>41913</v>
      </c>
      <c r="C72" s="708">
        <f>Units_month!D52</f>
        <v>41943</v>
      </c>
      <c r="D72" s="685">
        <v>141447</v>
      </c>
      <c r="E72" s="685">
        <v>31</v>
      </c>
      <c r="F72" s="680">
        <f t="shared" si="7"/>
        <v>41366740.938000001</v>
      </c>
      <c r="G72" s="692"/>
      <c r="H72" s="692"/>
      <c r="I72" s="682">
        <f t="shared" si="3"/>
        <v>749669.1</v>
      </c>
      <c r="J72" s="693"/>
      <c r="K72" s="683">
        <f t="shared" si="4"/>
        <v>8251.0749999999989</v>
      </c>
      <c r="L72" s="684">
        <f t="shared" si="5"/>
        <v>117.8725</v>
      </c>
      <c r="M72" s="684">
        <f t="shared" si="6"/>
        <v>0</v>
      </c>
    </row>
    <row r="73" spans="1:13" s="661" customFormat="1" ht="15.75" thickBot="1">
      <c r="A73" s="661" t="s">
        <v>505</v>
      </c>
      <c r="B73" s="748">
        <f>Units_month!C53</f>
        <v>41944</v>
      </c>
      <c r="C73" s="708">
        <f>Units_month!D53</f>
        <v>41973</v>
      </c>
      <c r="D73" s="685">
        <v>143555</v>
      </c>
      <c r="E73" s="685">
        <v>30</v>
      </c>
      <c r="F73" s="680">
        <f t="shared" si="7"/>
        <v>40628936.100000001</v>
      </c>
      <c r="G73" s="692"/>
      <c r="H73" s="692"/>
      <c r="I73" s="682">
        <f t="shared" si="3"/>
        <v>760841.5</v>
      </c>
      <c r="K73" s="683">
        <f t="shared" si="4"/>
        <v>8374.0416666666661</v>
      </c>
      <c r="L73" s="684">
        <f t="shared" si="5"/>
        <v>119.62916666666668</v>
      </c>
      <c r="M73" s="684">
        <f t="shared" si="6"/>
        <v>0</v>
      </c>
    </row>
    <row r="74" spans="1:13" s="661" customFormat="1" ht="15.75" thickBot="1">
      <c r="A74" s="661" t="s">
        <v>505</v>
      </c>
      <c r="B74" s="748">
        <f>Units_month!C54</f>
        <v>41974</v>
      </c>
      <c r="C74" s="708">
        <f>Units_month!D54</f>
        <v>42004</v>
      </c>
      <c r="D74" s="685">
        <v>145237</v>
      </c>
      <c r="E74" s="685">
        <v>31</v>
      </c>
      <c r="F74" s="680">
        <f t="shared" si="7"/>
        <v>42475141.597999997</v>
      </c>
      <c r="G74" s="698">
        <f>SUM(F63:F74)</f>
        <v>438415140.44600004</v>
      </c>
      <c r="H74" s="698"/>
      <c r="I74" s="682">
        <f t="shared" si="3"/>
        <v>769756.1</v>
      </c>
      <c r="K74" s="683">
        <f t="shared" si="4"/>
        <v>8472.1583333333328</v>
      </c>
      <c r="L74" s="684">
        <f t="shared" si="5"/>
        <v>121.03083333333335</v>
      </c>
      <c r="M74" s="684">
        <f t="shared" si="6"/>
        <v>0</v>
      </c>
    </row>
    <row r="75" spans="1:13" s="661" customFormat="1" ht="15.75" thickBot="1">
      <c r="A75" s="661" t="s">
        <v>505</v>
      </c>
      <c r="B75" s="748">
        <f>Units_month!C55</f>
        <v>42005</v>
      </c>
      <c r="C75" s="708">
        <f>Units_month!D55</f>
        <v>42035</v>
      </c>
      <c r="D75" s="685">
        <v>148587</v>
      </c>
      <c r="E75" s="685">
        <v>31</v>
      </c>
      <c r="F75" s="680">
        <f t="shared" si="7"/>
        <v>43454862.497999996</v>
      </c>
      <c r="G75" s="692"/>
      <c r="H75" s="692"/>
      <c r="I75" s="682">
        <f t="shared" si="3"/>
        <v>787511.1</v>
      </c>
      <c r="K75" s="683">
        <f t="shared" si="4"/>
        <v>8667.5749999999989</v>
      </c>
      <c r="L75" s="684">
        <f t="shared" si="5"/>
        <v>123.82250000000001</v>
      </c>
      <c r="M75" s="684">
        <f t="shared" si="6"/>
        <v>0</v>
      </c>
    </row>
    <row r="76" spans="1:13" s="661" customFormat="1" ht="15.75" thickBot="1">
      <c r="A76" s="661" t="s">
        <v>505</v>
      </c>
      <c r="B76" s="748">
        <f>Units_month!C56</f>
        <v>42036</v>
      </c>
      <c r="C76" s="708">
        <f>Units_month!D56</f>
        <v>42063</v>
      </c>
      <c r="D76" s="685">
        <v>151042</v>
      </c>
      <c r="E76" s="685">
        <v>28</v>
      </c>
      <c r="F76" s="680">
        <f t="shared" si="7"/>
        <v>39898046.384000003</v>
      </c>
      <c r="G76" s="692"/>
      <c r="H76" s="692"/>
      <c r="I76" s="682">
        <f t="shared" si="3"/>
        <v>800522.6</v>
      </c>
      <c r="K76" s="683">
        <f t="shared" si="4"/>
        <v>8810.7833333333328</v>
      </c>
      <c r="L76" s="684">
        <f t="shared" si="5"/>
        <v>125.86833333333334</v>
      </c>
      <c r="M76" s="684">
        <f t="shared" si="6"/>
        <v>0</v>
      </c>
    </row>
    <row r="77" spans="1:13" s="661" customFormat="1" ht="15.75" thickBot="1">
      <c r="A77" s="661" t="s">
        <v>505</v>
      </c>
      <c r="B77" s="748">
        <f>Units_month!C57</f>
        <v>42064</v>
      </c>
      <c r="C77" s="708">
        <f>Units_month!D57</f>
        <v>42094</v>
      </c>
      <c r="D77" s="685">
        <v>154214</v>
      </c>
      <c r="E77" s="685">
        <v>31</v>
      </c>
      <c r="F77" s="680">
        <f t="shared" si="7"/>
        <v>45100501.155999996</v>
      </c>
      <c r="G77" s="692"/>
      <c r="H77" s="692"/>
      <c r="I77" s="682">
        <f t="shared" si="3"/>
        <v>817334.2</v>
      </c>
      <c r="K77" s="683">
        <f t="shared" si="4"/>
        <v>8995.8166666666657</v>
      </c>
      <c r="L77" s="684">
        <f t="shared" si="5"/>
        <v>128.51166666666668</v>
      </c>
      <c r="M77" s="684">
        <f t="shared" si="6"/>
        <v>0</v>
      </c>
    </row>
    <row r="78" spans="1:13" s="661" customFormat="1" ht="15.75" thickBot="1">
      <c r="A78" s="661" t="s">
        <v>505</v>
      </c>
      <c r="B78" s="749">
        <f>Units_month!C58</f>
        <v>42095</v>
      </c>
      <c r="C78" s="709">
        <f>Units_month!D58</f>
        <v>42124</v>
      </c>
      <c r="D78" s="688">
        <v>157199</v>
      </c>
      <c r="E78" s="688">
        <v>30</v>
      </c>
      <c r="F78" s="680">
        <f t="shared" si="7"/>
        <v>44490460.979999997</v>
      </c>
      <c r="G78" s="696"/>
      <c r="H78" s="696">
        <f>SUM(F67:F78)</f>
        <v>486878721.09200007</v>
      </c>
      <c r="I78" s="682">
        <f t="shared" si="3"/>
        <v>833154.7</v>
      </c>
      <c r="K78" s="683">
        <f t="shared" si="4"/>
        <v>9169.9416666666657</v>
      </c>
      <c r="L78" s="684">
        <f t="shared" si="5"/>
        <v>130.99916666666667</v>
      </c>
      <c r="M78" s="684">
        <f t="shared" si="6"/>
        <v>0</v>
      </c>
    </row>
    <row r="79" spans="1:13" s="661" customFormat="1" ht="15.75" thickBot="1">
      <c r="A79" s="661" t="s">
        <v>506</v>
      </c>
      <c r="B79" s="750">
        <f>Units_month!C59</f>
        <v>42125</v>
      </c>
      <c r="C79" s="707">
        <f>Units_month!D59</f>
        <v>42155</v>
      </c>
      <c r="D79" s="680">
        <v>157692</v>
      </c>
      <c r="E79" s="680">
        <v>31</v>
      </c>
      <c r="F79" s="680">
        <f t="shared" si="7"/>
        <v>40998703.879296005</v>
      </c>
      <c r="G79" s="691"/>
      <c r="H79" s="691"/>
      <c r="I79" s="682">
        <f t="shared" si="3"/>
        <v>810379.18800000008</v>
      </c>
      <c r="K79" s="683">
        <f t="shared" si="4"/>
        <v>8016.01</v>
      </c>
      <c r="L79" s="684">
        <f t="shared" si="5"/>
        <v>65.704999999999998</v>
      </c>
      <c r="M79" s="684">
        <f t="shared" si="6"/>
        <v>0</v>
      </c>
    </row>
    <row r="80" spans="1:13" s="661" customFormat="1" ht="15.75" thickBot="1">
      <c r="A80" s="661" t="s">
        <v>506</v>
      </c>
      <c r="B80" s="748">
        <f>Units_month!C60</f>
        <v>42156</v>
      </c>
      <c r="C80" s="708">
        <f>Units_month!D60</f>
        <v>42185</v>
      </c>
      <c r="D80" s="685">
        <v>160484</v>
      </c>
      <c r="E80" s="685">
        <v>30</v>
      </c>
      <c r="F80" s="680">
        <f t="shared" si="7"/>
        <v>40378647.432960004</v>
      </c>
      <c r="G80" s="692"/>
      <c r="H80" s="692"/>
      <c r="I80" s="682">
        <f t="shared" si="3"/>
        <v>824727.27600000007</v>
      </c>
      <c r="K80" s="683">
        <f t="shared" si="4"/>
        <v>8157.9366666666665</v>
      </c>
      <c r="L80" s="684">
        <f t="shared" si="5"/>
        <v>66.868333333333339</v>
      </c>
      <c r="M80" s="684">
        <f t="shared" si="6"/>
        <v>0</v>
      </c>
    </row>
    <row r="81" spans="1:13" s="661" customFormat="1" ht="15.75" thickBot="1">
      <c r="A81" s="661" t="s">
        <v>506</v>
      </c>
      <c r="B81" s="748">
        <f>Units_month!C61</f>
        <v>42186</v>
      </c>
      <c r="C81" s="708">
        <f>Units_month!D61</f>
        <v>42216</v>
      </c>
      <c r="D81" s="685">
        <v>164404</v>
      </c>
      <c r="E81" s="685">
        <v>31</v>
      </c>
      <c r="F81" s="680">
        <f t="shared" si="7"/>
        <v>42743772.116351999</v>
      </c>
      <c r="G81" s="692"/>
      <c r="H81" s="692"/>
      <c r="I81" s="682">
        <f t="shared" si="3"/>
        <v>844872.15600000008</v>
      </c>
      <c r="K81" s="683">
        <f t="shared" si="4"/>
        <v>8357.2033333333329</v>
      </c>
      <c r="L81" s="684">
        <f t="shared" si="5"/>
        <v>68.501666666666665</v>
      </c>
      <c r="M81" s="684">
        <f t="shared" si="6"/>
        <v>0</v>
      </c>
    </row>
    <row r="82" spans="1:13" s="661" customFormat="1" ht="15.75" thickBot="1">
      <c r="A82" s="661" t="s">
        <v>506</v>
      </c>
      <c r="B82" s="748">
        <f>Units_month!C62</f>
        <v>42217</v>
      </c>
      <c r="C82" s="708">
        <f>Units_month!D62</f>
        <v>42247</v>
      </c>
      <c r="D82" s="685">
        <v>166970</v>
      </c>
      <c r="E82" s="685">
        <v>31</v>
      </c>
      <c r="F82" s="680">
        <f t="shared" si="7"/>
        <v>43410912.327360004</v>
      </c>
      <c r="G82" s="692"/>
      <c r="H82" s="692"/>
      <c r="I82" s="682">
        <f t="shared" si="3"/>
        <v>858058.83000000007</v>
      </c>
      <c r="K82" s="683">
        <f t="shared" si="4"/>
        <v>8487.6416666666664</v>
      </c>
      <c r="L82" s="684">
        <f t="shared" si="5"/>
        <v>69.57083333333334</v>
      </c>
      <c r="M82" s="684">
        <f t="shared" si="6"/>
        <v>0</v>
      </c>
    </row>
    <row r="83" spans="1:13" s="661" customFormat="1" ht="15.75" thickBot="1">
      <c r="A83" s="661" t="s">
        <v>506</v>
      </c>
      <c r="B83" s="748">
        <f>Units_month!C63</f>
        <v>42248</v>
      </c>
      <c r="C83" s="708">
        <f>Units_month!D63</f>
        <v>42277</v>
      </c>
      <c r="D83" s="685">
        <v>169199</v>
      </c>
      <c r="E83" s="685">
        <v>30</v>
      </c>
      <c r="F83" s="680">
        <f t="shared" si="7"/>
        <v>42571388.842560001</v>
      </c>
      <c r="G83" s="692"/>
      <c r="H83" s="692"/>
      <c r="I83" s="682">
        <f t="shared" si="3"/>
        <v>869513.66100000008</v>
      </c>
      <c r="K83" s="683">
        <f t="shared" si="4"/>
        <v>8600.9491666666672</v>
      </c>
      <c r="L83" s="684">
        <f t="shared" si="5"/>
        <v>70.499583333333334</v>
      </c>
      <c r="M83" s="684">
        <f t="shared" si="6"/>
        <v>0</v>
      </c>
    </row>
    <row r="84" spans="1:13" s="661" customFormat="1" ht="15.75" thickBot="1">
      <c r="A84" s="661" t="s">
        <v>506</v>
      </c>
      <c r="B84" s="748">
        <f>Units_month!C64</f>
        <v>42278</v>
      </c>
      <c r="C84" s="708">
        <f>Units_month!D64</f>
        <v>42308</v>
      </c>
      <c r="D84" s="685">
        <v>172148</v>
      </c>
      <c r="E84" s="685">
        <v>31</v>
      </c>
      <c r="F84" s="680">
        <f t="shared" si="7"/>
        <v>44757152.394623995</v>
      </c>
      <c r="G84" s="692"/>
      <c r="H84" s="692"/>
      <c r="I84" s="682">
        <f t="shared" si="3"/>
        <v>884668.57200000004</v>
      </c>
      <c r="K84" s="683">
        <f t="shared" si="4"/>
        <v>8750.8566666666666</v>
      </c>
      <c r="L84" s="684">
        <f t="shared" si="5"/>
        <v>71.728333333333339</v>
      </c>
      <c r="M84" s="684">
        <f t="shared" si="6"/>
        <v>0</v>
      </c>
    </row>
    <row r="85" spans="1:13" s="661" customFormat="1" ht="15.75" thickBot="1">
      <c r="A85" s="661" t="s">
        <v>506</v>
      </c>
      <c r="B85" s="748">
        <f>Units_month!C65</f>
        <v>42309</v>
      </c>
      <c r="C85" s="708">
        <f>Units_month!D65</f>
        <v>42338</v>
      </c>
      <c r="D85" s="685">
        <v>173850</v>
      </c>
      <c r="E85" s="685">
        <v>30</v>
      </c>
      <c r="F85" s="680">
        <f t="shared" si="7"/>
        <v>43741605.744000003</v>
      </c>
      <c r="G85" s="692"/>
      <c r="H85" s="692"/>
      <c r="I85" s="682">
        <f t="shared" si="3"/>
        <v>893415.15</v>
      </c>
      <c r="K85" s="683">
        <f t="shared" si="4"/>
        <v>8837.375</v>
      </c>
      <c r="L85" s="684">
        <f t="shared" si="5"/>
        <v>72.4375</v>
      </c>
      <c r="M85" s="684">
        <f t="shared" si="6"/>
        <v>0</v>
      </c>
    </row>
    <row r="86" spans="1:13" s="661" customFormat="1" ht="15.75" thickBot="1">
      <c r="A86" s="661" t="s">
        <v>506</v>
      </c>
      <c r="B86" s="748">
        <f>Units_month!C66</f>
        <v>42339</v>
      </c>
      <c r="C86" s="708">
        <f>Units_month!D66</f>
        <v>42369</v>
      </c>
      <c r="D86" s="685">
        <v>176716</v>
      </c>
      <c r="E86" s="685">
        <v>31</v>
      </c>
      <c r="F86" s="680">
        <f t="shared" si="7"/>
        <v>45944797.166207999</v>
      </c>
      <c r="G86" s="698">
        <f>SUM(F75:F86)</f>
        <v>517490850.92136002</v>
      </c>
      <c r="H86" s="698"/>
      <c r="I86" s="682">
        <f t="shared" si="3"/>
        <v>908143.52400000009</v>
      </c>
      <c r="K86" s="683">
        <f t="shared" si="4"/>
        <v>8983.0633333333335</v>
      </c>
      <c r="L86" s="684">
        <f t="shared" si="5"/>
        <v>73.631666666666675</v>
      </c>
      <c r="M86" s="684">
        <f t="shared" si="6"/>
        <v>0</v>
      </c>
    </row>
    <row r="87" spans="1:13" s="661" customFormat="1" ht="15.75" thickBot="1">
      <c r="A87" s="661" t="s">
        <v>506</v>
      </c>
      <c r="B87" s="748">
        <f>Units_month!C67</f>
        <v>42370</v>
      </c>
      <c r="C87" s="708">
        <f>Units_month!D67</f>
        <v>42400</v>
      </c>
      <c r="D87" s="685">
        <v>180499</v>
      </c>
      <c r="E87" s="685">
        <v>31</v>
      </c>
      <c r="F87" s="680">
        <f t="shared" si="7"/>
        <v>46928347.991712004</v>
      </c>
      <c r="G87" s="692"/>
      <c r="H87" s="692"/>
      <c r="I87" s="682">
        <f t="shared" si="3"/>
        <v>927584.36100000003</v>
      </c>
      <c r="K87" s="683">
        <f t="shared" si="4"/>
        <v>9175.3658333333333</v>
      </c>
      <c r="L87" s="684">
        <f t="shared" si="5"/>
        <v>75.207916666666677</v>
      </c>
      <c r="M87" s="684">
        <f t="shared" si="6"/>
        <v>0</v>
      </c>
    </row>
    <row r="88" spans="1:13" s="661" customFormat="1" ht="15.75" thickBot="1">
      <c r="A88" s="661" t="s">
        <v>506</v>
      </c>
      <c r="B88" s="748">
        <f>Units_month!C68</f>
        <v>42401</v>
      </c>
      <c r="C88" s="708">
        <f>Units_month!D68</f>
        <v>42429</v>
      </c>
      <c r="D88" s="685">
        <v>183412</v>
      </c>
      <c r="E88" s="685">
        <v>29</v>
      </c>
      <c r="F88" s="680">
        <f t="shared" si="7"/>
        <v>44609208.395904005</v>
      </c>
      <c r="G88" s="692"/>
      <c r="H88" s="692"/>
      <c r="I88" s="682">
        <f t="shared" si="3"/>
        <v>942554.26800000004</v>
      </c>
      <c r="K88" s="683">
        <f t="shared" si="4"/>
        <v>9323.4433333333327</v>
      </c>
      <c r="L88" s="684">
        <f t="shared" si="5"/>
        <v>76.421666666666667</v>
      </c>
      <c r="M88" s="684">
        <f t="shared" si="6"/>
        <v>0</v>
      </c>
    </row>
    <row r="89" spans="1:13" s="661" customFormat="1" ht="15.75" thickBot="1">
      <c r="A89" s="661" t="s">
        <v>506</v>
      </c>
      <c r="B89" s="748">
        <f>Units_month!C69</f>
        <v>42430</v>
      </c>
      <c r="C89" s="708">
        <f>Units_month!D69</f>
        <v>42460</v>
      </c>
      <c r="D89" s="685">
        <v>187030</v>
      </c>
      <c r="E89" s="685">
        <v>31</v>
      </c>
      <c r="F89" s="680">
        <f t="shared" si="7"/>
        <v>48626357.624640003</v>
      </c>
      <c r="G89" s="692"/>
      <c r="H89" s="692"/>
      <c r="I89" s="682">
        <f t="shared" si="3"/>
        <v>961147.17</v>
      </c>
      <c r="K89" s="683">
        <f t="shared" si="4"/>
        <v>9507.3583333333336</v>
      </c>
      <c r="L89" s="684">
        <f t="shared" si="5"/>
        <v>77.929166666666674</v>
      </c>
      <c r="M89" s="684">
        <f t="shared" si="6"/>
        <v>0</v>
      </c>
    </row>
    <row r="90" spans="1:13" s="661" customFormat="1" ht="15.75" thickBot="1">
      <c r="A90" s="661" t="s">
        <v>506</v>
      </c>
      <c r="B90" s="749">
        <f>Units_month!C70</f>
        <v>42461</v>
      </c>
      <c r="C90" s="709">
        <f>Units_month!D70</f>
        <v>42490</v>
      </c>
      <c r="D90" s="688">
        <v>189930</v>
      </c>
      <c r="E90" s="688">
        <v>30</v>
      </c>
      <c r="F90" s="680">
        <f t="shared" si="7"/>
        <v>47787421.219199993</v>
      </c>
      <c r="G90" s="696"/>
      <c r="H90" s="696">
        <f>SUM(F79:F90)</f>
        <v>532498315.13481599</v>
      </c>
      <c r="I90" s="682">
        <f t="shared" si="3"/>
        <v>976050.27</v>
      </c>
      <c r="K90" s="683">
        <f t="shared" si="4"/>
        <v>9654.7749999999996</v>
      </c>
      <c r="L90" s="684">
        <f t="shared" si="5"/>
        <v>79.137500000000003</v>
      </c>
      <c r="M90" s="684">
        <f t="shared" si="6"/>
        <v>0</v>
      </c>
    </row>
    <row r="91" spans="1:13" s="661" customFormat="1" ht="15.75" thickBot="1">
      <c r="A91" s="661" t="s">
        <v>507</v>
      </c>
      <c r="B91" s="750">
        <f>Units_month!C71</f>
        <v>42491</v>
      </c>
      <c r="C91" s="707">
        <f>Units_month!D71</f>
        <v>42521</v>
      </c>
      <c r="D91" s="680">
        <v>134029</v>
      </c>
      <c r="E91" s="680">
        <v>31</v>
      </c>
      <c r="F91" s="680">
        <f t="shared" ref="F91:F154" si="8">D91*E91*$C$3*VLOOKUP(A91,$A$5:$I$19,$B$4,0)*VLOOKUP(A91,$A$5:$I$19,$C$4,0)</f>
        <v>34846506.368351996</v>
      </c>
      <c r="G91" s="699"/>
      <c r="H91" s="699"/>
      <c r="I91" s="682">
        <f t="shared" ref="I91:I154" si="9">D91*VLOOKUP(A91,$A$5:$I$19,$C$4,0)</f>
        <v>688775.03100000008</v>
      </c>
      <c r="J91" s="700"/>
      <c r="K91" s="683">
        <f t="shared" ref="K91:K154" si="10">D91*VLOOKUP(A91,$A$5:$I$19,$G$4,0)</f>
        <v>6551.3435172500976</v>
      </c>
      <c r="L91" s="684">
        <f t="shared" ref="L91:L154" si="11">D91*VLOOKUP(A91,$A$5:$I$19,$H$4,0)</f>
        <v>0</v>
      </c>
      <c r="M91" s="684">
        <f t="shared" ref="M91:M154" si="12">D91*VLOOKUP(A91,$A$5:$I$19,$I$4,0)</f>
        <v>0</v>
      </c>
    </row>
    <row r="92" spans="1:13" s="661" customFormat="1" ht="15.75" thickBot="1">
      <c r="A92" s="661" t="s">
        <v>507</v>
      </c>
      <c r="B92" s="748">
        <f>Units_month!C72</f>
        <v>42522</v>
      </c>
      <c r="C92" s="708">
        <f>Units_month!D72</f>
        <v>42551</v>
      </c>
      <c r="D92" s="685">
        <v>136588</v>
      </c>
      <c r="E92" s="685">
        <v>30</v>
      </c>
      <c r="F92" s="680">
        <f t="shared" si="8"/>
        <v>34366283.838720001</v>
      </c>
      <c r="G92" s="694"/>
      <c r="H92" s="694"/>
      <c r="I92" s="682">
        <f t="shared" si="9"/>
        <v>701925.73200000008</v>
      </c>
      <c r="K92" s="683">
        <f t="shared" si="10"/>
        <v>6676.4275517548913</v>
      </c>
      <c r="L92" s="684">
        <f t="shared" si="11"/>
        <v>0</v>
      </c>
      <c r="M92" s="684">
        <f t="shared" si="12"/>
        <v>0</v>
      </c>
    </row>
    <row r="93" spans="1:13" s="661" customFormat="1" ht="15.75" thickBot="1">
      <c r="A93" s="661" t="s">
        <v>507</v>
      </c>
      <c r="B93" s="748">
        <f>Units_month!C73</f>
        <v>42552</v>
      </c>
      <c r="C93" s="708">
        <f>Units_month!D73</f>
        <v>42582</v>
      </c>
      <c r="D93" s="685">
        <v>140070</v>
      </c>
      <c r="E93" s="685">
        <v>31</v>
      </c>
      <c r="F93" s="680">
        <f t="shared" si="8"/>
        <v>36417119.780160002</v>
      </c>
      <c r="G93" s="694"/>
      <c r="H93" s="694"/>
      <c r="I93" s="682">
        <f t="shared" si="9"/>
        <v>719819.73</v>
      </c>
      <c r="K93" s="683">
        <f t="shared" si="10"/>
        <v>6846.6278675601634</v>
      </c>
      <c r="L93" s="684">
        <f t="shared" si="11"/>
        <v>0</v>
      </c>
      <c r="M93" s="684">
        <f t="shared" si="12"/>
        <v>0</v>
      </c>
    </row>
    <row r="94" spans="1:13" s="661" customFormat="1" ht="15.75" thickBot="1">
      <c r="A94" s="661" t="s">
        <v>507</v>
      </c>
      <c r="B94" s="748">
        <f>Units_month!C74</f>
        <v>42583</v>
      </c>
      <c r="C94" s="708">
        <f>Units_month!D74</f>
        <v>42613</v>
      </c>
      <c r="D94" s="685">
        <v>142202</v>
      </c>
      <c r="E94" s="685">
        <v>31</v>
      </c>
      <c r="F94" s="680">
        <f t="shared" si="8"/>
        <v>36971423.338175997</v>
      </c>
      <c r="G94" s="694"/>
      <c r="H94" s="694"/>
      <c r="I94" s="682">
        <f t="shared" si="9"/>
        <v>730776.07799999998</v>
      </c>
      <c r="K94" s="683">
        <f t="shared" si="10"/>
        <v>6950.8401229584524</v>
      </c>
      <c r="L94" s="684">
        <f t="shared" si="11"/>
        <v>0</v>
      </c>
      <c r="M94" s="684">
        <f t="shared" si="12"/>
        <v>0</v>
      </c>
    </row>
    <row r="95" spans="1:13" s="661" customFormat="1" ht="15.75" thickBot="1">
      <c r="A95" s="661" t="s">
        <v>507</v>
      </c>
      <c r="B95" s="748">
        <f>Units_month!C75</f>
        <v>42614</v>
      </c>
      <c r="C95" s="708">
        <f>Units_month!D75</f>
        <v>42643</v>
      </c>
      <c r="D95" s="685">
        <v>144086</v>
      </c>
      <c r="E95" s="685">
        <v>30</v>
      </c>
      <c r="F95" s="680">
        <f t="shared" si="8"/>
        <v>36252821.427840002</v>
      </c>
      <c r="G95" s="694"/>
      <c r="H95" s="694"/>
      <c r="I95" s="682">
        <f t="shared" si="9"/>
        <v>740457.95400000003</v>
      </c>
      <c r="K95" s="683">
        <f t="shared" si="10"/>
        <v>7042.930127259754</v>
      </c>
      <c r="L95" s="684">
        <f t="shared" si="11"/>
        <v>0</v>
      </c>
      <c r="M95" s="684">
        <f t="shared" si="12"/>
        <v>0</v>
      </c>
    </row>
    <row r="96" spans="1:13" s="661" customFormat="1" ht="15.75" thickBot="1">
      <c r="A96" s="661" t="s">
        <v>507</v>
      </c>
      <c r="B96" s="748">
        <f>Units_month!C76</f>
        <v>42644</v>
      </c>
      <c r="C96" s="708">
        <f>Units_month!D76</f>
        <v>42674</v>
      </c>
      <c r="D96" s="685">
        <v>147141</v>
      </c>
      <c r="E96" s="685">
        <v>31</v>
      </c>
      <c r="F96" s="680">
        <f t="shared" si="8"/>
        <v>38255525.248608001</v>
      </c>
      <c r="G96" s="694"/>
      <c r="H96" s="694"/>
      <c r="I96" s="682">
        <f t="shared" si="9"/>
        <v>756157.59900000005</v>
      </c>
      <c r="K96" s="683">
        <f t="shared" si="10"/>
        <v>7192.2586639585206</v>
      </c>
      <c r="L96" s="684">
        <f t="shared" si="11"/>
        <v>0</v>
      </c>
      <c r="M96" s="684">
        <f t="shared" si="12"/>
        <v>0</v>
      </c>
    </row>
    <row r="97" spans="1:14" s="661" customFormat="1" ht="15.75" thickBot="1">
      <c r="A97" s="661" t="s">
        <v>507</v>
      </c>
      <c r="B97" s="748">
        <f>Units_month!C77</f>
        <v>42675</v>
      </c>
      <c r="C97" s="708">
        <f>Units_month!D77</f>
        <v>42704</v>
      </c>
      <c r="D97" s="685">
        <v>148802</v>
      </c>
      <c r="E97" s="685">
        <v>30</v>
      </c>
      <c r="F97" s="680">
        <f t="shared" si="8"/>
        <v>37439392.682879999</v>
      </c>
      <c r="G97" s="694"/>
      <c r="H97" s="694"/>
      <c r="I97" s="682">
        <f t="shared" si="9"/>
        <v>764693.478</v>
      </c>
      <c r="K97" s="683">
        <f t="shared" si="10"/>
        <v>7273.448418281484</v>
      </c>
      <c r="L97" s="684">
        <f t="shared" si="11"/>
        <v>0</v>
      </c>
      <c r="M97" s="684">
        <f t="shared" si="12"/>
        <v>0</v>
      </c>
    </row>
    <row r="98" spans="1:14" s="661" customFormat="1" ht="15.75" thickBot="1">
      <c r="A98" s="661" t="s">
        <v>507</v>
      </c>
      <c r="B98" s="748">
        <f>Units_month!C78</f>
        <v>42705</v>
      </c>
      <c r="C98" s="708">
        <f>Units_month!D78</f>
        <v>42735</v>
      </c>
      <c r="D98" s="685">
        <v>150955</v>
      </c>
      <c r="E98" s="685">
        <v>31</v>
      </c>
      <c r="F98" s="680">
        <f t="shared" si="8"/>
        <v>39247135.835039996</v>
      </c>
      <c r="G98" s="698">
        <f>SUM(F87:F98)</f>
        <v>481747543.75123197</v>
      </c>
      <c r="H98" s="698"/>
      <c r="I98" s="682">
        <f t="shared" si="9"/>
        <v>775757.745</v>
      </c>
      <c r="K98" s="683">
        <f t="shared" si="10"/>
        <v>7378.687154619437</v>
      </c>
      <c r="L98" s="684">
        <f t="shared" si="11"/>
        <v>0</v>
      </c>
      <c r="M98" s="684">
        <f t="shared" si="12"/>
        <v>0</v>
      </c>
    </row>
    <row r="99" spans="1:14" s="661" customFormat="1" ht="15.75" thickBot="1">
      <c r="A99" s="661" t="s">
        <v>507</v>
      </c>
      <c r="B99" s="748">
        <f>Units_month!C79</f>
        <v>42736</v>
      </c>
      <c r="C99" s="708">
        <f>Units_month!D79</f>
        <v>42766</v>
      </c>
      <c r="D99" s="685">
        <v>153942</v>
      </c>
      <c r="E99" s="685">
        <v>31</v>
      </c>
      <c r="F99" s="680">
        <f t="shared" si="8"/>
        <v>40023732.799295999</v>
      </c>
      <c r="G99" s="694"/>
      <c r="H99" s="694"/>
      <c r="I99" s="682">
        <f t="shared" si="9"/>
        <v>791107.93800000008</v>
      </c>
      <c r="K99" s="683">
        <f t="shared" si="10"/>
        <v>7524.6918482754818</v>
      </c>
      <c r="L99" s="684">
        <f t="shared" si="11"/>
        <v>0</v>
      </c>
      <c r="M99" s="684">
        <f t="shared" si="12"/>
        <v>0</v>
      </c>
    </row>
    <row r="100" spans="1:14" s="661" customFormat="1" ht="15.75" thickBot="1">
      <c r="A100" s="661" t="s">
        <v>507</v>
      </c>
      <c r="B100" s="748">
        <f>Units_month!C80</f>
        <v>42767</v>
      </c>
      <c r="C100" s="708">
        <f>Units_month!D80</f>
        <v>42794</v>
      </c>
      <c r="D100" s="685">
        <v>157732</v>
      </c>
      <c r="E100" s="685">
        <v>28</v>
      </c>
      <c r="F100" s="680">
        <f t="shared" si="8"/>
        <v>37040480.644607998</v>
      </c>
      <c r="G100" s="694"/>
      <c r="H100" s="694"/>
      <c r="I100" s="682">
        <f t="shared" si="9"/>
        <v>810584.74800000002</v>
      </c>
      <c r="K100" s="683">
        <f t="shared" si="10"/>
        <v>7709.9472178624956</v>
      </c>
      <c r="L100" s="684">
        <f t="shared" si="11"/>
        <v>0</v>
      </c>
      <c r="M100" s="684">
        <f t="shared" si="12"/>
        <v>0</v>
      </c>
    </row>
    <row r="101" spans="1:14" s="661" customFormat="1" ht="15.75" thickBot="1">
      <c r="A101" s="661" t="s">
        <v>507</v>
      </c>
      <c r="B101" s="748">
        <f>Units_month!C81</f>
        <v>42795</v>
      </c>
      <c r="C101" s="708">
        <f>Units_month!D81</f>
        <v>42825</v>
      </c>
      <c r="D101" s="685">
        <v>160349</v>
      </c>
      <c r="E101" s="685">
        <v>31</v>
      </c>
      <c r="F101" s="680">
        <f t="shared" si="8"/>
        <v>41689503.388512</v>
      </c>
      <c r="G101" s="694"/>
      <c r="H101" s="694"/>
      <c r="I101" s="682">
        <f t="shared" si="9"/>
        <v>824033.51100000006</v>
      </c>
      <c r="K101" s="683">
        <f t="shared" si="10"/>
        <v>7837.8662949625523</v>
      </c>
      <c r="L101" s="684">
        <f t="shared" si="11"/>
        <v>0</v>
      </c>
      <c r="M101" s="684">
        <f t="shared" si="12"/>
        <v>0</v>
      </c>
    </row>
    <row r="102" spans="1:14" s="661" customFormat="1" ht="15.75" thickBot="1">
      <c r="A102" s="661" t="s">
        <v>507</v>
      </c>
      <c r="B102" s="749">
        <f>Units_month!C82</f>
        <v>42826</v>
      </c>
      <c r="C102" s="709">
        <f>Units_month!D82</f>
        <v>42855</v>
      </c>
      <c r="D102" s="688">
        <v>162729</v>
      </c>
      <c r="E102" s="688">
        <v>30</v>
      </c>
      <c r="F102" s="680">
        <f t="shared" si="8"/>
        <v>40943501.64576</v>
      </c>
      <c r="G102" s="696"/>
      <c r="H102" s="696">
        <f>SUM(F91:F102)</f>
        <v>453493426.99795198</v>
      </c>
      <c r="I102" s="682">
        <f t="shared" si="9"/>
        <v>836264.33100000001</v>
      </c>
      <c r="J102" s="701"/>
      <c r="K102" s="683">
        <f t="shared" si="10"/>
        <v>7954.2008014578269</v>
      </c>
      <c r="L102" s="684">
        <f t="shared" si="11"/>
        <v>0</v>
      </c>
      <c r="M102" s="684">
        <f t="shared" si="12"/>
        <v>0</v>
      </c>
      <c r="N102" s="702"/>
    </row>
    <row r="103" spans="1:14" s="661" customFormat="1" ht="15.75" thickBot="1">
      <c r="A103" s="661" t="s">
        <v>508</v>
      </c>
      <c r="B103" s="750">
        <f>Units_month!C83</f>
        <v>42856</v>
      </c>
      <c r="C103" s="707">
        <f>Units_month!D83</f>
        <v>42886</v>
      </c>
      <c r="D103" s="680">
        <v>143421</v>
      </c>
      <c r="E103" s="680">
        <v>31</v>
      </c>
      <c r="F103" s="680">
        <f t="shared" si="8"/>
        <v>37288353.937247999</v>
      </c>
      <c r="G103" s="699"/>
      <c r="H103" s="699"/>
      <c r="I103" s="682">
        <f t="shared" si="9"/>
        <v>737040.51900000009</v>
      </c>
      <c r="K103" s="683">
        <f t="shared" si="10"/>
        <v>5353.1857734121431</v>
      </c>
      <c r="L103" s="684">
        <f t="shared" si="11"/>
        <v>536.817052638826</v>
      </c>
      <c r="M103" s="684">
        <f t="shared" si="12"/>
        <v>0</v>
      </c>
    </row>
    <row r="104" spans="1:14" s="661" customFormat="1" ht="15.75" thickBot="1">
      <c r="A104" s="661" t="s">
        <v>508</v>
      </c>
      <c r="B104" s="748">
        <f>Units_month!C84</f>
        <v>42887</v>
      </c>
      <c r="C104" s="708">
        <f>Units_month!D84</f>
        <v>42916</v>
      </c>
      <c r="D104" s="685">
        <v>145029</v>
      </c>
      <c r="E104" s="685">
        <v>30</v>
      </c>
      <c r="F104" s="680">
        <f t="shared" si="8"/>
        <v>36490085.357759997</v>
      </c>
      <c r="G104" s="694"/>
      <c r="H104" s="694"/>
      <c r="I104" s="682">
        <f t="shared" si="9"/>
        <v>745304.03100000008</v>
      </c>
      <c r="K104" s="683">
        <f t="shared" si="10"/>
        <v>5413.2043391985117</v>
      </c>
      <c r="L104" s="684">
        <f t="shared" si="11"/>
        <v>542.83570974373561</v>
      </c>
      <c r="M104" s="684">
        <f t="shared" si="12"/>
        <v>0</v>
      </c>
    </row>
    <row r="105" spans="1:14" s="661" customFormat="1" ht="15.75" thickBot="1">
      <c r="A105" s="661" t="s">
        <v>508</v>
      </c>
      <c r="B105" s="748">
        <f>Units_month!C85</f>
        <v>42917</v>
      </c>
      <c r="C105" s="708">
        <f>Units_month!D85</f>
        <v>42947</v>
      </c>
      <c r="D105" s="685">
        <v>146354</v>
      </c>
      <c r="E105" s="685">
        <v>31</v>
      </c>
      <c r="F105" s="680">
        <f t="shared" si="8"/>
        <v>38050911.317952</v>
      </c>
      <c r="G105" s="694"/>
      <c r="H105" s="694"/>
      <c r="I105" s="682">
        <f t="shared" si="9"/>
        <v>752113.20600000001</v>
      </c>
      <c r="K105" s="683">
        <f t="shared" si="10"/>
        <v>5462.6599360063092</v>
      </c>
      <c r="L105" s="684">
        <f t="shared" si="11"/>
        <v>547.79511314174874</v>
      </c>
      <c r="M105" s="684">
        <f t="shared" si="12"/>
        <v>0</v>
      </c>
    </row>
    <row r="106" spans="1:14" s="661" customFormat="1" ht="15.75" thickBot="1">
      <c r="A106" s="661" t="s">
        <v>508</v>
      </c>
      <c r="B106" s="748">
        <f>Units_month!C86</f>
        <v>42948</v>
      </c>
      <c r="C106" s="708">
        <f>Units_month!D86</f>
        <v>42978</v>
      </c>
      <c r="D106" s="685">
        <v>147453</v>
      </c>
      <c r="E106" s="685">
        <v>31</v>
      </c>
      <c r="F106" s="680">
        <f t="shared" si="8"/>
        <v>38336642.842464</v>
      </c>
      <c r="G106" s="694"/>
      <c r="H106" s="694"/>
      <c r="I106" s="682">
        <f t="shared" si="9"/>
        <v>757760.96700000006</v>
      </c>
      <c r="K106" s="683">
        <f t="shared" si="10"/>
        <v>5503.6800876227389</v>
      </c>
      <c r="L106" s="684">
        <f t="shared" si="11"/>
        <v>551.9086107526291</v>
      </c>
      <c r="M106" s="684">
        <f t="shared" si="12"/>
        <v>0</v>
      </c>
    </row>
    <row r="107" spans="1:14" s="661" customFormat="1" ht="15.75" thickBot="1">
      <c r="A107" s="661" t="s">
        <v>508</v>
      </c>
      <c r="B107" s="748">
        <f>Units_month!C87</f>
        <v>42979</v>
      </c>
      <c r="C107" s="708">
        <f>Units_month!D87</f>
        <v>43008</v>
      </c>
      <c r="D107" s="685">
        <v>148669</v>
      </c>
      <c r="E107" s="685">
        <v>30</v>
      </c>
      <c r="F107" s="680">
        <f t="shared" si="8"/>
        <v>37405929.159359999</v>
      </c>
      <c r="G107" s="694"/>
      <c r="H107" s="694"/>
      <c r="I107" s="682">
        <f t="shared" si="9"/>
        <v>764009.99100000004</v>
      </c>
      <c r="K107" s="683">
        <f t="shared" si="10"/>
        <v>5549.067261749743</v>
      </c>
      <c r="L107" s="684">
        <f t="shared" si="11"/>
        <v>556.46003304091892</v>
      </c>
      <c r="M107" s="684">
        <f t="shared" si="12"/>
        <v>0</v>
      </c>
    </row>
    <row r="108" spans="1:14" s="661" customFormat="1" ht="15.75" thickBot="1">
      <c r="A108" s="661" t="s">
        <v>508</v>
      </c>
      <c r="B108" s="748">
        <f>Units_month!C88</f>
        <v>43009</v>
      </c>
      <c r="C108" s="708">
        <f>Units_month!D88</f>
        <v>43039</v>
      </c>
      <c r="D108" s="685">
        <v>150423</v>
      </c>
      <c r="E108" s="685">
        <v>31</v>
      </c>
      <c r="F108" s="680">
        <f t="shared" si="8"/>
        <v>39108819.937823996</v>
      </c>
      <c r="G108" s="694"/>
      <c r="H108" s="694"/>
      <c r="I108" s="682">
        <f t="shared" si="9"/>
        <v>773023.79700000002</v>
      </c>
      <c r="K108" s="683">
        <f t="shared" si="10"/>
        <v>5614.5352744296497</v>
      </c>
      <c r="L108" s="684">
        <f t="shared" si="11"/>
        <v>563.02516025610009</v>
      </c>
      <c r="M108" s="684">
        <f t="shared" si="12"/>
        <v>0</v>
      </c>
    </row>
    <row r="109" spans="1:14" s="661" customFormat="1" ht="15.75" thickBot="1">
      <c r="A109" s="661" t="s">
        <v>508</v>
      </c>
      <c r="B109" s="751">
        <f>Units_month!C89</f>
        <v>43040</v>
      </c>
      <c r="C109" s="710">
        <f>Units_month!D89</f>
        <v>43069</v>
      </c>
      <c r="D109" s="711">
        <v>153019</v>
      </c>
      <c r="E109" s="711">
        <v>30</v>
      </c>
      <c r="F109" s="807">
        <f t="shared" si="8"/>
        <v>38500412.823359996</v>
      </c>
      <c r="G109" s="712"/>
      <c r="H109" s="712">
        <f>SUM(F103:F109)</f>
        <v>265181155.37596801</v>
      </c>
      <c r="I109" s="808">
        <f t="shared" si="9"/>
        <v>786364.64100000006</v>
      </c>
      <c r="K109" s="809">
        <f t="shared" si="10"/>
        <v>5711.4309191942102</v>
      </c>
      <c r="L109" s="810">
        <f t="shared" si="11"/>
        <v>572.74184797024509</v>
      </c>
      <c r="M109" s="810">
        <f t="shared" si="12"/>
        <v>0</v>
      </c>
    </row>
    <row r="110" spans="1:14" s="661" customFormat="1" ht="15.75" thickBot="1">
      <c r="A110" s="661" t="s">
        <v>330</v>
      </c>
      <c r="B110" s="819">
        <f>Units_month!C90</f>
        <v>43070</v>
      </c>
      <c r="C110" s="820">
        <f>Units_month!D90</f>
        <v>43100</v>
      </c>
      <c r="D110" s="821">
        <f>Units_month!H90*Units_month!I90*Units_month!J90</f>
        <v>162921.43887867214</v>
      </c>
      <c r="E110" s="822">
        <f>DAY(C110)</f>
        <v>31</v>
      </c>
      <c r="F110" s="823">
        <f t="shared" si="8"/>
        <v>35173142.0238043</v>
      </c>
      <c r="G110" s="824">
        <f>SUM(F99:F110)</f>
        <v>460051515.87794828</v>
      </c>
      <c r="H110" s="824"/>
      <c r="I110" s="825">
        <f t="shared" si="9"/>
        <v>777135.26345126599</v>
      </c>
      <c r="J110" s="826"/>
      <c r="K110" s="827">
        <f t="shared" si="10"/>
        <v>4443.4866334778471</v>
      </c>
      <c r="L110" s="828">
        <f t="shared" si="11"/>
        <v>86.220051279508013</v>
      </c>
      <c r="M110" s="829">
        <f t="shared" si="12"/>
        <v>91.710917353701603</v>
      </c>
    </row>
    <row r="111" spans="1:14" s="661" customFormat="1" ht="15.75" thickBot="1">
      <c r="A111" s="661" t="s">
        <v>330</v>
      </c>
      <c r="B111" s="830">
        <f>Units_month!C91</f>
        <v>43101</v>
      </c>
      <c r="C111" s="713">
        <f>Units_month!D91</f>
        <v>43131</v>
      </c>
      <c r="D111" s="714">
        <f>Units_month!H91*Units_month!I91*Units_month!J91</f>
        <v>163655.25502025307</v>
      </c>
      <c r="E111" s="719">
        <f t="shared" ref="E111:E174" si="13">DAY(C111)</f>
        <v>31</v>
      </c>
      <c r="F111" s="680">
        <f t="shared" si="8"/>
        <v>35331565.737373434</v>
      </c>
      <c r="G111" s="716"/>
      <c r="H111" s="716"/>
      <c r="I111" s="682">
        <f t="shared" si="9"/>
        <v>780635.56644660712</v>
      </c>
      <c r="J111" s="831"/>
      <c r="K111" s="683">
        <f t="shared" si="10"/>
        <v>4463.5005876817095</v>
      </c>
      <c r="L111" s="684">
        <f t="shared" si="11"/>
        <v>86.608395906171637</v>
      </c>
      <c r="M111" s="832">
        <f t="shared" si="12"/>
        <v>92.123993447164395</v>
      </c>
    </row>
    <row r="112" spans="1:14" s="661" customFormat="1" ht="15.75" thickBot="1">
      <c r="A112" s="661" t="s">
        <v>330</v>
      </c>
      <c r="B112" s="830">
        <f>Units_month!C92</f>
        <v>43132</v>
      </c>
      <c r="C112" s="715">
        <f>Units_month!D92</f>
        <v>43159</v>
      </c>
      <c r="D112" s="714">
        <f>Units_month!H92*Units_month!I92*Units_month!J92</f>
        <v>162575.91397944486</v>
      </c>
      <c r="E112" s="719">
        <f t="shared" si="13"/>
        <v>28</v>
      </c>
      <c r="F112" s="680">
        <f t="shared" si="8"/>
        <v>31701913.043798193</v>
      </c>
      <c r="G112" s="716"/>
      <c r="H112" s="716"/>
      <c r="I112" s="682">
        <f t="shared" si="9"/>
        <v>775487.10968195193</v>
      </c>
      <c r="J112" s="831"/>
      <c r="K112" s="683">
        <f t="shared" si="10"/>
        <v>4434.062856706556</v>
      </c>
      <c r="L112" s="684">
        <f t="shared" si="11"/>
        <v>86.037195206453632</v>
      </c>
      <c r="M112" s="832">
        <f t="shared" si="12"/>
        <v>91.516416214411521</v>
      </c>
    </row>
    <row r="113" spans="1:13" ht="15.75" thickBot="1">
      <c r="A113" s="661" t="s">
        <v>330</v>
      </c>
      <c r="B113" s="833">
        <f>Units_month!C93</f>
        <v>43160</v>
      </c>
      <c r="C113" s="717">
        <f>Units_month!D93</f>
        <v>43190</v>
      </c>
      <c r="D113" s="714">
        <f>Units_month!H93*Units_month!I93*Units_month!J93</f>
        <v>160483.75732046951</v>
      </c>
      <c r="E113" s="719">
        <f t="shared" si="13"/>
        <v>31</v>
      </c>
      <c r="F113" s="680">
        <f t="shared" si="8"/>
        <v>34646870.464667626</v>
      </c>
      <c r="G113" s="718"/>
      <c r="H113" s="718"/>
      <c r="I113" s="682">
        <f t="shared" si="9"/>
        <v>765507.52241863951</v>
      </c>
      <c r="J113" s="834"/>
      <c r="K113" s="683">
        <f t="shared" si="10"/>
        <v>4377.0017957849068</v>
      </c>
      <c r="L113" s="684">
        <f t="shared" si="11"/>
        <v>84.929999887880783</v>
      </c>
      <c r="M113" s="832">
        <f t="shared" si="12"/>
        <v>90.338709905389948</v>
      </c>
    </row>
    <row r="114" spans="1:13" ht="15.75" thickBot="1">
      <c r="A114" s="661" t="s">
        <v>330</v>
      </c>
      <c r="B114" s="833">
        <f>Units_month!C94</f>
        <v>43191</v>
      </c>
      <c r="C114" s="717">
        <f>Units_month!D94</f>
        <v>43220</v>
      </c>
      <c r="D114" s="714">
        <f>Units_month!H94*Units_month!I94*Units_month!J94</f>
        <v>159566.65685120414</v>
      </c>
      <c r="E114" s="719">
        <f t="shared" si="13"/>
        <v>30</v>
      </c>
      <c r="F114" s="680">
        <f t="shared" si="8"/>
        <v>33337623.34929467</v>
      </c>
      <c r="G114" s="718"/>
      <c r="H114" s="718"/>
      <c r="I114" s="682">
        <f t="shared" si="9"/>
        <v>761132.95318024373</v>
      </c>
      <c r="J114" s="834"/>
      <c r="K114" s="683">
        <f t="shared" si="10"/>
        <v>4351.9889816041305</v>
      </c>
      <c r="L114" s="684">
        <f t="shared" si="11"/>
        <v>84.444658915982004</v>
      </c>
      <c r="M114" s="832">
        <f t="shared" si="12"/>
        <v>89.822460319572869</v>
      </c>
    </row>
    <row r="115" spans="1:13" ht="15.75" thickBot="1">
      <c r="A115" s="661" t="s">
        <v>330</v>
      </c>
      <c r="B115" s="833">
        <f>Units_month!C95</f>
        <v>43221</v>
      </c>
      <c r="C115" s="717">
        <f>Units_month!D95</f>
        <v>43251</v>
      </c>
      <c r="D115" s="714">
        <f>Units_month!H95*Units_month!I95*Units_month!J95</f>
        <v>156817.39193593801</v>
      </c>
      <c r="E115" s="719">
        <f t="shared" si="13"/>
        <v>31</v>
      </c>
      <c r="F115" s="680">
        <f t="shared" si="8"/>
        <v>33855338.10852804</v>
      </c>
      <c r="G115" s="718"/>
      <c r="H115" s="718"/>
      <c r="I115" s="682">
        <f t="shared" si="9"/>
        <v>748018.95953442424</v>
      </c>
      <c r="J115" s="834"/>
      <c r="K115" s="683">
        <f t="shared" si="10"/>
        <v>4277.0060819504379</v>
      </c>
      <c r="L115" s="684">
        <f t="shared" si="11"/>
        <v>82.989713737455048</v>
      </c>
      <c r="M115" s="832">
        <f t="shared" si="12"/>
        <v>88.274857934258989</v>
      </c>
    </row>
    <row r="116" spans="1:13" ht="15.75" thickBot="1">
      <c r="A116" s="661" t="s">
        <v>330</v>
      </c>
      <c r="B116" s="833">
        <f>Units_month!C96</f>
        <v>43252</v>
      </c>
      <c r="C116" s="717">
        <f>Units_month!D96</f>
        <v>43281</v>
      </c>
      <c r="D116" s="714">
        <f>Units_month!H96*Units_month!I96*Units_month!J96</f>
        <v>154911.23492802013</v>
      </c>
      <c r="E116" s="719">
        <f t="shared" si="13"/>
        <v>30</v>
      </c>
      <c r="F116" s="680">
        <f t="shared" si="8"/>
        <v>32364984.668571532</v>
      </c>
      <c r="G116" s="718"/>
      <c r="H116" s="718"/>
      <c r="I116" s="682">
        <f t="shared" si="9"/>
        <v>738926.59060665593</v>
      </c>
      <c r="J116" s="834"/>
      <c r="K116" s="683">
        <f t="shared" si="10"/>
        <v>4225.0179381905436</v>
      </c>
      <c r="L116" s="684">
        <f t="shared" si="11"/>
        <v>81.980951747009684</v>
      </c>
      <c r="M116" s="832">
        <f t="shared" si="12"/>
        <v>87.201853613774674</v>
      </c>
    </row>
    <row r="117" spans="1:13" ht="15.75" thickBot="1">
      <c r="A117" s="661" t="s">
        <v>330</v>
      </c>
      <c r="B117" s="833">
        <f>Units_month!C97</f>
        <v>43282</v>
      </c>
      <c r="C117" s="717">
        <f>Units_month!D97</f>
        <v>43312</v>
      </c>
      <c r="D117" s="714">
        <f>Units_month!H97*Units_month!I97*Units_month!J97</f>
        <v>154636.30843649351</v>
      </c>
      <c r="E117" s="719">
        <f t="shared" si="13"/>
        <v>31</v>
      </c>
      <c r="F117" s="680">
        <f t="shared" si="8"/>
        <v>33384463.555616267</v>
      </c>
      <c r="G117" s="718"/>
      <c r="H117" s="718"/>
      <c r="I117" s="682">
        <f t="shared" si="9"/>
        <v>737615.19124207401</v>
      </c>
      <c r="J117" s="834"/>
      <c r="K117" s="683">
        <f t="shared" si="10"/>
        <v>4217.519648225174</v>
      </c>
      <c r="L117" s="684">
        <f t="shared" si="11"/>
        <v>81.835457229156987</v>
      </c>
      <c r="M117" s="832">
        <f t="shared" si="12"/>
        <v>87.047093375243279</v>
      </c>
    </row>
    <row r="118" spans="1:13" ht="15.75" thickBot="1">
      <c r="A118" s="661" t="s">
        <v>330</v>
      </c>
      <c r="B118" s="833">
        <f>Units_month!C98</f>
        <v>43313</v>
      </c>
      <c r="C118" s="717">
        <f>Units_month!D98</f>
        <v>43343</v>
      </c>
      <c r="D118" s="714">
        <f>Units_month!H98*Units_month!I98*Units_month!J98</f>
        <v>150496.11912335569</v>
      </c>
      <c r="E118" s="719">
        <f t="shared" si="13"/>
        <v>31</v>
      </c>
      <c r="F118" s="680">
        <f t="shared" si="8"/>
        <v>32490637.256765082</v>
      </c>
      <c r="G118" s="718"/>
      <c r="H118" s="718"/>
      <c r="I118" s="682">
        <f t="shared" si="9"/>
        <v>717866.48821840656</v>
      </c>
      <c r="J118" s="834"/>
      <c r="K118" s="683">
        <f t="shared" si="10"/>
        <v>4104.6009556355766</v>
      </c>
      <c r="L118" s="684">
        <f t="shared" si="11"/>
        <v>79.644417564012315</v>
      </c>
      <c r="M118" s="832">
        <f t="shared" si="12"/>
        <v>84.716518820174286</v>
      </c>
    </row>
    <row r="119" spans="1:13" ht="15.75" thickBot="1">
      <c r="A119" s="661" t="s">
        <v>330</v>
      </c>
      <c r="B119" s="833">
        <f>Units_month!C99</f>
        <v>43344</v>
      </c>
      <c r="C119" s="717">
        <f>Units_month!D99</f>
        <v>43373</v>
      </c>
      <c r="D119" s="714">
        <f>Units_month!H99*Units_month!I99*Units_month!J99</f>
        <v>150286.36039278354</v>
      </c>
      <c r="E119" s="719">
        <f t="shared" si="13"/>
        <v>30</v>
      </c>
      <c r="F119" s="680">
        <f t="shared" si="8"/>
        <v>31398728.131422684</v>
      </c>
      <c r="G119" s="718"/>
      <c r="H119" s="718"/>
      <c r="I119" s="682">
        <f t="shared" si="9"/>
        <v>716865.93907357741</v>
      </c>
      <c r="J119" s="834"/>
      <c r="K119" s="683">
        <f t="shared" si="10"/>
        <v>4098.880038106443</v>
      </c>
      <c r="L119" s="684">
        <f t="shared" si="11"/>
        <v>79.533410635576558</v>
      </c>
      <c r="M119" s="832">
        <f t="shared" si="12"/>
        <v>84.598442490035538</v>
      </c>
    </row>
    <row r="120" spans="1:13" ht="15.75" thickBot="1">
      <c r="A120" s="661" t="s">
        <v>330</v>
      </c>
      <c r="B120" s="833">
        <f>Units_month!C100</f>
        <v>43374</v>
      </c>
      <c r="C120" s="717">
        <f>Units_month!D100</f>
        <v>43404</v>
      </c>
      <c r="D120" s="714">
        <f>Units_month!H100*Units_month!I100*Units_month!J100</f>
        <v>150507.65924769136</v>
      </c>
      <c r="E120" s="719">
        <f t="shared" si="13"/>
        <v>31</v>
      </c>
      <c r="F120" s="680">
        <f t="shared" si="8"/>
        <v>32493128.65651593</v>
      </c>
      <c r="G120" s="718"/>
      <c r="H120" s="718"/>
      <c r="I120" s="682">
        <f t="shared" si="9"/>
        <v>717921.53461148776</v>
      </c>
      <c r="J120" s="834"/>
      <c r="K120" s="683">
        <f t="shared" si="10"/>
        <v>4104.9156986711596</v>
      </c>
      <c r="L120" s="684">
        <f t="shared" si="11"/>
        <v>79.650524741304892</v>
      </c>
      <c r="M120" s="832">
        <f t="shared" si="12"/>
        <v>84.723014928952153</v>
      </c>
    </row>
    <row r="121" spans="1:13" ht="15.75" thickBot="1">
      <c r="A121" s="661" t="s">
        <v>330</v>
      </c>
      <c r="B121" s="833">
        <f>Units_month!C101</f>
        <v>43405</v>
      </c>
      <c r="C121" s="717">
        <f>Units_month!D101</f>
        <v>43434</v>
      </c>
      <c r="D121" s="714">
        <f>Units_month!H101*Units_month!I101*Units_month!J101</f>
        <v>145381.80755011737</v>
      </c>
      <c r="E121" s="719">
        <f t="shared" si="13"/>
        <v>30</v>
      </c>
      <c r="F121" s="680">
        <f t="shared" si="8"/>
        <v>30374039.524215821</v>
      </c>
      <c r="G121" s="718"/>
      <c r="H121" s="718"/>
      <c r="I121" s="682">
        <f t="shared" si="9"/>
        <v>693471.22201405978</v>
      </c>
      <c r="J121" s="834"/>
      <c r="K121" s="683">
        <f t="shared" si="10"/>
        <v>3965.1142479834971</v>
      </c>
      <c r="L121" s="684">
        <f t="shared" si="11"/>
        <v>76.937860286229068</v>
      </c>
      <c r="M121" s="832">
        <f t="shared" si="12"/>
        <v>81.83759625944468</v>
      </c>
    </row>
    <row r="122" spans="1:13" ht="15.75" thickBot="1">
      <c r="A122" s="661" t="s">
        <v>330</v>
      </c>
      <c r="B122" s="842">
        <f>Units_month!C102</f>
        <v>43435</v>
      </c>
      <c r="C122" s="843">
        <f>Units_month!D102</f>
        <v>43465</v>
      </c>
      <c r="D122" s="844">
        <f>Units_month!H102*Units_month!I102*Units_month!J102</f>
        <v>142615.57186376932</v>
      </c>
      <c r="E122" s="835">
        <f t="shared" si="13"/>
        <v>31</v>
      </c>
      <c r="F122" s="836">
        <f t="shared" si="8"/>
        <v>30789304.332783528</v>
      </c>
      <c r="G122" s="845">
        <f>SUM(F111:F122)</f>
        <v>392168596.82955283</v>
      </c>
      <c r="H122" s="846">
        <f>SUM(F110:F122)</f>
        <v>427341738.85335714</v>
      </c>
      <c r="I122" s="837">
        <f t="shared" si="9"/>
        <v>680276.27779017959</v>
      </c>
      <c r="J122" s="838"/>
      <c r="K122" s="839">
        <f t="shared" si="10"/>
        <v>3889.6684909245337</v>
      </c>
      <c r="L122" s="840">
        <f t="shared" si="11"/>
        <v>75.473933964624763</v>
      </c>
      <c r="M122" s="841">
        <f t="shared" si="12"/>
        <v>80.280440772986864</v>
      </c>
    </row>
    <row r="123" spans="1:13" ht="15.75" thickBot="1">
      <c r="A123" s="725" t="s">
        <v>331</v>
      </c>
      <c r="B123" s="811">
        <f>Units_month!C103</f>
        <v>43466</v>
      </c>
      <c r="C123" s="812">
        <f>Units_month!D103</f>
        <v>43496</v>
      </c>
      <c r="D123" s="813">
        <f>Units_month!H103*Units_month!I103*Units_month!J103</f>
        <v>157035.72897479331</v>
      </c>
      <c r="E123" s="813">
        <f t="shared" si="13"/>
        <v>31</v>
      </c>
      <c r="F123" s="814">
        <f t="shared" si="8"/>
        <v>33902474.935513921</v>
      </c>
      <c r="G123" s="815"/>
      <c r="H123" s="815"/>
      <c r="I123" s="816">
        <f t="shared" si="9"/>
        <v>749060.42720976402</v>
      </c>
      <c r="K123" s="817">
        <f t="shared" si="10"/>
        <v>4092.4430803748678</v>
      </c>
      <c r="L123" s="818">
        <f t="shared" si="11"/>
        <v>227.84007538453361</v>
      </c>
      <c r="M123" s="818">
        <f t="shared" si="12"/>
        <v>90.985322303482675</v>
      </c>
    </row>
    <row r="124" spans="1:13" ht="15.75" thickBot="1">
      <c r="A124" s="725" t="s">
        <v>331</v>
      </c>
      <c r="B124" s="752">
        <f>Units_month!C104</f>
        <v>43497</v>
      </c>
      <c r="C124" s="717">
        <f>Units_month!D104</f>
        <v>43524</v>
      </c>
      <c r="D124" s="714">
        <f>Units_month!H104*Units_month!I104*Units_month!J104</f>
        <v>155623.8641711864</v>
      </c>
      <c r="E124" s="719">
        <f t="shared" si="13"/>
        <v>28</v>
      </c>
      <c r="F124" s="680">
        <f t="shared" si="8"/>
        <v>30346280.016107332</v>
      </c>
      <c r="G124" s="718"/>
      <c r="H124" s="718"/>
      <c r="I124" s="682">
        <f t="shared" si="9"/>
        <v>742325.83209655911</v>
      </c>
      <c r="K124" s="683">
        <f t="shared" si="10"/>
        <v>4055.6490565965382</v>
      </c>
      <c r="L124" s="684">
        <f t="shared" si="11"/>
        <v>225.79162828662379</v>
      </c>
      <c r="M124" s="684">
        <f t="shared" si="12"/>
        <v>90.167298436915743</v>
      </c>
    </row>
    <row r="125" spans="1:13" ht="15.75" thickBot="1">
      <c r="A125" s="725" t="s">
        <v>331</v>
      </c>
      <c r="B125" s="752">
        <f>Units_month!C105</f>
        <v>43525</v>
      </c>
      <c r="C125" s="717">
        <f>Units_month!D105</f>
        <v>43555</v>
      </c>
      <c r="D125" s="714">
        <f>Units_month!H105*Units_month!I105*Units_month!J105</f>
        <v>155235.54523474126</v>
      </c>
      <c r="E125" s="719">
        <f t="shared" si="13"/>
        <v>31</v>
      </c>
      <c r="F125" s="680">
        <f t="shared" si="8"/>
        <v>33513832.907837331</v>
      </c>
      <c r="G125" s="718"/>
      <c r="H125" s="718"/>
      <c r="I125" s="682">
        <f t="shared" si="9"/>
        <v>740473.5507697158</v>
      </c>
      <c r="K125" s="683">
        <f t="shared" si="10"/>
        <v>4045.5292376559164</v>
      </c>
      <c r="L125" s="684">
        <f t="shared" si="11"/>
        <v>225.2282239178823</v>
      </c>
      <c r="M125" s="684">
        <f t="shared" si="12"/>
        <v>89.942309360737553</v>
      </c>
    </row>
    <row r="126" spans="1:13" ht="15.75" thickBot="1">
      <c r="A126" s="725" t="s">
        <v>331</v>
      </c>
      <c r="B126" s="752">
        <f>Units_month!C106</f>
        <v>43556</v>
      </c>
      <c r="C126" s="717">
        <f>Units_month!D106</f>
        <v>43585</v>
      </c>
      <c r="D126" s="714">
        <f>Units_month!H106*Units_month!I106*Units_month!J106</f>
        <v>154280.08611751493</v>
      </c>
      <c r="E126" s="719">
        <f t="shared" si="13"/>
        <v>30</v>
      </c>
      <c r="F126" s="680">
        <f t="shared" si="8"/>
        <v>32233121.272187922</v>
      </c>
      <c r="G126" s="718"/>
      <c r="H126" s="718"/>
      <c r="I126" s="682">
        <f t="shared" si="9"/>
        <v>735916.01078054612</v>
      </c>
      <c r="K126" s="683">
        <f t="shared" si="10"/>
        <v>4020.6294134031718</v>
      </c>
      <c r="L126" s="684">
        <f t="shared" si="11"/>
        <v>223.84196692581506</v>
      </c>
      <c r="M126" s="684">
        <f t="shared" si="12"/>
        <v>89.388723522048622</v>
      </c>
    </row>
    <row r="127" spans="1:13" ht="15.75" thickBot="1">
      <c r="A127" s="725" t="s">
        <v>331</v>
      </c>
      <c r="B127" s="752">
        <f>Units_month!C107</f>
        <v>43586</v>
      </c>
      <c r="C127" s="717">
        <f>Units_month!D107</f>
        <v>43616</v>
      </c>
      <c r="D127" s="714">
        <f>Units_month!H107*Units_month!I107*Units_month!J107</f>
        <v>154632.49116388423</v>
      </c>
      <c r="E127" s="719">
        <f t="shared" si="13"/>
        <v>31</v>
      </c>
      <c r="F127" s="680">
        <f t="shared" si="8"/>
        <v>33383639.443869196</v>
      </c>
      <c r="G127" s="718"/>
      <c r="H127" s="718"/>
      <c r="I127" s="682">
        <f t="shared" si="9"/>
        <v>737596.98285172775</v>
      </c>
      <c r="K127" s="683">
        <f t="shared" si="10"/>
        <v>4029.8132953319446</v>
      </c>
      <c r="L127" s="684">
        <f t="shared" si="11"/>
        <v>224.3532645321296</v>
      </c>
      <c r="M127" s="684">
        <f t="shared" si="12"/>
        <v>89.592904359967562</v>
      </c>
    </row>
    <row r="128" spans="1:13" ht="15.75" thickBot="1">
      <c r="A128" s="725" t="s">
        <v>331</v>
      </c>
      <c r="B128" s="752">
        <f>Units_month!C108</f>
        <v>43617</v>
      </c>
      <c r="C128" s="717">
        <f>Units_month!D108</f>
        <v>43646</v>
      </c>
      <c r="D128" s="714">
        <f>Units_month!H108*Units_month!I108*Units_month!J108</f>
        <v>154019.71041446499</v>
      </c>
      <c r="E128" s="719">
        <f t="shared" si="13"/>
        <v>30</v>
      </c>
      <c r="F128" s="680">
        <f t="shared" si="8"/>
        <v>32178722.018052507</v>
      </c>
      <c r="G128" s="718"/>
      <c r="H128" s="718"/>
      <c r="I128" s="682">
        <f t="shared" si="9"/>
        <v>734674.01867699798</v>
      </c>
      <c r="K128" s="683">
        <f t="shared" si="10"/>
        <v>4013.8438700672632</v>
      </c>
      <c r="L128" s="684">
        <f t="shared" si="11"/>
        <v>223.46419289821958</v>
      </c>
      <c r="M128" s="684">
        <f t="shared" si="12"/>
        <v>89.237863794669011</v>
      </c>
    </row>
    <row r="129" spans="1:13" ht="15.75" thickBot="1">
      <c r="A129" s="725" t="s">
        <v>331</v>
      </c>
      <c r="B129" s="752">
        <f>Units_month!C109</f>
        <v>43647</v>
      </c>
      <c r="C129" s="717">
        <f>Units_month!D109</f>
        <v>43677</v>
      </c>
      <c r="D129" s="714">
        <f>Units_month!H109*Units_month!I109*Units_month!J109</f>
        <v>152721.57292943157</v>
      </c>
      <c r="E129" s="719">
        <f t="shared" si="13"/>
        <v>31</v>
      </c>
      <c r="F129" s="680">
        <f t="shared" si="8"/>
        <v>32971090.92404956</v>
      </c>
      <c r="G129" s="718"/>
      <c r="H129" s="718"/>
      <c r="I129" s="682">
        <f t="shared" si="9"/>
        <v>728481.90287338849</v>
      </c>
      <c r="K129" s="683">
        <f t="shared" si="10"/>
        <v>3980.0136468264554</v>
      </c>
      <c r="L129" s="684">
        <f t="shared" si="11"/>
        <v>221.58075054799505</v>
      </c>
      <c r="M129" s="684">
        <f t="shared" si="12"/>
        <v>88.485732682589699</v>
      </c>
    </row>
    <row r="130" spans="1:13" ht="15.75" thickBot="1">
      <c r="A130" s="725" t="s">
        <v>331</v>
      </c>
      <c r="B130" s="752">
        <f>Units_month!C110</f>
        <v>43678</v>
      </c>
      <c r="C130" s="717">
        <f>Units_month!D110</f>
        <v>43708</v>
      </c>
      <c r="D130" s="714">
        <f>Units_month!H110*Units_month!I110*Units_month!J110</f>
        <v>149656.92097629223</v>
      </c>
      <c r="E130" s="719">
        <f t="shared" si="13"/>
        <v>31</v>
      </c>
      <c r="F130" s="680">
        <f t="shared" si="8"/>
        <v>32309462.600955918</v>
      </c>
      <c r="G130" s="718"/>
      <c r="H130" s="718"/>
      <c r="I130" s="682">
        <f t="shared" si="9"/>
        <v>713863.51305691386</v>
      </c>
      <c r="K130" s="683">
        <f t="shared" si="10"/>
        <v>3900.1470218153049</v>
      </c>
      <c r="L130" s="684">
        <f t="shared" si="11"/>
        <v>217.13430682089455</v>
      </c>
      <c r="M130" s="684">
        <f t="shared" si="12"/>
        <v>86.710096351133316</v>
      </c>
    </row>
    <row r="131" spans="1:13" ht="15.75" thickBot="1">
      <c r="A131" s="725" t="s">
        <v>331</v>
      </c>
      <c r="B131" s="752">
        <f>Units_month!C111</f>
        <v>43709</v>
      </c>
      <c r="C131" s="717">
        <f>Units_month!D111</f>
        <v>43738</v>
      </c>
      <c r="D131" s="714">
        <f>Units_month!H111*Units_month!I111*Units_month!J111</f>
        <v>149986.87984136411</v>
      </c>
      <c r="E131" s="719">
        <f t="shared" si="13"/>
        <v>30</v>
      </c>
      <c r="F131" s="680">
        <f t="shared" si="8"/>
        <v>31336158.857736837</v>
      </c>
      <c r="G131" s="718"/>
      <c r="H131" s="718"/>
      <c r="I131" s="682">
        <f t="shared" si="9"/>
        <v>715437.41684330674</v>
      </c>
      <c r="K131" s="683">
        <f t="shared" si="10"/>
        <v>3908.7459431116713</v>
      </c>
      <c r="L131" s="684">
        <f t="shared" si="11"/>
        <v>217.61303770069222</v>
      </c>
      <c r="M131" s="684">
        <f t="shared" si="12"/>
        <v>86.901272040140213</v>
      </c>
    </row>
    <row r="132" spans="1:13" ht="15.75" thickBot="1">
      <c r="A132" s="725" t="s">
        <v>331</v>
      </c>
      <c r="B132" s="752">
        <f>Units_month!C112</f>
        <v>43739</v>
      </c>
      <c r="C132" s="717">
        <f>Units_month!D112</f>
        <v>43769</v>
      </c>
      <c r="D132" s="714">
        <f>Units_month!H112*Units_month!I112*Units_month!J112</f>
        <v>149464.63202317775</v>
      </c>
      <c r="E132" s="719">
        <f t="shared" si="13"/>
        <v>31</v>
      </c>
      <c r="F132" s="680">
        <f t="shared" si="8"/>
        <v>32267949.300410245</v>
      </c>
      <c r="G132" s="718"/>
      <c r="H132" s="718"/>
      <c r="I132" s="682">
        <f t="shared" si="9"/>
        <v>712946.29475055775</v>
      </c>
      <c r="K132" s="683">
        <f t="shared" si="10"/>
        <v>3895.1358590643608</v>
      </c>
      <c r="L132" s="684">
        <f t="shared" si="11"/>
        <v>216.85531853040018</v>
      </c>
      <c r="M132" s="684">
        <f t="shared" si="12"/>
        <v>86.598685575453544</v>
      </c>
    </row>
    <row r="133" spans="1:13" ht="15.75" thickBot="1">
      <c r="A133" s="725" t="s">
        <v>331</v>
      </c>
      <c r="B133" s="752">
        <f>Units_month!C113</f>
        <v>43770</v>
      </c>
      <c r="C133" s="717">
        <f>Units_month!D113</f>
        <v>43799</v>
      </c>
      <c r="D133" s="714">
        <f>Units_month!H113*Units_month!I113*Units_month!J113</f>
        <v>150729.84844230828</v>
      </c>
      <c r="E133" s="719">
        <f t="shared" si="13"/>
        <v>30</v>
      </c>
      <c r="F133" s="680">
        <f t="shared" si="8"/>
        <v>31491384.315657701</v>
      </c>
      <c r="G133" s="718"/>
      <c r="H133" s="718"/>
      <c r="I133" s="682">
        <f t="shared" si="9"/>
        <v>718981.37706981041</v>
      </c>
      <c r="K133" s="683">
        <f t="shared" si="10"/>
        <v>3928.1081400443063</v>
      </c>
      <c r="L133" s="684">
        <f t="shared" si="11"/>
        <v>218.69099634839995</v>
      </c>
      <c r="M133" s="684">
        <f t="shared" si="12"/>
        <v>87.331742469128528</v>
      </c>
    </row>
    <row r="134" spans="1:13" ht="15.75" thickBot="1">
      <c r="A134" s="725" t="s">
        <v>331</v>
      </c>
      <c r="B134" s="753">
        <f>Units_month!C114</f>
        <v>43800</v>
      </c>
      <c r="C134" s="720">
        <f>Units_month!D114</f>
        <v>43830</v>
      </c>
      <c r="D134" s="714">
        <f>Units_month!H114*Units_month!I114*Units_month!J114</f>
        <v>148786.00914195279</v>
      </c>
      <c r="E134" s="719">
        <f t="shared" si="13"/>
        <v>31</v>
      </c>
      <c r="F134" s="680">
        <f>D134*E134*$C$3*VLOOKUP(A134,$A$5:$I$19,$B$4,0)*VLOOKUP(A134,$A$5:$I$19,$C$4,0)</f>
        <v>32121441.270858016</v>
      </c>
      <c r="G134" s="926">
        <f>SUM(F123:F134)</f>
        <v>388055557.86323643</v>
      </c>
      <c r="H134" s="927">
        <f>SUM(F123:F134)</f>
        <v>388055557.86323643</v>
      </c>
      <c r="I134" s="682">
        <f t="shared" si="9"/>
        <v>709709.26360711479</v>
      </c>
      <c r="K134" s="683">
        <f t="shared" si="10"/>
        <v>3877.4505492779558</v>
      </c>
      <c r="L134" s="684">
        <f t="shared" si="11"/>
        <v>215.87071783204075</v>
      </c>
      <c r="M134" s="684">
        <f t="shared" si="12"/>
        <v>86.205496573346366</v>
      </c>
    </row>
    <row r="135" spans="1:13" ht="15.75" thickBot="1">
      <c r="A135" s="725" t="s">
        <v>332</v>
      </c>
      <c r="B135" s="754">
        <f>Units_month!C115</f>
        <v>43831</v>
      </c>
      <c r="C135" s="723">
        <f>Units_month!D115</f>
        <v>43861</v>
      </c>
      <c r="D135" s="714">
        <f>Units_month!H115*Units_month!I115*Units_month!J115</f>
        <v>147776.40645403491</v>
      </c>
      <c r="E135" s="719">
        <f t="shared" si="13"/>
        <v>31</v>
      </c>
      <c r="F135" s="680">
        <f t="shared" si="8"/>
        <v>28511196.646287289</v>
      </c>
      <c r="G135" s="724"/>
      <c r="H135" s="724"/>
      <c r="I135" s="682">
        <f t="shared" si="9"/>
        <v>772870.60575460258</v>
      </c>
      <c r="K135" s="683">
        <f t="shared" si="10"/>
        <v>4231.5460131114378</v>
      </c>
      <c r="L135" s="684">
        <f t="shared" si="11"/>
        <v>237.55350073692944</v>
      </c>
      <c r="M135" s="684">
        <f t="shared" si="12"/>
        <v>82.487045753548031</v>
      </c>
    </row>
    <row r="136" spans="1:13" ht="15.75" thickBot="1">
      <c r="A136" s="725" t="s">
        <v>332</v>
      </c>
      <c r="B136" s="752">
        <f>Units_month!C116</f>
        <v>43862</v>
      </c>
      <c r="C136" s="717">
        <f>Units_month!D116</f>
        <v>43890</v>
      </c>
      <c r="D136" s="714">
        <f>Units_month!H116*Units_month!I116*Units_month!J116</f>
        <v>146309.77501304104</v>
      </c>
      <c r="E136" s="719">
        <f t="shared" si="13"/>
        <v>29</v>
      </c>
      <c r="F136" s="680">
        <f t="shared" si="8"/>
        <v>26407056.255711243</v>
      </c>
      <c r="G136" s="718"/>
      <c r="H136" s="718"/>
      <c r="I136" s="682">
        <f t="shared" si="9"/>
        <v>765200.12331820466</v>
      </c>
      <c r="K136" s="683">
        <f t="shared" si="10"/>
        <v>4189.5493332911583</v>
      </c>
      <c r="L136" s="684">
        <f t="shared" si="11"/>
        <v>235.19586164244174</v>
      </c>
      <c r="M136" s="684">
        <f t="shared" si="12"/>
        <v>81.668389395068488</v>
      </c>
    </row>
    <row r="137" spans="1:13" ht="15.75" thickBot="1">
      <c r="A137" s="725" t="s">
        <v>332</v>
      </c>
      <c r="B137" s="752">
        <f>Units_month!C117</f>
        <v>43891</v>
      </c>
      <c r="C137" s="717">
        <f>Units_month!D117</f>
        <v>43921</v>
      </c>
      <c r="D137" s="714">
        <f>Units_month!H117*Units_month!I117*Units_month!J117</f>
        <v>145629.24005650028</v>
      </c>
      <c r="E137" s="719">
        <f t="shared" si="13"/>
        <v>31</v>
      </c>
      <c r="F137" s="680">
        <f t="shared" si="8"/>
        <v>28096933.741528869</v>
      </c>
      <c r="G137" s="718"/>
      <c r="H137" s="718"/>
      <c r="I137" s="682">
        <f t="shared" si="9"/>
        <v>761640.92549549649</v>
      </c>
      <c r="K137" s="683">
        <f t="shared" si="10"/>
        <v>4170.0623593469873</v>
      </c>
      <c r="L137" s="684">
        <f t="shared" si="11"/>
        <v>234.10188821881272</v>
      </c>
      <c r="M137" s="684">
        <f t="shared" si="12"/>
        <v>81.288522815253344</v>
      </c>
    </row>
    <row r="138" spans="1:13" ht="15.75" thickBot="1">
      <c r="A138" s="725" t="s">
        <v>332</v>
      </c>
      <c r="B138" s="752">
        <f>Units_month!C118</f>
        <v>43922</v>
      </c>
      <c r="C138" s="717">
        <f>Units_month!D118</f>
        <v>43951</v>
      </c>
      <c r="D138" s="714">
        <f>Units_month!H118*Units_month!I118*Units_month!J118</f>
        <v>145829.88182586542</v>
      </c>
      <c r="E138" s="719">
        <f t="shared" si="13"/>
        <v>30</v>
      </c>
      <c r="F138" s="680">
        <f t="shared" si="8"/>
        <v>27228043.06558916</v>
      </c>
      <c r="G138" s="718"/>
      <c r="H138" s="718"/>
      <c r="I138" s="682">
        <f t="shared" si="9"/>
        <v>762690.28194927622</v>
      </c>
      <c r="K138" s="683">
        <f t="shared" si="10"/>
        <v>4175.8076937991736</v>
      </c>
      <c r="L138" s="684">
        <f t="shared" si="11"/>
        <v>234.42442383766041</v>
      </c>
      <c r="M138" s="684">
        <f t="shared" si="12"/>
        <v>81.400518682569569</v>
      </c>
    </row>
    <row r="139" spans="1:13" ht="15.75" thickBot="1">
      <c r="A139" s="725" t="s">
        <v>332</v>
      </c>
      <c r="B139" s="752">
        <f>Units_month!C119</f>
        <v>43952</v>
      </c>
      <c r="C139" s="717">
        <f>Units_month!D119</f>
        <v>43982</v>
      </c>
      <c r="D139" s="714">
        <f>Units_month!H119*Units_month!I119*Units_month!J119</f>
        <v>144409.6675106202</v>
      </c>
      <c r="E139" s="719">
        <f t="shared" si="13"/>
        <v>31</v>
      </c>
      <c r="F139" s="680">
        <f t="shared" si="8"/>
        <v>27861635.878261253</v>
      </c>
      <c r="G139" s="718"/>
      <c r="H139" s="718"/>
      <c r="I139" s="682">
        <f t="shared" si="9"/>
        <v>755262.56108054367</v>
      </c>
      <c r="K139" s="683">
        <f t="shared" si="10"/>
        <v>4135.1401585163412</v>
      </c>
      <c r="L139" s="684">
        <f t="shared" si="11"/>
        <v>232.1414011923091</v>
      </c>
      <c r="M139" s="684">
        <f t="shared" si="12"/>
        <v>80.607771815782584</v>
      </c>
    </row>
    <row r="140" spans="1:13" ht="15.75" thickBot="1">
      <c r="A140" s="725" t="s">
        <v>332</v>
      </c>
      <c r="B140" s="752">
        <f>Units_month!C120</f>
        <v>43983</v>
      </c>
      <c r="C140" s="717">
        <f>Units_month!D120</f>
        <v>44012</v>
      </c>
      <c r="D140" s="714">
        <f>Units_month!H120*Units_month!I120*Units_month!J120</f>
        <v>142094.8005297356</v>
      </c>
      <c r="E140" s="719">
        <f t="shared" si="13"/>
        <v>30</v>
      </c>
      <c r="F140" s="680">
        <f t="shared" si="8"/>
        <v>26530662.301707461</v>
      </c>
      <c r="G140" s="718"/>
      <c r="H140" s="718"/>
      <c r="I140" s="682">
        <f t="shared" si="9"/>
        <v>743155.80677051726</v>
      </c>
      <c r="K140" s="683">
        <f t="shared" si="10"/>
        <v>4068.854434164989</v>
      </c>
      <c r="L140" s="684">
        <f t="shared" si="11"/>
        <v>228.42020666440922</v>
      </c>
      <c r="M140" s="684">
        <f t="shared" si="12"/>
        <v>79.315640391372838</v>
      </c>
    </row>
    <row r="141" spans="1:13" ht="15.75" thickBot="1">
      <c r="A141" s="725" t="s">
        <v>332</v>
      </c>
      <c r="B141" s="752">
        <f>Units_month!C121</f>
        <v>44013</v>
      </c>
      <c r="C141" s="717">
        <f>Units_month!D121</f>
        <v>44043</v>
      </c>
      <c r="D141" s="714">
        <f>Units_month!H121*Units_month!I121*Units_month!J121</f>
        <v>141131.27083879168</v>
      </c>
      <c r="E141" s="719">
        <f t="shared" si="13"/>
        <v>31</v>
      </c>
      <c r="F141" s="680">
        <f t="shared" si="8"/>
        <v>27229119.399901025</v>
      </c>
      <c r="G141" s="718"/>
      <c r="H141" s="718"/>
      <c r="I141" s="682">
        <f t="shared" si="9"/>
        <v>738116.54648688051</v>
      </c>
      <c r="K141" s="683">
        <f t="shared" si="10"/>
        <v>4041.2639661054181</v>
      </c>
      <c r="L141" s="684">
        <f t="shared" si="11"/>
        <v>226.87131359927102</v>
      </c>
      <c r="M141" s="684">
        <f t="shared" si="12"/>
        <v>78.777809491238486</v>
      </c>
    </row>
    <row r="142" spans="1:13" ht="15.75" thickBot="1">
      <c r="A142" s="725" t="s">
        <v>332</v>
      </c>
      <c r="B142" s="752">
        <f>Units_month!C122</f>
        <v>44044</v>
      </c>
      <c r="C142" s="717">
        <f>Units_month!D122</f>
        <v>44074</v>
      </c>
      <c r="D142" s="714">
        <f>Units_month!H122*Units_month!I122*Units_month!J122</f>
        <v>140594.47923940801</v>
      </c>
      <c r="E142" s="719">
        <f t="shared" si="13"/>
        <v>31</v>
      </c>
      <c r="F142" s="680">
        <f t="shared" si="8"/>
        <v>27125553.673711415</v>
      </c>
      <c r="G142" s="718"/>
      <c r="H142" s="718"/>
      <c r="I142" s="682">
        <f t="shared" si="9"/>
        <v>735309.12642210396</v>
      </c>
      <c r="K142" s="683">
        <f t="shared" si="10"/>
        <v>4025.8930526643053</v>
      </c>
      <c r="L142" s="684">
        <f t="shared" si="11"/>
        <v>226.00841046974182</v>
      </c>
      <c r="M142" s="684">
        <f t="shared" si="12"/>
        <v>78.478178756664818</v>
      </c>
    </row>
    <row r="143" spans="1:13" ht="15.75" thickBot="1">
      <c r="A143" s="725" t="s">
        <v>332</v>
      </c>
      <c r="B143" s="752">
        <f>Units_month!C123</f>
        <v>44075</v>
      </c>
      <c r="C143" s="717">
        <f>Units_month!D123</f>
        <v>44104</v>
      </c>
      <c r="D143" s="714">
        <f>Units_month!H123*Units_month!I123*Units_month!J123</f>
        <v>139350.94946733513</v>
      </c>
      <c r="E143" s="719">
        <f t="shared" si="13"/>
        <v>30</v>
      </c>
      <c r="F143" s="680">
        <f t="shared" si="8"/>
        <v>26018355.12599561</v>
      </c>
      <c r="G143" s="718"/>
      <c r="H143" s="718"/>
      <c r="I143" s="682">
        <f t="shared" si="9"/>
        <v>728805.4657141628</v>
      </c>
      <c r="K143" s="683">
        <f t="shared" si="10"/>
        <v>3990.2848417498171</v>
      </c>
      <c r="L143" s="684">
        <f t="shared" si="11"/>
        <v>224.00941172755495</v>
      </c>
      <c r="M143" s="684">
        <f t="shared" si="12"/>
        <v>77.784055116320502</v>
      </c>
    </row>
    <row r="144" spans="1:13" ht="15.75" thickBot="1">
      <c r="A144" s="725" t="s">
        <v>332</v>
      </c>
      <c r="B144" s="752">
        <f>Units_month!C124</f>
        <v>44105</v>
      </c>
      <c r="C144" s="717">
        <f>Units_month!D124</f>
        <v>44135</v>
      </c>
      <c r="D144" s="714">
        <f>Units_month!H124*Units_month!I124*Units_month!J124</f>
        <v>141561.75224694455</v>
      </c>
      <c r="E144" s="719">
        <f t="shared" si="13"/>
        <v>31</v>
      </c>
      <c r="F144" s="680">
        <f t="shared" si="8"/>
        <v>27312174.201238576</v>
      </c>
      <c r="G144" s="718"/>
      <c r="H144" s="718"/>
      <c r="I144" s="682">
        <f t="shared" si="9"/>
        <v>740367.96425152011</v>
      </c>
      <c r="K144" s="683">
        <f t="shared" si="10"/>
        <v>4053.5907097994764</v>
      </c>
      <c r="L144" s="684">
        <f t="shared" si="11"/>
        <v>227.56332099045551</v>
      </c>
      <c r="M144" s="684">
        <f t="shared" si="12"/>
        <v>79.018099131935656</v>
      </c>
    </row>
    <row r="145" spans="1:13" ht="15.75" thickBot="1">
      <c r="A145" s="725" t="s">
        <v>332</v>
      </c>
      <c r="B145" s="752">
        <f>Units_month!C125</f>
        <v>44136</v>
      </c>
      <c r="C145" s="717">
        <f>Units_month!D125</f>
        <v>44165</v>
      </c>
      <c r="D145" s="714">
        <f>Units_month!H125*Units_month!I125*Units_month!J125</f>
        <v>139851.056564111</v>
      </c>
      <c r="E145" s="719">
        <f t="shared" si="13"/>
        <v>30</v>
      </c>
      <c r="F145" s="680">
        <f t="shared" si="8"/>
        <v>26111730.62214173</v>
      </c>
      <c r="G145" s="718"/>
      <c r="H145" s="718"/>
      <c r="I145" s="682">
        <f t="shared" si="9"/>
        <v>731421.02583030064</v>
      </c>
      <c r="K145" s="683">
        <f t="shared" si="10"/>
        <v>4004.6053022500455</v>
      </c>
      <c r="L145" s="684">
        <f t="shared" si="11"/>
        <v>224.8133437924441</v>
      </c>
      <c r="M145" s="684">
        <f t="shared" si="12"/>
        <v>78.063208994556518</v>
      </c>
    </row>
    <row r="146" spans="1:13" ht="15.75" thickBot="1">
      <c r="A146" s="725" t="s">
        <v>332</v>
      </c>
      <c r="B146" s="753">
        <f>Units_month!C126</f>
        <v>44166</v>
      </c>
      <c r="C146" s="720">
        <f>Units_month!D126</f>
        <v>44196</v>
      </c>
      <c r="D146" s="714">
        <f>Units_month!H126*Units_month!I126*Units_month!J126</f>
        <v>137585.60136224912</v>
      </c>
      <c r="E146" s="719">
        <f t="shared" si="13"/>
        <v>31</v>
      </c>
      <c r="F146" s="680">
        <f t="shared" si="8"/>
        <v>26545036.723145127</v>
      </c>
      <c r="G146" s="926">
        <f>SUM(F135:F146)</f>
        <v>324977497.6352188</v>
      </c>
      <c r="H146" s="927">
        <f>SUM(F135:F146)</f>
        <v>324977497.6352188</v>
      </c>
      <c r="I146" s="682">
        <f t="shared" si="9"/>
        <v>719572.69512456295</v>
      </c>
      <c r="K146" s="683">
        <f t="shared" si="10"/>
        <v>3939.7344736966184</v>
      </c>
      <c r="L146" s="684">
        <f t="shared" si="11"/>
        <v>221.17157967814097</v>
      </c>
      <c r="M146" s="684">
        <f t="shared" si="12"/>
        <v>76.798658641948506</v>
      </c>
    </row>
    <row r="147" spans="1:13" ht="15.75" thickBot="1">
      <c r="A147" s="725" t="s">
        <v>333</v>
      </c>
      <c r="B147" s="754">
        <f>Units_month!C127</f>
        <v>44197</v>
      </c>
      <c r="C147" s="723">
        <f>Units_month!D127</f>
        <v>44227</v>
      </c>
      <c r="D147" s="714">
        <f>Units_month!H127*Units_month!I127*Units_month!J127</f>
        <v>141566.67733458546</v>
      </c>
      <c r="E147" s="719">
        <f t="shared" si="13"/>
        <v>31</v>
      </c>
      <c r="F147" s="680">
        <f t="shared" si="8"/>
        <v>0</v>
      </c>
      <c r="G147" s="724"/>
      <c r="H147" s="724"/>
      <c r="I147" s="682">
        <f t="shared" si="9"/>
        <v>0</v>
      </c>
      <c r="K147" s="683">
        <f t="shared" si="10"/>
        <v>0</v>
      </c>
      <c r="L147" s="684">
        <f t="shared" si="11"/>
        <v>0</v>
      </c>
      <c r="M147" s="684">
        <f t="shared" si="12"/>
        <v>0</v>
      </c>
    </row>
    <row r="148" spans="1:13" ht="15.75" thickBot="1">
      <c r="A148" s="725" t="s">
        <v>333</v>
      </c>
      <c r="B148" s="752">
        <f>Units_month!C128</f>
        <v>44228</v>
      </c>
      <c r="C148" s="717">
        <f>Units_month!D128</f>
        <v>44255</v>
      </c>
      <c r="D148" s="714">
        <f>Units_month!H128*Units_month!I128*Units_month!J128</f>
        <v>141119.81568685413</v>
      </c>
      <c r="E148" s="719">
        <f t="shared" si="13"/>
        <v>28</v>
      </c>
      <c r="F148" s="680">
        <f t="shared" si="8"/>
        <v>0</v>
      </c>
      <c r="G148" s="718"/>
      <c r="H148" s="718"/>
      <c r="I148" s="682">
        <f t="shared" si="9"/>
        <v>0</v>
      </c>
      <c r="K148" s="683">
        <f t="shared" si="10"/>
        <v>0</v>
      </c>
      <c r="L148" s="684">
        <f t="shared" si="11"/>
        <v>0</v>
      </c>
      <c r="M148" s="684">
        <f t="shared" si="12"/>
        <v>0</v>
      </c>
    </row>
    <row r="149" spans="1:13" ht="15.75" thickBot="1">
      <c r="A149" s="725" t="s">
        <v>333</v>
      </c>
      <c r="B149" s="752">
        <f>Units_month!C129</f>
        <v>44256</v>
      </c>
      <c r="C149" s="717">
        <f>Units_month!D129</f>
        <v>44286</v>
      </c>
      <c r="D149" s="714">
        <f>Units_month!H129*Units_month!I129*Units_month!J129</f>
        <v>141392.01567531994</v>
      </c>
      <c r="E149" s="719">
        <f t="shared" si="13"/>
        <v>31</v>
      </c>
      <c r="F149" s="680">
        <f t="shared" si="8"/>
        <v>0</v>
      </c>
      <c r="G149" s="718"/>
      <c r="H149" s="718"/>
      <c r="I149" s="682">
        <f t="shared" si="9"/>
        <v>0</v>
      </c>
      <c r="K149" s="683">
        <f t="shared" si="10"/>
        <v>0</v>
      </c>
      <c r="L149" s="684">
        <f t="shared" si="11"/>
        <v>0</v>
      </c>
      <c r="M149" s="684">
        <f t="shared" si="12"/>
        <v>0</v>
      </c>
    </row>
    <row r="150" spans="1:13" ht="15.75" thickBot="1">
      <c r="A150" s="725" t="s">
        <v>333</v>
      </c>
      <c r="B150" s="752">
        <f>Units_month!C130</f>
        <v>44287</v>
      </c>
      <c r="C150" s="717">
        <f>Units_month!D130</f>
        <v>44316</v>
      </c>
      <c r="D150" s="714">
        <f>Units_month!H130*Units_month!I130*Units_month!J130</f>
        <v>141710.33843960907</v>
      </c>
      <c r="E150" s="719">
        <f t="shared" si="13"/>
        <v>30</v>
      </c>
      <c r="F150" s="680">
        <f t="shared" si="8"/>
        <v>0</v>
      </c>
      <c r="G150" s="718"/>
      <c r="H150" s="718"/>
      <c r="I150" s="682">
        <f t="shared" si="9"/>
        <v>0</v>
      </c>
      <c r="K150" s="683">
        <f t="shared" si="10"/>
        <v>0</v>
      </c>
      <c r="L150" s="684">
        <f t="shared" si="11"/>
        <v>0</v>
      </c>
      <c r="M150" s="684">
        <f t="shared" si="12"/>
        <v>0</v>
      </c>
    </row>
    <row r="151" spans="1:13" ht="15.75" thickBot="1">
      <c r="A151" s="725" t="s">
        <v>333</v>
      </c>
      <c r="B151" s="752">
        <f>Units_month!C131</f>
        <v>44317</v>
      </c>
      <c r="C151" s="717">
        <f>Units_month!D131</f>
        <v>44347</v>
      </c>
      <c r="D151" s="714">
        <f>Units_month!H131*Units_month!I131*Units_month!J131</f>
        <v>140151.9935056424</v>
      </c>
      <c r="E151" s="719">
        <f t="shared" si="13"/>
        <v>31</v>
      </c>
      <c r="F151" s="680">
        <f t="shared" si="8"/>
        <v>0</v>
      </c>
      <c r="G151" s="718"/>
      <c r="H151" s="718"/>
      <c r="I151" s="682">
        <f t="shared" si="9"/>
        <v>0</v>
      </c>
      <c r="K151" s="683">
        <f t="shared" si="10"/>
        <v>0</v>
      </c>
      <c r="L151" s="684">
        <f t="shared" si="11"/>
        <v>0</v>
      </c>
      <c r="M151" s="684">
        <f t="shared" si="12"/>
        <v>0</v>
      </c>
    </row>
    <row r="152" spans="1:13" ht="15.75" thickBot="1">
      <c r="A152" s="725" t="s">
        <v>333</v>
      </c>
      <c r="B152" s="752">
        <f>Units_month!C132</f>
        <v>44348</v>
      </c>
      <c r="C152" s="717">
        <f>Units_month!D132</f>
        <v>44377</v>
      </c>
      <c r="D152" s="714">
        <f>Units_month!H132*Units_month!I132*Units_month!J132</f>
        <v>137419.40806587745</v>
      </c>
      <c r="E152" s="719">
        <f t="shared" si="13"/>
        <v>30</v>
      </c>
      <c r="F152" s="680">
        <f t="shared" si="8"/>
        <v>0</v>
      </c>
      <c r="G152" s="718"/>
      <c r="H152" s="718"/>
      <c r="I152" s="682">
        <f t="shared" si="9"/>
        <v>0</v>
      </c>
      <c r="K152" s="683">
        <f t="shared" si="10"/>
        <v>0</v>
      </c>
      <c r="L152" s="684">
        <f t="shared" si="11"/>
        <v>0</v>
      </c>
      <c r="M152" s="684">
        <f t="shared" si="12"/>
        <v>0</v>
      </c>
    </row>
    <row r="153" spans="1:13" ht="15.75" thickBot="1">
      <c r="A153" s="725" t="s">
        <v>333</v>
      </c>
      <c r="B153" s="752">
        <f>Units_month!C133</f>
        <v>44378</v>
      </c>
      <c r="C153" s="717">
        <f>Units_month!D133</f>
        <v>44408</v>
      </c>
      <c r="D153" s="714">
        <f>Units_month!H133*Units_month!I133*Units_month!J133</f>
        <v>136776.71364866654</v>
      </c>
      <c r="E153" s="719">
        <f t="shared" si="13"/>
        <v>31</v>
      </c>
      <c r="F153" s="680">
        <f t="shared" si="8"/>
        <v>0</v>
      </c>
      <c r="G153" s="718"/>
      <c r="H153" s="718"/>
      <c r="I153" s="682">
        <f t="shared" si="9"/>
        <v>0</v>
      </c>
      <c r="K153" s="683">
        <f t="shared" si="10"/>
        <v>0</v>
      </c>
      <c r="L153" s="684">
        <f t="shared" si="11"/>
        <v>0</v>
      </c>
      <c r="M153" s="684">
        <f t="shared" si="12"/>
        <v>0</v>
      </c>
    </row>
    <row r="154" spans="1:13" ht="15.75" thickBot="1">
      <c r="A154" s="725" t="s">
        <v>333</v>
      </c>
      <c r="B154" s="752">
        <f>Units_month!C134</f>
        <v>44409</v>
      </c>
      <c r="C154" s="717">
        <f>Units_month!D134</f>
        <v>44439</v>
      </c>
      <c r="D154" s="714">
        <f>Units_month!H134*Units_month!I134*Units_month!J134</f>
        <v>136718.49309557804</v>
      </c>
      <c r="E154" s="719">
        <f t="shared" si="13"/>
        <v>31</v>
      </c>
      <c r="F154" s="680">
        <f t="shared" si="8"/>
        <v>0</v>
      </c>
      <c r="G154" s="718"/>
      <c r="H154" s="718"/>
      <c r="I154" s="682">
        <f t="shared" si="9"/>
        <v>0</v>
      </c>
      <c r="K154" s="683">
        <f t="shared" si="10"/>
        <v>0</v>
      </c>
      <c r="L154" s="684">
        <f t="shared" si="11"/>
        <v>0</v>
      </c>
      <c r="M154" s="684">
        <f t="shared" si="12"/>
        <v>0</v>
      </c>
    </row>
    <row r="155" spans="1:13" ht="15.75" thickBot="1">
      <c r="A155" s="725" t="s">
        <v>333</v>
      </c>
      <c r="B155" s="752">
        <f>Units_month!C135</f>
        <v>44440</v>
      </c>
      <c r="C155" s="717">
        <f>Units_month!D135</f>
        <v>44469</v>
      </c>
      <c r="D155" s="714">
        <f>Units_month!H135*Units_month!I135*Units_month!J135</f>
        <v>134976.41316939692</v>
      </c>
      <c r="E155" s="719">
        <f t="shared" si="13"/>
        <v>30</v>
      </c>
      <c r="F155" s="680">
        <f t="shared" ref="F155:F194" si="14">D155*E155*$C$3*VLOOKUP(A155,$A$5:$I$19,$B$4,0)*VLOOKUP(A155,$A$5:$I$19,$C$4,0)</f>
        <v>0</v>
      </c>
      <c r="G155" s="718"/>
      <c r="H155" s="718"/>
      <c r="I155" s="682">
        <f t="shared" ref="I155:I194" si="15">D155*VLOOKUP(A155,$A$5:$I$19,$C$4,0)</f>
        <v>0</v>
      </c>
      <c r="K155" s="683">
        <f t="shared" ref="K155:K194" si="16">D155*VLOOKUP(A155,$A$5:$I$19,$G$4,0)</f>
        <v>0</v>
      </c>
      <c r="L155" s="684">
        <f t="shared" ref="L155:L194" si="17">D155*VLOOKUP(A155,$A$5:$I$19,$H$4,0)</f>
        <v>0</v>
      </c>
      <c r="M155" s="684">
        <f t="shared" ref="M155:M194" si="18">D155*VLOOKUP(A155,$A$5:$I$19,$I$4,0)</f>
        <v>0</v>
      </c>
    </row>
    <row r="156" spans="1:13" ht="15.75" thickBot="1">
      <c r="A156" s="725" t="s">
        <v>333</v>
      </c>
      <c r="B156" s="752">
        <f>Units_month!C136</f>
        <v>44470</v>
      </c>
      <c r="C156" s="717">
        <f>Units_month!D136</f>
        <v>44500</v>
      </c>
      <c r="D156" s="714">
        <f>Units_month!H136*Units_month!I136*Units_month!J136</f>
        <v>135464.86092647724</v>
      </c>
      <c r="E156" s="719">
        <f t="shared" si="13"/>
        <v>31</v>
      </c>
      <c r="F156" s="680">
        <f t="shared" si="14"/>
        <v>0</v>
      </c>
      <c r="G156" s="718"/>
      <c r="H156" s="718"/>
      <c r="I156" s="682">
        <f t="shared" si="15"/>
        <v>0</v>
      </c>
      <c r="K156" s="683">
        <f t="shared" si="16"/>
        <v>0</v>
      </c>
      <c r="L156" s="684">
        <f t="shared" si="17"/>
        <v>0</v>
      </c>
      <c r="M156" s="684">
        <f t="shared" si="18"/>
        <v>0</v>
      </c>
    </row>
    <row r="157" spans="1:13" ht="15.75" thickBot="1">
      <c r="A157" s="725" t="s">
        <v>333</v>
      </c>
      <c r="B157" s="752">
        <f>Units_month!C137</f>
        <v>44501</v>
      </c>
      <c r="C157" s="717">
        <f>Units_month!D137</f>
        <v>44530</v>
      </c>
      <c r="D157" s="714">
        <f>Units_month!H137*Units_month!I137*Units_month!J137</f>
        <v>135245.58871354646</v>
      </c>
      <c r="E157" s="719">
        <f t="shared" si="13"/>
        <v>30</v>
      </c>
      <c r="F157" s="680">
        <f t="shared" si="14"/>
        <v>0</v>
      </c>
      <c r="G157" s="718"/>
      <c r="H157" s="718"/>
      <c r="I157" s="682">
        <f t="shared" si="15"/>
        <v>0</v>
      </c>
      <c r="K157" s="683">
        <f t="shared" si="16"/>
        <v>0</v>
      </c>
      <c r="L157" s="684">
        <f t="shared" si="17"/>
        <v>0</v>
      </c>
      <c r="M157" s="684">
        <f t="shared" si="18"/>
        <v>0</v>
      </c>
    </row>
    <row r="158" spans="1:13" ht="15.75" thickBot="1">
      <c r="A158" s="725" t="s">
        <v>333</v>
      </c>
      <c r="B158" s="753">
        <f>Units_month!C138</f>
        <v>44531</v>
      </c>
      <c r="C158" s="720">
        <f>Units_month!D138</f>
        <v>44561</v>
      </c>
      <c r="D158" s="714">
        <f>Units_month!H138*Units_month!I138*Units_month!J138</f>
        <v>133979.8587671805</v>
      </c>
      <c r="E158" s="719">
        <f t="shared" si="13"/>
        <v>31</v>
      </c>
      <c r="F158" s="680">
        <f t="shared" si="14"/>
        <v>0</v>
      </c>
      <c r="G158" s="721"/>
      <c r="H158" s="721"/>
      <c r="I158" s="682">
        <f t="shared" si="15"/>
        <v>0</v>
      </c>
      <c r="K158" s="683">
        <f t="shared" si="16"/>
        <v>0</v>
      </c>
      <c r="L158" s="684">
        <f t="shared" si="17"/>
        <v>0</v>
      </c>
      <c r="M158" s="684">
        <f t="shared" si="18"/>
        <v>0</v>
      </c>
    </row>
    <row r="159" spans="1:13" ht="15.75" thickBot="1">
      <c r="A159" s="725" t="s">
        <v>334</v>
      </c>
      <c r="B159" s="754">
        <f>Units_month!C139</f>
        <v>44562</v>
      </c>
      <c r="C159" s="723">
        <f>Units_month!D139</f>
        <v>44592</v>
      </c>
      <c r="D159" s="714">
        <f>Units_month!H139*Units_month!I139*Units_month!J139</f>
        <v>131628.901255718</v>
      </c>
      <c r="E159" s="719">
        <f t="shared" si="13"/>
        <v>31</v>
      </c>
      <c r="F159" s="680">
        <f t="shared" si="14"/>
        <v>0</v>
      </c>
      <c r="G159" s="724"/>
      <c r="H159" s="724"/>
      <c r="I159" s="682">
        <f t="shared" si="15"/>
        <v>0</v>
      </c>
      <c r="K159" s="683">
        <f t="shared" si="16"/>
        <v>0</v>
      </c>
      <c r="L159" s="684">
        <f t="shared" si="17"/>
        <v>0</v>
      </c>
      <c r="M159" s="684">
        <f t="shared" si="18"/>
        <v>0</v>
      </c>
    </row>
    <row r="160" spans="1:13" ht="15.75" thickBot="1">
      <c r="A160" s="725" t="s">
        <v>334</v>
      </c>
      <c r="B160" s="752">
        <f>Units_month!C140</f>
        <v>44593</v>
      </c>
      <c r="C160" s="717">
        <f>Units_month!D140</f>
        <v>44620</v>
      </c>
      <c r="D160" s="714">
        <f>Units_month!H140*Units_month!I140*Units_month!J140</f>
        <v>131046.31200171875</v>
      </c>
      <c r="E160" s="719">
        <f t="shared" si="13"/>
        <v>28</v>
      </c>
      <c r="F160" s="680">
        <f t="shared" si="14"/>
        <v>0</v>
      </c>
      <c r="G160" s="718"/>
      <c r="H160" s="718"/>
      <c r="I160" s="682">
        <f t="shared" si="15"/>
        <v>0</v>
      </c>
      <c r="K160" s="683">
        <f t="shared" si="16"/>
        <v>0</v>
      </c>
      <c r="L160" s="684">
        <f t="shared" si="17"/>
        <v>0</v>
      </c>
      <c r="M160" s="684">
        <f t="shared" si="18"/>
        <v>0</v>
      </c>
    </row>
    <row r="161" spans="1:13" ht="15.75" thickBot="1">
      <c r="A161" s="725" t="s">
        <v>334</v>
      </c>
      <c r="B161" s="752">
        <f>Units_month!C141</f>
        <v>44621</v>
      </c>
      <c r="C161" s="717">
        <f>Units_month!D141</f>
        <v>44651</v>
      </c>
      <c r="D161" s="714">
        <f>Units_month!H141*Units_month!I141*Units_month!J141</f>
        <v>130802.99975815487</v>
      </c>
      <c r="E161" s="719">
        <f t="shared" si="13"/>
        <v>31</v>
      </c>
      <c r="F161" s="680">
        <f t="shared" si="14"/>
        <v>0</v>
      </c>
      <c r="G161" s="718"/>
      <c r="H161" s="718"/>
      <c r="I161" s="682">
        <f t="shared" si="15"/>
        <v>0</v>
      </c>
      <c r="K161" s="683">
        <f t="shared" si="16"/>
        <v>0</v>
      </c>
      <c r="L161" s="684">
        <f t="shared" si="17"/>
        <v>0</v>
      </c>
      <c r="M161" s="684">
        <f t="shared" si="18"/>
        <v>0</v>
      </c>
    </row>
    <row r="162" spans="1:13" ht="15.75" thickBot="1">
      <c r="A162" s="725" t="s">
        <v>334</v>
      </c>
      <c r="B162" s="752">
        <f>Units_month!C142</f>
        <v>44652</v>
      </c>
      <c r="C162" s="717">
        <f>Units_month!D142</f>
        <v>44681</v>
      </c>
      <c r="D162" s="714">
        <f>Units_month!H142*Units_month!I142*Units_month!J142</f>
        <v>130191.69663690274</v>
      </c>
      <c r="E162" s="719">
        <f t="shared" si="13"/>
        <v>30</v>
      </c>
      <c r="F162" s="680">
        <f t="shared" si="14"/>
        <v>0</v>
      </c>
      <c r="G162" s="718"/>
      <c r="H162" s="718"/>
      <c r="I162" s="682">
        <f t="shared" si="15"/>
        <v>0</v>
      </c>
      <c r="K162" s="683">
        <f t="shared" si="16"/>
        <v>0</v>
      </c>
      <c r="L162" s="684">
        <f t="shared" si="17"/>
        <v>0</v>
      </c>
      <c r="M162" s="684">
        <f t="shared" si="18"/>
        <v>0</v>
      </c>
    </row>
    <row r="163" spans="1:13" ht="15.75" thickBot="1">
      <c r="A163" s="725" t="s">
        <v>334</v>
      </c>
      <c r="B163" s="752">
        <f>Units_month!C143</f>
        <v>44682</v>
      </c>
      <c r="C163" s="717">
        <f>Units_month!D143</f>
        <v>44712</v>
      </c>
      <c r="D163" s="714">
        <f>Units_month!H143*Units_month!I143*Units_month!J143</f>
        <v>129653.68943995403</v>
      </c>
      <c r="E163" s="719">
        <f t="shared" si="13"/>
        <v>31</v>
      </c>
      <c r="F163" s="680">
        <f t="shared" si="14"/>
        <v>0</v>
      </c>
      <c r="G163" s="718"/>
      <c r="H163" s="718"/>
      <c r="I163" s="682">
        <f t="shared" si="15"/>
        <v>0</v>
      </c>
      <c r="K163" s="683">
        <f t="shared" si="16"/>
        <v>0</v>
      </c>
      <c r="L163" s="684">
        <f t="shared" si="17"/>
        <v>0</v>
      </c>
      <c r="M163" s="684">
        <f t="shared" si="18"/>
        <v>0</v>
      </c>
    </row>
    <row r="164" spans="1:13" ht="15.75" thickBot="1">
      <c r="A164" s="725" t="s">
        <v>334</v>
      </c>
      <c r="B164" s="752">
        <f>Units_month!C144</f>
        <v>44713</v>
      </c>
      <c r="C164" s="717">
        <f>Units_month!D144</f>
        <v>44742</v>
      </c>
      <c r="D164" s="714">
        <f>Units_month!H144*Units_month!I144*Units_month!J144</f>
        <v>129731.51913277105</v>
      </c>
      <c r="E164" s="719">
        <f t="shared" si="13"/>
        <v>30</v>
      </c>
      <c r="F164" s="680">
        <f t="shared" si="14"/>
        <v>0</v>
      </c>
      <c r="G164" s="718"/>
      <c r="H164" s="718"/>
      <c r="I164" s="682">
        <f t="shared" si="15"/>
        <v>0</v>
      </c>
      <c r="K164" s="683">
        <f t="shared" si="16"/>
        <v>0</v>
      </c>
      <c r="L164" s="684">
        <f t="shared" si="17"/>
        <v>0</v>
      </c>
      <c r="M164" s="684">
        <f t="shared" si="18"/>
        <v>0</v>
      </c>
    </row>
    <row r="165" spans="1:13" ht="15.75" thickBot="1">
      <c r="A165" s="725" t="s">
        <v>334</v>
      </c>
      <c r="B165" s="752">
        <f>Units_month!C145</f>
        <v>44743</v>
      </c>
      <c r="C165" s="717">
        <f>Units_month!D145</f>
        <v>44773</v>
      </c>
      <c r="D165" s="714">
        <f>Units_month!H145*Units_month!I145*Units_month!J145</f>
        <v>130334.51034508157</v>
      </c>
      <c r="E165" s="719">
        <f t="shared" si="13"/>
        <v>31</v>
      </c>
      <c r="F165" s="680">
        <f t="shared" si="14"/>
        <v>0</v>
      </c>
      <c r="G165" s="718"/>
      <c r="H165" s="718"/>
      <c r="I165" s="682">
        <f t="shared" si="15"/>
        <v>0</v>
      </c>
      <c r="K165" s="683">
        <f t="shared" si="16"/>
        <v>0</v>
      </c>
      <c r="L165" s="684">
        <f t="shared" si="17"/>
        <v>0</v>
      </c>
      <c r="M165" s="684">
        <f t="shared" si="18"/>
        <v>0</v>
      </c>
    </row>
    <row r="166" spans="1:13" ht="15.75" thickBot="1">
      <c r="A166" s="725" t="s">
        <v>334</v>
      </c>
      <c r="B166" s="752">
        <f>Units_month!C146</f>
        <v>44774</v>
      </c>
      <c r="C166" s="717">
        <f>Units_month!D146</f>
        <v>44804</v>
      </c>
      <c r="D166" s="714">
        <f>Units_month!H146*Units_month!I146*Units_month!J146</f>
        <v>130972.26044932974</v>
      </c>
      <c r="E166" s="719">
        <f t="shared" si="13"/>
        <v>31</v>
      </c>
      <c r="F166" s="680">
        <f t="shared" si="14"/>
        <v>0</v>
      </c>
      <c r="G166" s="718"/>
      <c r="H166" s="718"/>
      <c r="I166" s="682">
        <f t="shared" si="15"/>
        <v>0</v>
      </c>
      <c r="K166" s="683">
        <f t="shared" si="16"/>
        <v>0</v>
      </c>
      <c r="L166" s="684">
        <f t="shared" si="17"/>
        <v>0</v>
      </c>
      <c r="M166" s="684">
        <f t="shared" si="18"/>
        <v>0</v>
      </c>
    </row>
    <row r="167" spans="1:13" ht="15.75" thickBot="1">
      <c r="A167" s="725" t="s">
        <v>334</v>
      </c>
      <c r="B167" s="752">
        <f>Units_month!C147</f>
        <v>44805</v>
      </c>
      <c r="C167" s="717">
        <f>Units_month!D147</f>
        <v>44834</v>
      </c>
      <c r="D167" s="714">
        <f>Units_month!H147*Units_month!I147*Units_month!J147</f>
        <v>130719.88066873864</v>
      </c>
      <c r="E167" s="719">
        <f t="shared" si="13"/>
        <v>30</v>
      </c>
      <c r="F167" s="680">
        <f t="shared" si="14"/>
        <v>0</v>
      </c>
      <c r="G167" s="718"/>
      <c r="H167" s="718"/>
      <c r="I167" s="682">
        <f t="shared" si="15"/>
        <v>0</v>
      </c>
      <c r="K167" s="683">
        <f t="shared" si="16"/>
        <v>0</v>
      </c>
      <c r="L167" s="684">
        <f t="shared" si="17"/>
        <v>0</v>
      </c>
      <c r="M167" s="684">
        <f t="shared" si="18"/>
        <v>0</v>
      </c>
    </row>
    <row r="168" spans="1:13" ht="15.75" thickBot="1">
      <c r="A168" s="725" t="s">
        <v>334</v>
      </c>
      <c r="B168" s="752">
        <f>Units_month!C148</f>
        <v>44835</v>
      </c>
      <c r="C168" s="717">
        <f>Units_month!D148</f>
        <v>44865</v>
      </c>
      <c r="D168" s="714">
        <f>Units_month!H148*Units_month!I148*Units_month!J148</f>
        <v>129305.34489249146</v>
      </c>
      <c r="E168" s="719">
        <f t="shared" si="13"/>
        <v>31</v>
      </c>
      <c r="F168" s="680">
        <f t="shared" si="14"/>
        <v>0</v>
      </c>
      <c r="G168" s="718"/>
      <c r="H168" s="718"/>
      <c r="I168" s="682">
        <f t="shared" si="15"/>
        <v>0</v>
      </c>
      <c r="K168" s="683">
        <f t="shared" si="16"/>
        <v>0</v>
      </c>
      <c r="L168" s="684">
        <f t="shared" si="17"/>
        <v>0</v>
      </c>
      <c r="M168" s="684">
        <f t="shared" si="18"/>
        <v>0</v>
      </c>
    </row>
    <row r="169" spans="1:13" ht="15.75" thickBot="1">
      <c r="A169" s="725" t="s">
        <v>334</v>
      </c>
      <c r="B169" s="752">
        <f>Units_month!C149</f>
        <v>44866</v>
      </c>
      <c r="C169" s="717">
        <f>Units_month!D149</f>
        <v>44895</v>
      </c>
      <c r="D169" s="714">
        <f>Units_month!H149*Units_month!I149*Units_month!J149</f>
        <v>130345.08913827999</v>
      </c>
      <c r="E169" s="719">
        <f t="shared" si="13"/>
        <v>30</v>
      </c>
      <c r="F169" s="680">
        <f t="shared" si="14"/>
        <v>0</v>
      </c>
      <c r="G169" s="718"/>
      <c r="H169" s="718"/>
      <c r="I169" s="682">
        <f t="shared" si="15"/>
        <v>0</v>
      </c>
      <c r="K169" s="683">
        <f t="shared" si="16"/>
        <v>0</v>
      </c>
      <c r="L169" s="684">
        <f t="shared" si="17"/>
        <v>0</v>
      </c>
      <c r="M169" s="684">
        <f t="shared" si="18"/>
        <v>0</v>
      </c>
    </row>
    <row r="170" spans="1:13" ht="15.75" thickBot="1">
      <c r="A170" s="725" t="s">
        <v>334</v>
      </c>
      <c r="B170" s="753">
        <f>Units_month!C150</f>
        <v>44896</v>
      </c>
      <c r="C170" s="720">
        <f>Units_month!D150</f>
        <v>44926</v>
      </c>
      <c r="D170" s="714">
        <f>Units_month!H150*Units_month!I150*Units_month!J150</f>
        <v>130505.28229242763</v>
      </c>
      <c r="E170" s="719">
        <f t="shared" si="13"/>
        <v>31</v>
      </c>
      <c r="F170" s="680">
        <f t="shared" si="14"/>
        <v>0</v>
      </c>
      <c r="G170" s="721"/>
      <c r="H170" s="721"/>
      <c r="I170" s="682">
        <f t="shared" si="15"/>
        <v>0</v>
      </c>
      <c r="K170" s="683">
        <f t="shared" si="16"/>
        <v>0</v>
      </c>
      <c r="L170" s="684">
        <f t="shared" si="17"/>
        <v>0</v>
      </c>
      <c r="M170" s="684">
        <f t="shared" si="18"/>
        <v>0</v>
      </c>
    </row>
    <row r="171" spans="1:13" ht="15.75" thickBot="1">
      <c r="A171" s="725" t="s">
        <v>335</v>
      </c>
      <c r="B171" s="754">
        <f>Units_month!C151</f>
        <v>44927</v>
      </c>
      <c r="C171" s="723">
        <f>Units_month!D151</f>
        <v>44957</v>
      </c>
      <c r="D171" s="714">
        <f>Units_month!H151*Units_month!I151*Units_month!J151</f>
        <v>131580.34958769329</v>
      </c>
      <c r="E171" s="719">
        <f t="shared" si="13"/>
        <v>31</v>
      </c>
      <c r="F171" s="680">
        <f t="shared" si="14"/>
        <v>0</v>
      </c>
      <c r="G171" s="724"/>
      <c r="H171" s="724"/>
      <c r="I171" s="682">
        <f t="shared" si="15"/>
        <v>0</v>
      </c>
      <c r="K171" s="683">
        <f t="shared" si="16"/>
        <v>0</v>
      </c>
      <c r="L171" s="684">
        <f t="shared" si="17"/>
        <v>0</v>
      </c>
      <c r="M171" s="684">
        <f t="shared" si="18"/>
        <v>0</v>
      </c>
    </row>
    <row r="172" spans="1:13" ht="15.75" thickBot="1">
      <c r="A172" s="725" t="s">
        <v>335</v>
      </c>
      <c r="B172" s="752">
        <f>Units_month!C152</f>
        <v>44958</v>
      </c>
      <c r="C172" s="717">
        <f>Units_month!D152</f>
        <v>44985</v>
      </c>
      <c r="D172" s="714">
        <f>Units_month!H152*Units_month!I152*Units_month!J152</f>
        <v>133663.18773310841</v>
      </c>
      <c r="E172" s="719">
        <f t="shared" si="13"/>
        <v>28</v>
      </c>
      <c r="F172" s="680">
        <f t="shared" si="14"/>
        <v>0</v>
      </c>
      <c r="G172" s="718"/>
      <c r="H172" s="718"/>
      <c r="I172" s="682">
        <f t="shared" si="15"/>
        <v>0</v>
      </c>
      <c r="K172" s="683">
        <f t="shared" si="16"/>
        <v>0</v>
      </c>
      <c r="L172" s="684">
        <f t="shared" si="17"/>
        <v>0</v>
      </c>
      <c r="M172" s="684">
        <f t="shared" si="18"/>
        <v>0</v>
      </c>
    </row>
    <row r="173" spans="1:13" ht="15.75" thickBot="1">
      <c r="A173" s="725" t="s">
        <v>335</v>
      </c>
      <c r="B173" s="752">
        <f>Units_month!C153</f>
        <v>44986</v>
      </c>
      <c r="C173" s="717">
        <f>Units_month!D153</f>
        <v>45016</v>
      </c>
      <c r="D173" s="714">
        <f>Units_month!H153*Units_month!I153*Units_month!J153</f>
        <v>134607.26738328574</v>
      </c>
      <c r="E173" s="719">
        <f t="shared" si="13"/>
        <v>31</v>
      </c>
      <c r="F173" s="680">
        <f t="shared" si="14"/>
        <v>0</v>
      </c>
      <c r="G173" s="718"/>
      <c r="H173" s="718"/>
      <c r="I173" s="682">
        <f t="shared" si="15"/>
        <v>0</v>
      </c>
      <c r="K173" s="683">
        <f t="shared" si="16"/>
        <v>0</v>
      </c>
      <c r="L173" s="684">
        <f t="shared" si="17"/>
        <v>0</v>
      </c>
      <c r="M173" s="684">
        <f t="shared" si="18"/>
        <v>0</v>
      </c>
    </row>
    <row r="174" spans="1:13" ht="15.75" thickBot="1">
      <c r="A174" s="725" t="s">
        <v>335</v>
      </c>
      <c r="B174" s="752">
        <f>Units_month!C154</f>
        <v>45017</v>
      </c>
      <c r="C174" s="717">
        <f>Units_month!D154</f>
        <v>45046</v>
      </c>
      <c r="D174" s="714">
        <f>Units_month!H154*Units_month!I154*Units_month!J154</f>
        <v>136540.52602998645</v>
      </c>
      <c r="E174" s="719">
        <f t="shared" si="13"/>
        <v>30</v>
      </c>
      <c r="F174" s="680">
        <f t="shared" si="14"/>
        <v>0</v>
      </c>
      <c r="G174" s="718"/>
      <c r="H174" s="718"/>
      <c r="I174" s="682">
        <f t="shared" si="15"/>
        <v>0</v>
      </c>
      <c r="K174" s="683">
        <f t="shared" si="16"/>
        <v>0</v>
      </c>
      <c r="L174" s="684">
        <f t="shared" si="17"/>
        <v>0</v>
      </c>
      <c r="M174" s="684">
        <f t="shared" si="18"/>
        <v>0</v>
      </c>
    </row>
    <row r="175" spans="1:13" ht="15.75" thickBot="1">
      <c r="A175" s="725" t="s">
        <v>335</v>
      </c>
      <c r="B175" s="752">
        <f>Units_month!C155</f>
        <v>45047</v>
      </c>
      <c r="C175" s="717">
        <f>Units_month!D155</f>
        <v>45077</v>
      </c>
      <c r="D175" s="714">
        <f>Units_month!H155*Units_month!I155*Units_month!J155</f>
        <v>137602.61563643595</v>
      </c>
      <c r="E175" s="719">
        <f t="shared" ref="E175:E194" si="19">DAY(C175)</f>
        <v>31</v>
      </c>
      <c r="F175" s="680">
        <f t="shared" si="14"/>
        <v>0</v>
      </c>
      <c r="G175" s="718"/>
      <c r="H175" s="718"/>
      <c r="I175" s="682">
        <f t="shared" si="15"/>
        <v>0</v>
      </c>
      <c r="K175" s="683">
        <f t="shared" si="16"/>
        <v>0</v>
      </c>
      <c r="L175" s="684">
        <f t="shared" si="17"/>
        <v>0</v>
      </c>
      <c r="M175" s="684">
        <f t="shared" si="18"/>
        <v>0</v>
      </c>
    </row>
    <row r="176" spans="1:13" ht="15.75" thickBot="1">
      <c r="A176" s="725" t="s">
        <v>335</v>
      </c>
      <c r="B176" s="752">
        <f>Units_month!C156</f>
        <v>45078</v>
      </c>
      <c r="C176" s="717">
        <f>Units_month!D156</f>
        <v>45107</v>
      </c>
      <c r="D176" s="714">
        <f>Units_month!H156*Units_month!I156*Units_month!J156</f>
        <v>137514.67191106113</v>
      </c>
      <c r="E176" s="719">
        <f t="shared" si="19"/>
        <v>30</v>
      </c>
      <c r="F176" s="680">
        <f t="shared" si="14"/>
        <v>0</v>
      </c>
      <c r="G176" s="718"/>
      <c r="H176" s="718"/>
      <c r="I176" s="682">
        <f t="shared" si="15"/>
        <v>0</v>
      </c>
      <c r="K176" s="683">
        <f t="shared" si="16"/>
        <v>0</v>
      </c>
      <c r="L176" s="684">
        <f t="shared" si="17"/>
        <v>0</v>
      </c>
      <c r="M176" s="684">
        <f t="shared" si="18"/>
        <v>0</v>
      </c>
    </row>
    <row r="177" spans="1:13" ht="15.75" thickBot="1">
      <c r="A177" s="725" t="s">
        <v>335</v>
      </c>
      <c r="B177" s="752">
        <f>Units_month!C157</f>
        <v>45108</v>
      </c>
      <c r="C177" s="717">
        <f>Units_month!D157</f>
        <v>45138</v>
      </c>
      <c r="D177" s="714">
        <f>Units_month!H157*Units_month!I157*Units_month!J157</f>
        <v>138816.53970891715</v>
      </c>
      <c r="E177" s="719">
        <f t="shared" si="19"/>
        <v>31</v>
      </c>
      <c r="F177" s="680">
        <f t="shared" si="14"/>
        <v>0</v>
      </c>
      <c r="G177" s="718"/>
      <c r="H177" s="718"/>
      <c r="I177" s="682">
        <f t="shared" si="15"/>
        <v>0</v>
      </c>
      <c r="K177" s="683">
        <f t="shared" si="16"/>
        <v>0</v>
      </c>
      <c r="L177" s="684">
        <f t="shared" si="17"/>
        <v>0</v>
      </c>
      <c r="M177" s="684">
        <f t="shared" si="18"/>
        <v>0</v>
      </c>
    </row>
    <row r="178" spans="1:13" ht="15.75" thickBot="1">
      <c r="A178" s="725" t="s">
        <v>335</v>
      </c>
      <c r="B178" s="752">
        <f>Units_month!C158</f>
        <v>45139</v>
      </c>
      <c r="C178" s="717">
        <f>Units_month!D158</f>
        <v>45169</v>
      </c>
      <c r="D178" s="714">
        <f>Units_month!H158*Units_month!I158*Units_month!J158</f>
        <v>138571.49992710361</v>
      </c>
      <c r="E178" s="719">
        <f t="shared" si="19"/>
        <v>31</v>
      </c>
      <c r="F178" s="680">
        <f t="shared" si="14"/>
        <v>0</v>
      </c>
      <c r="G178" s="718"/>
      <c r="H178" s="718"/>
      <c r="I178" s="682">
        <f t="shared" si="15"/>
        <v>0</v>
      </c>
      <c r="K178" s="683">
        <f t="shared" si="16"/>
        <v>0</v>
      </c>
      <c r="L178" s="684">
        <f t="shared" si="17"/>
        <v>0</v>
      </c>
      <c r="M178" s="684">
        <f t="shared" si="18"/>
        <v>0</v>
      </c>
    </row>
    <row r="179" spans="1:13" ht="15.75" thickBot="1">
      <c r="A179" s="725" t="s">
        <v>335</v>
      </c>
      <c r="B179" s="752">
        <f>Units_month!C159</f>
        <v>45170</v>
      </c>
      <c r="C179" s="717">
        <f>Units_month!D159</f>
        <v>45199</v>
      </c>
      <c r="D179" s="714">
        <f>Units_month!H159*Units_month!I159*Units_month!J159</f>
        <v>137708.59910034918</v>
      </c>
      <c r="E179" s="719">
        <f t="shared" si="19"/>
        <v>30</v>
      </c>
      <c r="F179" s="680">
        <f t="shared" si="14"/>
        <v>0</v>
      </c>
      <c r="G179" s="718"/>
      <c r="H179" s="718"/>
      <c r="I179" s="682">
        <f t="shared" si="15"/>
        <v>0</v>
      </c>
      <c r="K179" s="683">
        <f t="shared" si="16"/>
        <v>0</v>
      </c>
      <c r="L179" s="684">
        <f t="shared" si="17"/>
        <v>0</v>
      </c>
      <c r="M179" s="684">
        <f t="shared" si="18"/>
        <v>0</v>
      </c>
    </row>
    <row r="180" spans="1:13" ht="15.75" thickBot="1">
      <c r="A180" s="725" t="s">
        <v>335</v>
      </c>
      <c r="B180" s="752">
        <f>Units_month!C160</f>
        <v>45200</v>
      </c>
      <c r="C180" s="717">
        <f>Units_month!D160</f>
        <v>45230</v>
      </c>
      <c r="D180" s="714">
        <f>Units_month!H160*Units_month!I160*Units_month!J160</f>
        <v>138443.7184457898</v>
      </c>
      <c r="E180" s="719">
        <f t="shared" si="19"/>
        <v>31</v>
      </c>
      <c r="F180" s="680">
        <f t="shared" si="14"/>
        <v>0</v>
      </c>
      <c r="G180" s="718"/>
      <c r="H180" s="718"/>
      <c r="I180" s="682">
        <f t="shared" si="15"/>
        <v>0</v>
      </c>
      <c r="K180" s="683">
        <f t="shared" si="16"/>
        <v>0</v>
      </c>
      <c r="L180" s="684">
        <f t="shared" si="17"/>
        <v>0</v>
      </c>
      <c r="M180" s="684">
        <f t="shared" si="18"/>
        <v>0</v>
      </c>
    </row>
    <row r="181" spans="1:13" ht="15.75" thickBot="1">
      <c r="A181" s="725" t="s">
        <v>335</v>
      </c>
      <c r="B181" s="752">
        <f>Units_month!C161</f>
        <v>45231</v>
      </c>
      <c r="C181" s="717">
        <f>Units_month!D161</f>
        <v>45260</v>
      </c>
      <c r="D181" s="714">
        <f>Units_month!H161*Units_month!I161*Units_month!J161</f>
        <v>138737.61585281158</v>
      </c>
      <c r="E181" s="719">
        <f t="shared" si="19"/>
        <v>30</v>
      </c>
      <c r="F181" s="680">
        <f t="shared" si="14"/>
        <v>0</v>
      </c>
      <c r="G181" s="718"/>
      <c r="H181" s="718"/>
      <c r="I181" s="682">
        <f t="shared" si="15"/>
        <v>0</v>
      </c>
      <c r="K181" s="683">
        <f t="shared" si="16"/>
        <v>0</v>
      </c>
      <c r="L181" s="684">
        <f t="shared" si="17"/>
        <v>0</v>
      </c>
      <c r="M181" s="684">
        <f t="shared" si="18"/>
        <v>0</v>
      </c>
    </row>
    <row r="182" spans="1:13" ht="15.75" thickBot="1">
      <c r="A182" s="725" t="s">
        <v>335</v>
      </c>
      <c r="B182" s="753">
        <f>Units_month!C162</f>
        <v>45261</v>
      </c>
      <c r="C182" s="720">
        <f>Units_month!D162</f>
        <v>45291</v>
      </c>
      <c r="D182" s="714">
        <f>Units_month!H162*Units_month!I162*Units_month!J162</f>
        <v>138779.70857606787</v>
      </c>
      <c r="E182" s="719">
        <f t="shared" si="19"/>
        <v>31</v>
      </c>
      <c r="F182" s="680">
        <f t="shared" si="14"/>
        <v>0</v>
      </c>
      <c r="G182" s="721"/>
      <c r="H182" s="721"/>
      <c r="I182" s="682">
        <f t="shared" si="15"/>
        <v>0</v>
      </c>
      <c r="K182" s="683">
        <f t="shared" si="16"/>
        <v>0</v>
      </c>
      <c r="L182" s="684">
        <f t="shared" si="17"/>
        <v>0</v>
      </c>
      <c r="M182" s="684">
        <f t="shared" si="18"/>
        <v>0</v>
      </c>
    </row>
    <row r="183" spans="1:13" ht="15.75" thickBot="1">
      <c r="A183" s="725" t="s">
        <v>336</v>
      </c>
      <c r="B183" s="754">
        <f>Units_month!C163</f>
        <v>45292</v>
      </c>
      <c r="C183" s="723">
        <f>Units_month!D163</f>
        <v>45322</v>
      </c>
      <c r="D183" s="714">
        <f>Units_month!H163*Units_month!I163*Units_month!J163</f>
        <v>138756.70524071821</v>
      </c>
      <c r="E183" s="719">
        <f t="shared" si="19"/>
        <v>31</v>
      </c>
      <c r="F183" s="680">
        <f t="shared" si="14"/>
        <v>0</v>
      </c>
      <c r="G183" s="724"/>
      <c r="H183" s="724"/>
      <c r="I183" s="682">
        <f t="shared" si="15"/>
        <v>0</v>
      </c>
      <c r="K183" s="683">
        <f t="shared" si="16"/>
        <v>0</v>
      </c>
      <c r="L183" s="684">
        <f t="shared" si="17"/>
        <v>0</v>
      </c>
      <c r="M183" s="684">
        <f t="shared" si="18"/>
        <v>0</v>
      </c>
    </row>
    <row r="184" spans="1:13" ht="15.75" thickBot="1">
      <c r="A184" s="725" t="s">
        <v>336</v>
      </c>
      <c r="B184" s="752">
        <f>Units_month!C164</f>
        <v>45323</v>
      </c>
      <c r="C184" s="717">
        <f>Units_month!D164</f>
        <v>45351</v>
      </c>
      <c r="D184" s="714">
        <f>Units_month!H164*Units_month!I164*Units_month!J164</f>
        <v>138764.18405609019</v>
      </c>
      <c r="E184" s="719">
        <f t="shared" si="19"/>
        <v>29</v>
      </c>
      <c r="F184" s="680">
        <f t="shared" si="14"/>
        <v>0</v>
      </c>
      <c r="G184" s="718"/>
      <c r="H184" s="718"/>
      <c r="I184" s="682">
        <f t="shared" si="15"/>
        <v>0</v>
      </c>
      <c r="K184" s="683">
        <f t="shared" si="16"/>
        <v>0</v>
      </c>
      <c r="L184" s="684">
        <f t="shared" si="17"/>
        <v>0</v>
      </c>
      <c r="M184" s="684">
        <f t="shared" si="18"/>
        <v>0</v>
      </c>
    </row>
    <row r="185" spans="1:13" ht="15.75" thickBot="1">
      <c r="A185" s="725" t="s">
        <v>336</v>
      </c>
      <c r="B185" s="752">
        <f>Units_month!C165</f>
        <v>45352</v>
      </c>
      <c r="C185" s="717">
        <f>Units_month!D165</f>
        <v>45382</v>
      </c>
      <c r="D185" s="714">
        <f>Units_month!H165*Units_month!I165*Units_month!J165</f>
        <v>140227.04034284694</v>
      </c>
      <c r="E185" s="719">
        <f t="shared" si="19"/>
        <v>31</v>
      </c>
      <c r="F185" s="680">
        <f t="shared" si="14"/>
        <v>0</v>
      </c>
      <c r="G185" s="718"/>
      <c r="H185" s="718"/>
      <c r="I185" s="682">
        <f t="shared" si="15"/>
        <v>0</v>
      </c>
      <c r="K185" s="683">
        <f t="shared" si="16"/>
        <v>0</v>
      </c>
      <c r="L185" s="684">
        <f t="shared" si="17"/>
        <v>0</v>
      </c>
      <c r="M185" s="684">
        <f t="shared" si="18"/>
        <v>0</v>
      </c>
    </row>
    <row r="186" spans="1:13" ht="15.75" thickBot="1">
      <c r="A186" s="725" t="s">
        <v>336</v>
      </c>
      <c r="B186" s="752">
        <f>Units_month!C166</f>
        <v>45383</v>
      </c>
      <c r="C186" s="717">
        <f>Units_month!D166</f>
        <v>45412</v>
      </c>
      <c r="D186" s="714">
        <f>Units_month!H166*Units_month!I166*Units_month!J166</f>
        <v>140744.5743665871</v>
      </c>
      <c r="E186" s="719">
        <f t="shared" si="19"/>
        <v>30</v>
      </c>
      <c r="F186" s="680">
        <f t="shared" si="14"/>
        <v>0</v>
      </c>
      <c r="G186" s="718"/>
      <c r="H186" s="718"/>
      <c r="I186" s="682">
        <f t="shared" si="15"/>
        <v>0</v>
      </c>
      <c r="K186" s="683">
        <f t="shared" si="16"/>
        <v>0</v>
      </c>
      <c r="L186" s="684">
        <f t="shared" si="17"/>
        <v>0</v>
      </c>
      <c r="M186" s="684">
        <f t="shared" si="18"/>
        <v>0</v>
      </c>
    </row>
    <row r="187" spans="1:13" ht="15.75" thickBot="1">
      <c r="A187" s="725" t="s">
        <v>336</v>
      </c>
      <c r="B187" s="752">
        <f>Units_month!C167</f>
        <v>45413</v>
      </c>
      <c r="C187" s="717">
        <f>Units_month!D167</f>
        <v>45443</v>
      </c>
      <c r="D187" s="714">
        <f>Units_month!H167*Units_month!I167*Units_month!J167</f>
        <v>139934.61866180305</v>
      </c>
      <c r="E187" s="719">
        <f t="shared" si="19"/>
        <v>31</v>
      </c>
      <c r="F187" s="680">
        <f t="shared" si="14"/>
        <v>0</v>
      </c>
      <c r="G187" s="718"/>
      <c r="H187" s="718"/>
      <c r="I187" s="682">
        <f t="shared" si="15"/>
        <v>0</v>
      </c>
      <c r="K187" s="683">
        <f t="shared" si="16"/>
        <v>0</v>
      </c>
      <c r="L187" s="684">
        <f t="shared" si="17"/>
        <v>0</v>
      </c>
      <c r="M187" s="684">
        <f t="shared" si="18"/>
        <v>0</v>
      </c>
    </row>
    <row r="188" spans="1:13" ht="15.75" thickBot="1">
      <c r="A188" s="725" t="s">
        <v>336</v>
      </c>
      <c r="B188" s="752">
        <f>Units_month!C168</f>
        <v>45444</v>
      </c>
      <c r="C188" s="717">
        <f>Units_month!D168</f>
        <v>45473</v>
      </c>
      <c r="D188" s="714">
        <f>Units_month!H168*Units_month!I168*Units_month!J168</f>
        <v>139627.98723155237</v>
      </c>
      <c r="E188" s="719">
        <f t="shared" si="19"/>
        <v>30</v>
      </c>
      <c r="F188" s="680">
        <f t="shared" si="14"/>
        <v>0</v>
      </c>
      <c r="G188" s="718"/>
      <c r="H188" s="718"/>
      <c r="I188" s="682">
        <f t="shared" si="15"/>
        <v>0</v>
      </c>
      <c r="K188" s="683">
        <f t="shared" si="16"/>
        <v>0</v>
      </c>
      <c r="L188" s="684">
        <f t="shared" si="17"/>
        <v>0</v>
      </c>
      <c r="M188" s="684">
        <f t="shared" si="18"/>
        <v>0</v>
      </c>
    </row>
    <row r="189" spans="1:13" ht="15.75" thickBot="1">
      <c r="A189" s="725" t="s">
        <v>336</v>
      </c>
      <c r="B189" s="752">
        <f>Units_month!C169</f>
        <v>45474</v>
      </c>
      <c r="C189" s="717">
        <f>Units_month!D169</f>
        <v>45504</v>
      </c>
      <c r="D189" s="714">
        <f>Units_month!H169*Units_month!I169*Units_month!J169</f>
        <v>139963.03816021653</v>
      </c>
      <c r="E189" s="719">
        <f t="shared" si="19"/>
        <v>31</v>
      </c>
      <c r="F189" s="680">
        <f t="shared" si="14"/>
        <v>0</v>
      </c>
      <c r="G189" s="718"/>
      <c r="H189" s="718"/>
      <c r="I189" s="682">
        <f t="shared" si="15"/>
        <v>0</v>
      </c>
      <c r="K189" s="683">
        <f t="shared" si="16"/>
        <v>0</v>
      </c>
      <c r="L189" s="684">
        <f t="shared" si="17"/>
        <v>0</v>
      </c>
      <c r="M189" s="684">
        <f t="shared" si="18"/>
        <v>0</v>
      </c>
    </row>
    <row r="190" spans="1:13" ht="15.75" thickBot="1">
      <c r="A190" s="725" t="s">
        <v>336</v>
      </c>
      <c r="B190" s="752">
        <f>Units_month!C170</f>
        <v>45505</v>
      </c>
      <c r="C190" s="717">
        <f>Units_month!D170</f>
        <v>45535</v>
      </c>
      <c r="D190" s="714">
        <f>Units_month!H170*Units_month!I170*Units_month!J170</f>
        <v>140404.2882671626</v>
      </c>
      <c r="E190" s="719">
        <f t="shared" si="19"/>
        <v>31</v>
      </c>
      <c r="F190" s="680">
        <f t="shared" si="14"/>
        <v>0</v>
      </c>
      <c r="G190" s="718"/>
      <c r="H190" s="718"/>
      <c r="I190" s="682">
        <f t="shared" si="15"/>
        <v>0</v>
      </c>
      <c r="K190" s="683">
        <f t="shared" si="16"/>
        <v>0</v>
      </c>
      <c r="L190" s="684">
        <f t="shared" si="17"/>
        <v>0</v>
      </c>
      <c r="M190" s="684">
        <f t="shared" si="18"/>
        <v>0</v>
      </c>
    </row>
    <row r="191" spans="1:13" ht="15.75" thickBot="1">
      <c r="A191" s="725" t="s">
        <v>336</v>
      </c>
      <c r="B191" s="752">
        <f>Units_month!C171</f>
        <v>45536</v>
      </c>
      <c r="C191" s="717">
        <f>Units_month!D171</f>
        <v>45565</v>
      </c>
      <c r="D191" s="714">
        <f>Units_month!H171*Units_month!I171*Units_month!J171</f>
        <v>141467.02793151909</v>
      </c>
      <c r="E191" s="719">
        <f t="shared" si="19"/>
        <v>30</v>
      </c>
      <c r="F191" s="680">
        <f t="shared" si="14"/>
        <v>0</v>
      </c>
      <c r="G191" s="718"/>
      <c r="H191" s="718"/>
      <c r="I191" s="682">
        <f t="shared" si="15"/>
        <v>0</v>
      </c>
      <c r="K191" s="683">
        <f t="shared" si="16"/>
        <v>0</v>
      </c>
      <c r="L191" s="684">
        <f t="shared" si="17"/>
        <v>0</v>
      </c>
      <c r="M191" s="684">
        <f t="shared" si="18"/>
        <v>0</v>
      </c>
    </row>
    <row r="192" spans="1:13" ht="15.75" thickBot="1">
      <c r="A192" s="725" t="s">
        <v>336</v>
      </c>
      <c r="B192" s="752">
        <f>Units_month!C172</f>
        <v>45566</v>
      </c>
      <c r="C192" s="717">
        <f>Units_month!D172</f>
        <v>45596</v>
      </c>
      <c r="D192" s="714">
        <f>Units_month!H172*Units_month!I172*Units_month!J172</f>
        <v>141387.00460703904</v>
      </c>
      <c r="E192" s="719">
        <f t="shared" si="19"/>
        <v>31</v>
      </c>
      <c r="F192" s="680">
        <f t="shared" si="14"/>
        <v>0</v>
      </c>
      <c r="G192" s="718"/>
      <c r="H192" s="718"/>
      <c r="I192" s="682">
        <f t="shared" si="15"/>
        <v>0</v>
      </c>
      <c r="K192" s="683">
        <f t="shared" si="16"/>
        <v>0</v>
      </c>
      <c r="L192" s="684">
        <f t="shared" si="17"/>
        <v>0</v>
      </c>
      <c r="M192" s="684">
        <f t="shared" si="18"/>
        <v>0</v>
      </c>
    </row>
    <row r="193" spans="1:13" ht="15.75" thickBot="1">
      <c r="A193" s="725" t="s">
        <v>336</v>
      </c>
      <c r="B193" s="752">
        <f>Units_month!C173</f>
        <v>45597</v>
      </c>
      <c r="C193" s="717">
        <f>Units_month!D173</f>
        <v>45626</v>
      </c>
      <c r="D193" s="714">
        <f>Units_month!H173*Units_month!I173*Units_month!J173</f>
        <v>142871.54945837453</v>
      </c>
      <c r="E193" s="719">
        <f t="shared" si="19"/>
        <v>30</v>
      </c>
      <c r="F193" s="680">
        <f t="shared" si="14"/>
        <v>0</v>
      </c>
      <c r="G193" s="718"/>
      <c r="H193" s="718"/>
      <c r="I193" s="682">
        <f t="shared" si="15"/>
        <v>0</v>
      </c>
      <c r="K193" s="683">
        <f t="shared" si="16"/>
        <v>0</v>
      </c>
      <c r="L193" s="684">
        <f t="shared" si="17"/>
        <v>0</v>
      </c>
      <c r="M193" s="684">
        <f t="shared" si="18"/>
        <v>0</v>
      </c>
    </row>
    <row r="194" spans="1:13" ht="15.75" thickBot="1">
      <c r="A194" s="725" t="s">
        <v>336</v>
      </c>
      <c r="B194" s="753">
        <f>Units_month!C174</f>
        <v>45627</v>
      </c>
      <c r="C194" s="720">
        <f>Units_month!D174</f>
        <v>0</v>
      </c>
      <c r="D194" s="714">
        <f>Units_month!H174*Units_month!I174*Units_month!J174</f>
        <v>0</v>
      </c>
      <c r="E194" s="719">
        <f t="shared" si="19"/>
        <v>0</v>
      </c>
      <c r="F194" s="680">
        <f t="shared" si="14"/>
        <v>0</v>
      </c>
      <c r="G194" s="721"/>
      <c r="H194" s="721"/>
      <c r="I194" s="682">
        <f t="shared" si="15"/>
        <v>0</v>
      </c>
      <c r="K194" s="683">
        <f t="shared" si="16"/>
        <v>0</v>
      </c>
      <c r="L194" s="684">
        <f t="shared" si="17"/>
        <v>0</v>
      </c>
      <c r="M194" s="684">
        <f t="shared" si="18"/>
        <v>0</v>
      </c>
    </row>
    <row r="195" spans="1:13" ht="15.75" thickBot="1">
      <c r="D195" s="714">
        <f>Units_month!H175*Units_month!I175*Units_month!J175</f>
        <v>0</v>
      </c>
      <c r="E195" s="722" t="s">
        <v>246</v>
      </c>
      <c r="F195" s="680">
        <f>SUM(F26:F194)</f>
        <v>3553535527.1409473</v>
      </c>
      <c r="G195" s="703">
        <f>AVERAGE(G98,G86,G74,G62,G50,G38,G110,G122)</f>
        <v>355062808.95531166</v>
      </c>
      <c r="H195" s="704">
        <f>AVERAGE(H102,H90,H78,H66,H54,H43,H109,H122)</f>
        <v>355062808.95531166</v>
      </c>
      <c r="I195" s="682"/>
      <c r="J195" s="705" t="s">
        <v>246</v>
      </c>
      <c r="K195" s="683">
        <f>SUM(K26:K194)</f>
        <v>620757.56191815587</v>
      </c>
      <c r="L195" s="683">
        <f t="shared" ref="L195:M195" si="20">SUM(L26:L194)</f>
        <v>16707.235907588034</v>
      </c>
      <c r="M195" s="683">
        <f t="shared" si="20"/>
        <v>3151.4276618909826</v>
      </c>
    </row>
    <row r="196" spans="1:13">
      <c r="D196" s="714">
        <f>Units_month!H176*Units_month!I176*Units_month!J176</f>
        <v>0</v>
      </c>
      <c r="E196" s="661"/>
      <c r="F196" s="661"/>
      <c r="G196" s="661" t="s">
        <v>522</v>
      </c>
      <c r="H196" s="38" t="s">
        <v>523</v>
      </c>
      <c r="I196" s="661"/>
      <c r="J196" s="661"/>
      <c r="K196" s="706"/>
      <c r="L196" s="706"/>
    </row>
    <row r="199" spans="1:13">
      <c r="G199" s="756"/>
    </row>
  </sheetData>
  <phoneticPr fontId="5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BG32"/>
  <sheetViews>
    <sheetView topLeftCell="A2" zoomScale="80" zoomScaleNormal="80" workbookViewId="0">
      <selection activeCell="G9" sqref="G9"/>
    </sheetView>
  </sheetViews>
  <sheetFormatPr defaultColWidth="9.140625" defaultRowHeight="15"/>
  <cols>
    <col min="1" max="1" width="3.7109375" style="5" customWidth="1"/>
    <col min="2" max="2" width="15.85546875" style="5" customWidth="1"/>
    <col min="3" max="3" width="13.28515625" style="5" customWidth="1"/>
    <col min="4" max="4" width="14.85546875" style="7" bestFit="1" customWidth="1"/>
    <col min="5" max="5" width="13.7109375" style="7" bestFit="1" customWidth="1"/>
    <col min="6" max="6" width="18.7109375" style="7" customWidth="1"/>
    <col min="7" max="7" width="17.7109375" style="16" customWidth="1"/>
    <col min="8" max="8" width="16.140625" style="5" customWidth="1"/>
    <col min="9" max="9" width="18.85546875" style="17" customWidth="1"/>
    <col min="10" max="10" width="0.42578125" style="17" customWidth="1"/>
    <col min="11" max="11" width="6.42578125" style="17" customWidth="1"/>
    <col min="12" max="12" width="11.28515625" style="17" customWidth="1"/>
    <col min="13" max="13" width="10.7109375" style="17" customWidth="1"/>
    <col min="14" max="14" width="12.85546875" style="17" customWidth="1"/>
    <col min="15" max="15" width="13" style="17" customWidth="1"/>
    <col min="16" max="16" width="14.42578125" style="17" customWidth="1"/>
    <col min="17" max="17" width="11.85546875" style="17" customWidth="1"/>
    <col min="18" max="18" width="14.42578125" style="17" customWidth="1"/>
    <col min="19" max="21" width="12.7109375" style="17" customWidth="1"/>
    <col min="22" max="22" width="13" style="17" customWidth="1"/>
    <col min="23" max="23" width="5" style="17" customWidth="1"/>
    <col min="24" max="24" width="10.85546875" style="17" customWidth="1"/>
    <col min="25" max="25" width="9" style="17" customWidth="1"/>
    <col min="26" max="26" width="10.42578125" style="17" customWidth="1"/>
    <col min="27" max="27" width="11.140625" style="17" customWidth="1"/>
    <col min="28" max="28" width="11.85546875" style="17" customWidth="1"/>
    <col min="29" max="30" width="12.42578125" style="17" customWidth="1"/>
    <col min="31" max="31" width="9.140625" style="17" customWidth="1"/>
    <col min="32" max="32" width="7.85546875" style="17" customWidth="1"/>
    <col min="33" max="33" width="10.42578125" style="17" customWidth="1"/>
    <col min="34" max="34" width="8.42578125" style="17" customWidth="1"/>
    <col min="35" max="35" width="5" style="17" customWidth="1"/>
    <col min="36" max="36" width="11.7109375" style="17" customWidth="1"/>
    <col min="37" max="37" width="8.42578125" style="17" customWidth="1"/>
    <col min="38" max="38" width="10" style="17" customWidth="1"/>
    <col min="39" max="39" width="9.85546875" style="17" bestFit="1" customWidth="1"/>
    <col min="40" max="41" width="12.28515625" style="17" bestFit="1" customWidth="1"/>
    <col min="42" max="42" width="13.7109375" style="17" customWidth="1"/>
    <col min="43" max="43" width="10" style="17" customWidth="1"/>
    <col min="44" max="44" width="12.42578125" style="17" customWidth="1"/>
    <col min="45" max="45" width="11.140625" style="17" customWidth="1"/>
    <col min="46" max="46" width="9.42578125" style="17" customWidth="1"/>
    <col min="47" max="47" width="6.85546875" style="17" customWidth="1"/>
    <col min="48" max="48" width="12.42578125" style="5" hidden="1" customWidth="1"/>
    <col min="49" max="49" width="11.28515625" style="5" hidden="1" customWidth="1"/>
    <col min="50" max="50" width="14.42578125" style="5" hidden="1" customWidth="1"/>
    <col min="51" max="51" width="13.140625" style="5" hidden="1" customWidth="1"/>
    <col min="52" max="52" width="15.42578125" style="5" hidden="1" customWidth="1"/>
    <col min="53" max="53" width="14.42578125" style="5" hidden="1" customWidth="1"/>
    <col min="54" max="54" width="15.28515625" style="5" hidden="1" customWidth="1"/>
    <col min="55" max="55" width="13.42578125" style="5" hidden="1" customWidth="1"/>
    <col min="56" max="56" width="13.28515625" style="5" hidden="1" customWidth="1"/>
    <col min="57" max="57" width="12.28515625" style="5" hidden="1" customWidth="1"/>
    <col min="58" max="58" width="12.7109375" style="5" hidden="1" customWidth="1"/>
    <col min="59" max="16384" width="9.140625" style="5"/>
  </cols>
  <sheetData>
    <row r="1" spans="2:59" ht="15.75" thickBot="1"/>
    <row r="2" spans="2:59" ht="29.25" customHeight="1" thickBot="1">
      <c r="B2" s="18" t="s">
        <v>244</v>
      </c>
      <c r="C2" s="19"/>
      <c r="D2" s="20"/>
      <c r="E2" s="20"/>
      <c r="F2" s="20"/>
      <c r="G2" s="20"/>
      <c r="H2" s="19"/>
      <c r="I2" s="21"/>
      <c r="J2" s="952"/>
      <c r="K2" s="953"/>
      <c r="L2" s="855" t="s">
        <v>634</v>
      </c>
      <c r="M2" s="855"/>
      <c r="N2" s="881"/>
      <c r="O2" s="881"/>
      <c r="P2" s="663"/>
      <c r="Q2" s="663"/>
      <c r="R2" s="663"/>
      <c r="S2" s="663"/>
      <c r="T2" s="663"/>
      <c r="U2" s="663"/>
      <c r="V2" s="663"/>
      <c r="W2" s="953"/>
      <c r="X2" s="855" t="s">
        <v>636</v>
      </c>
      <c r="Y2" s="855"/>
      <c r="Z2" s="881"/>
      <c r="AA2" s="881"/>
      <c r="AB2" s="663"/>
      <c r="AC2" s="663"/>
      <c r="AD2" s="663"/>
      <c r="AE2" s="663"/>
      <c r="AF2" s="663"/>
      <c r="AG2" s="663"/>
      <c r="AH2" s="663"/>
      <c r="AI2" s="953"/>
      <c r="AJ2" s="855" t="s">
        <v>637</v>
      </c>
      <c r="AK2" s="855"/>
      <c r="AL2" s="881"/>
      <c r="AM2" s="881"/>
      <c r="AN2" s="663"/>
      <c r="AO2" s="663"/>
      <c r="AP2" s="663"/>
      <c r="AQ2" s="663"/>
      <c r="AR2" s="663"/>
      <c r="AS2" s="663"/>
      <c r="AT2" s="663"/>
      <c r="AU2" s="953"/>
      <c r="AV2" s="855" t="s">
        <v>556</v>
      </c>
      <c r="AW2" s="855"/>
      <c r="AX2" s="881"/>
      <c r="AY2" s="663"/>
      <c r="AZ2" s="663"/>
      <c r="BA2" s="663"/>
      <c r="BB2" s="663"/>
      <c r="BC2" s="663"/>
      <c r="BD2" s="663"/>
      <c r="BE2" s="663"/>
      <c r="BF2" s="663"/>
    </row>
    <row r="3" spans="2:59" ht="75.75" thickBot="1">
      <c r="B3" s="132"/>
      <c r="C3" s="131"/>
      <c r="D3" s="131"/>
      <c r="E3" s="131"/>
      <c r="F3" s="131"/>
      <c r="G3" s="131"/>
      <c r="H3" s="131"/>
      <c r="I3" s="133"/>
      <c r="J3" s="953"/>
      <c r="K3" s="953"/>
      <c r="L3" s="1248" t="s">
        <v>600</v>
      </c>
      <c r="M3" s="1248"/>
      <c r="N3" s="1248"/>
      <c r="O3" s="1248"/>
      <c r="P3" s="939" t="s">
        <v>558</v>
      </c>
      <c r="Q3" s="658" t="s">
        <v>559</v>
      </c>
      <c r="R3" s="866" t="s">
        <v>560</v>
      </c>
      <c r="S3" s="866" t="s">
        <v>561</v>
      </c>
      <c r="T3" s="866" t="s">
        <v>562</v>
      </c>
      <c r="U3" s="866" t="s">
        <v>563</v>
      </c>
      <c r="V3" s="866" t="s">
        <v>564</v>
      </c>
      <c r="W3" s="953"/>
      <c r="X3" s="1248" t="s">
        <v>600</v>
      </c>
      <c r="Y3" s="1248"/>
      <c r="Z3" s="1248"/>
      <c r="AA3" s="1248"/>
      <c r="AB3" s="1239" t="s">
        <v>558</v>
      </c>
      <c r="AC3" s="658" t="s">
        <v>559</v>
      </c>
      <c r="AD3" s="866" t="s">
        <v>560</v>
      </c>
      <c r="AE3" s="866" t="s">
        <v>561</v>
      </c>
      <c r="AF3" s="866" t="s">
        <v>562</v>
      </c>
      <c r="AG3" s="866" t="s">
        <v>563</v>
      </c>
      <c r="AH3" s="866" t="s">
        <v>564</v>
      </c>
      <c r="AI3" s="953"/>
      <c r="AJ3" s="1248" t="s">
        <v>600</v>
      </c>
      <c r="AK3" s="1248"/>
      <c r="AL3" s="1248"/>
      <c r="AM3" s="1248"/>
      <c r="AN3" s="939" t="s">
        <v>558</v>
      </c>
      <c r="AO3" s="658" t="s">
        <v>559</v>
      </c>
      <c r="AP3" s="866" t="s">
        <v>560</v>
      </c>
      <c r="AQ3" s="866" t="s">
        <v>561</v>
      </c>
      <c r="AR3" s="866" t="s">
        <v>562</v>
      </c>
      <c r="AS3" s="866" t="s">
        <v>563</v>
      </c>
      <c r="AT3" s="866" t="s">
        <v>564</v>
      </c>
      <c r="AU3" s="953"/>
      <c r="AV3" s="1248" t="s">
        <v>600</v>
      </c>
      <c r="AW3" s="1248"/>
      <c r="AX3" s="1248"/>
      <c r="AY3" s="1248"/>
      <c r="AZ3" s="865" t="s">
        <v>558</v>
      </c>
      <c r="BA3" s="658" t="s">
        <v>559</v>
      </c>
      <c r="BB3" s="866" t="s">
        <v>560</v>
      </c>
      <c r="BC3" s="866" t="s">
        <v>561</v>
      </c>
      <c r="BD3" s="866" t="s">
        <v>562</v>
      </c>
      <c r="BE3" s="866" t="s">
        <v>563</v>
      </c>
      <c r="BF3" s="866" t="s">
        <v>564</v>
      </c>
    </row>
    <row r="4" spans="2:59" ht="38.25" thickBot="1">
      <c r="B4" s="258" t="s">
        <v>243</v>
      </c>
      <c r="C4" s="259"/>
      <c r="D4" s="259"/>
      <c r="E4" s="259"/>
      <c r="F4" s="259"/>
      <c r="G4" s="259"/>
      <c r="H4" s="259"/>
      <c r="I4" s="958"/>
      <c r="J4" s="953"/>
      <c r="K4" s="953"/>
      <c r="L4" s="1249" t="s">
        <v>565</v>
      </c>
      <c r="M4" s="1249"/>
      <c r="N4" s="1249"/>
      <c r="O4" s="1249"/>
      <c r="P4" s="867" t="s">
        <v>566</v>
      </c>
      <c r="Q4" s="867" t="s">
        <v>567</v>
      </c>
      <c r="R4" s="868" t="s">
        <v>568</v>
      </c>
      <c r="S4" s="868" t="s">
        <v>569</v>
      </c>
      <c r="T4" s="868" t="s">
        <v>570</v>
      </c>
      <c r="U4" s="868" t="s">
        <v>571</v>
      </c>
      <c r="V4" s="868" t="s">
        <v>572</v>
      </c>
      <c r="W4" s="953"/>
      <c r="X4" s="1249" t="s">
        <v>565</v>
      </c>
      <c r="Y4" s="1249"/>
      <c r="Z4" s="1249"/>
      <c r="AA4" s="1249"/>
      <c r="AB4" s="867" t="s">
        <v>566</v>
      </c>
      <c r="AC4" s="867" t="s">
        <v>567</v>
      </c>
      <c r="AD4" s="868" t="s">
        <v>568</v>
      </c>
      <c r="AE4" s="868" t="s">
        <v>569</v>
      </c>
      <c r="AF4" s="868" t="s">
        <v>570</v>
      </c>
      <c r="AG4" s="868" t="s">
        <v>571</v>
      </c>
      <c r="AH4" s="868" t="s">
        <v>572</v>
      </c>
      <c r="AI4" s="953"/>
      <c r="AJ4" s="1249" t="s">
        <v>565</v>
      </c>
      <c r="AK4" s="1249"/>
      <c r="AL4" s="1249"/>
      <c r="AM4" s="1249"/>
      <c r="AN4" s="867" t="s">
        <v>566</v>
      </c>
      <c r="AO4" s="867" t="s">
        <v>567</v>
      </c>
      <c r="AP4" s="868" t="s">
        <v>568</v>
      </c>
      <c r="AQ4" s="868" t="s">
        <v>569</v>
      </c>
      <c r="AR4" s="868" t="s">
        <v>570</v>
      </c>
      <c r="AS4" s="868" t="s">
        <v>571</v>
      </c>
      <c r="AT4" s="868" t="s">
        <v>572</v>
      </c>
      <c r="AU4" s="953"/>
      <c r="AV4" s="1249" t="s">
        <v>565</v>
      </c>
      <c r="AW4" s="1249"/>
      <c r="AX4" s="1249"/>
      <c r="AY4" s="1249"/>
      <c r="AZ4" s="867" t="s">
        <v>566</v>
      </c>
      <c r="BA4" s="867" t="s">
        <v>567</v>
      </c>
      <c r="BB4" s="868" t="s">
        <v>568</v>
      </c>
      <c r="BC4" s="868" t="s">
        <v>569</v>
      </c>
      <c r="BD4" s="868" t="s">
        <v>570</v>
      </c>
      <c r="BE4" s="868" t="s">
        <v>571</v>
      </c>
      <c r="BF4" s="868" t="s">
        <v>572</v>
      </c>
    </row>
    <row r="5" spans="2:59" ht="90" customHeight="1">
      <c r="B5" s="545" t="s">
        <v>124</v>
      </c>
      <c r="C5" s="546" t="s">
        <v>125</v>
      </c>
      <c r="D5" s="546" t="s">
        <v>126</v>
      </c>
      <c r="E5" s="546" t="s">
        <v>127</v>
      </c>
      <c r="F5" s="546" t="s">
        <v>128</v>
      </c>
      <c r="G5" s="546" t="s">
        <v>144</v>
      </c>
      <c r="H5" s="546" t="s">
        <v>129</v>
      </c>
      <c r="I5" s="959" t="s">
        <v>130</v>
      </c>
      <c r="J5" s="956"/>
      <c r="K5" s="956"/>
      <c r="L5" s="869" t="s">
        <v>573</v>
      </c>
      <c r="M5" s="869" t="s">
        <v>574</v>
      </c>
      <c r="N5" s="869" t="s">
        <v>575</v>
      </c>
      <c r="O5" s="869" t="s">
        <v>576</v>
      </c>
      <c r="P5" s="869" t="s">
        <v>577</v>
      </c>
      <c r="Q5" s="869" t="s">
        <v>578</v>
      </c>
      <c r="R5" s="869" t="s">
        <v>579</v>
      </c>
      <c r="S5" s="869" t="s">
        <v>580</v>
      </c>
      <c r="T5" s="869" t="s">
        <v>581</v>
      </c>
      <c r="U5" s="869" t="s">
        <v>638</v>
      </c>
      <c r="V5" s="869" t="s">
        <v>583</v>
      </c>
      <c r="W5" s="956"/>
      <c r="X5" s="869" t="s">
        <v>573</v>
      </c>
      <c r="Y5" s="869" t="s">
        <v>574</v>
      </c>
      <c r="Z5" s="869" t="s">
        <v>575</v>
      </c>
      <c r="AA5" s="869" t="s">
        <v>576</v>
      </c>
      <c r="AB5" s="869" t="s">
        <v>577</v>
      </c>
      <c r="AC5" s="869" t="s">
        <v>578</v>
      </c>
      <c r="AD5" s="869" t="s">
        <v>579</v>
      </c>
      <c r="AE5" s="869" t="s">
        <v>580</v>
      </c>
      <c r="AF5" s="869" t="s">
        <v>581</v>
      </c>
      <c r="AG5" s="869" t="s">
        <v>638</v>
      </c>
      <c r="AH5" s="869" t="s">
        <v>583</v>
      </c>
      <c r="AI5" s="956"/>
      <c r="AJ5" s="869" t="s">
        <v>573</v>
      </c>
      <c r="AK5" s="869" t="s">
        <v>574</v>
      </c>
      <c r="AL5" s="869" t="s">
        <v>575</v>
      </c>
      <c r="AM5" s="869" t="s">
        <v>576</v>
      </c>
      <c r="AN5" s="869" t="s">
        <v>577</v>
      </c>
      <c r="AO5" s="869" t="s">
        <v>578</v>
      </c>
      <c r="AP5" s="869" t="s">
        <v>579</v>
      </c>
      <c r="AQ5" s="869" t="s">
        <v>580</v>
      </c>
      <c r="AR5" s="869" t="s">
        <v>581</v>
      </c>
      <c r="AS5" s="869" t="s">
        <v>582</v>
      </c>
      <c r="AT5" s="869" t="s">
        <v>583</v>
      </c>
      <c r="AU5" s="956"/>
      <c r="AV5" s="869" t="s">
        <v>573</v>
      </c>
      <c r="AW5" s="869" t="s">
        <v>574</v>
      </c>
      <c r="AX5" s="869" t="s">
        <v>575</v>
      </c>
      <c r="AY5" s="869" t="s">
        <v>576</v>
      </c>
      <c r="AZ5" s="869" t="s">
        <v>577</v>
      </c>
      <c r="BA5" s="869" t="s">
        <v>578</v>
      </c>
      <c r="BB5" s="869" t="s">
        <v>579</v>
      </c>
      <c r="BC5" s="869" t="s">
        <v>580</v>
      </c>
      <c r="BD5" s="869" t="s">
        <v>581</v>
      </c>
      <c r="BE5" s="869" t="s">
        <v>582</v>
      </c>
      <c r="BF5" s="869" t="s">
        <v>583</v>
      </c>
    </row>
    <row r="6" spans="2:59" hidden="1">
      <c r="B6" s="255" t="s">
        <v>330</v>
      </c>
      <c r="C6" s="256">
        <v>43070</v>
      </c>
      <c r="D6" s="256">
        <v>43100</v>
      </c>
      <c r="E6" s="257"/>
      <c r="F6" s="901">
        <f>SUMIFS(Units_month!$N$6:$N$173,Units_month!$C$6:$C$173,"&gt;="&amp;Nexus_Summary!C6,Units_month!$D$6:$D$173,"&lt;="&amp;Nexus_Summary!D6)</f>
        <v>7095.18267648853</v>
      </c>
      <c r="G6" s="901"/>
      <c r="H6" s="901">
        <f>F6-(F6*CoreData!$F$10)</f>
        <v>6953.279022958759</v>
      </c>
      <c r="I6" s="902"/>
      <c r="J6" s="954"/>
      <c r="K6" s="954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54"/>
      <c r="X6" s="960"/>
      <c r="Y6" s="960"/>
      <c r="Z6" s="960"/>
      <c r="AA6" s="960"/>
      <c r="AB6" s="960"/>
      <c r="AC6" s="960"/>
      <c r="AD6" s="960"/>
      <c r="AE6" s="960"/>
      <c r="AF6" s="960"/>
      <c r="AG6" s="960"/>
      <c r="AH6" s="960"/>
      <c r="AI6" s="954"/>
      <c r="AJ6" s="960"/>
      <c r="AK6" s="960"/>
      <c r="AL6" s="960"/>
      <c r="AM6" s="960"/>
      <c r="AN6" s="960"/>
      <c r="AO6" s="960"/>
      <c r="AP6" s="960"/>
      <c r="AQ6" s="960"/>
      <c r="AR6" s="960"/>
      <c r="AS6" s="960"/>
      <c r="AT6" s="960"/>
      <c r="AU6" s="954"/>
      <c r="AV6" s="898">
        <f>ROUND(SUMIFS(Units_month!BB$6:BB$173,Units_month!$C$6:$C$173,"&gt;="&amp;Nexus_Summary!$C6,Units_month!$D$6:$D$173,"&lt;="&amp;Nexus_Summary!$D6),0)</f>
        <v>4961</v>
      </c>
      <c r="AW6" s="898">
        <f>ROUND(SUMIFS(Units_month!BC$6:BC$173,Units_month!$C$6:$C$173,"&gt;="&amp;Nexus_Summary!$C6,Units_month!$D$6:$D$173,"&lt;="&amp;Nexus_Summary!$D6),0)</f>
        <v>92</v>
      </c>
      <c r="AX6" s="899">
        <f>(SUMIFS(Units_month!BD$6:BD$173,Units_month!$C$6:$C$173,"&gt;="&amp;Nexus_Summary!$C6,Units_month!$D$6:$D$173,"&lt;="&amp;Nexus_Summary!$D6))/(MONTH($D6)-MONTH($C6)+1)</f>
        <v>0.88200000000000001</v>
      </c>
      <c r="AY6" s="899">
        <f>(SUMIFS(Units_month!BE$6:BE$173,Units_month!$C$6:$C$173,"&gt;="&amp;Nexus_Summary!$C6,Units_month!$D$6:$D$173,"&lt;="&amp;Nexus_Summary!$D6))/(MONTH($D6)-MONTH($C6)+1)</f>
        <v>0.89600000000000002</v>
      </c>
      <c r="AZ6" s="898">
        <f>ROUND(SUMIFS(Units_month!BF$6:BF$173,Units_month!$C$6:$C$173,"&gt;="&amp;Nexus_Summary!$C6,Units_month!$D$6:$D$173,"&lt;="&amp;Nexus_Summary!$D6),0)</f>
        <v>710302</v>
      </c>
      <c r="BA6" s="898">
        <f>ROUND(SUMIFS(Units_month!BG$6:BG$173,Units_month!$C$6:$C$173,"&gt;="&amp;Nexus_Summary!$C6,Units_month!$D$6:$D$173,"&lt;="&amp;Nexus_Summary!$D6),0)</f>
        <v>400225</v>
      </c>
      <c r="BB6" s="898">
        <f>ROUND(SUMIFS(Units_month!BH$6:BH$173,Units_month!$C$6:$C$173,"&gt;="&amp;Nexus_Summary!$C6,Units_month!$D$6:$D$173,"&lt;="&amp;Nexus_Summary!$D6),0)</f>
        <v>777135</v>
      </c>
      <c r="BC6" s="898">
        <f>ROUND(SUMIFS(Units_month!BI$6:BI$173,Units_month!$C$6:$C$173,"&gt;="&amp;Nexus_Summary!$C6,Units_month!$D$6:$D$173,"&lt;="&amp;Nexus_Summary!$D6),0)</f>
        <v>79</v>
      </c>
      <c r="BD6" s="900">
        <f>(SUMIFS(Units_month!BJ$6:BJ$173,Units_month!$C$6:$C$173,"&gt;="&amp;Nexus_Summary!$C6,Units_month!$D$6:$D$173,"&lt;="&amp;Nexus_Summary!$D6))/(MONTH($D6)-MONTH($C6)+1)</f>
        <v>105</v>
      </c>
      <c r="BE6" s="898">
        <f>ROUND(SUMIFS(Units_month!BK$6:BK$173,Units_month!$C$6:$C$173,"&gt;="&amp;Nexus_Summary!$C6,Units_month!$D$6:$D$173,"&lt;="&amp;Nexus_Summary!$D6),0)</f>
        <v>7095</v>
      </c>
      <c r="BF6" s="898">
        <f>ROUND(SUMIFS(Units_month!BL$6:BL$173,Units_month!$C$6:$C$173,"&gt;="&amp;Nexus_Summary!$C6,Units_month!$D$6:$D$173,"&lt;="&amp;Nexus_Summary!$D6),0)</f>
        <v>31</v>
      </c>
    </row>
    <row r="7" spans="2:59" ht="12.75" hidden="1" customHeight="1">
      <c r="B7" s="903"/>
      <c r="C7" s="904">
        <v>43101</v>
      </c>
      <c r="D7" s="904">
        <v>43465</v>
      </c>
      <c r="E7" s="905">
        <v>43778</v>
      </c>
      <c r="F7" s="906">
        <f>SUMIFS(Units_month!$N$6:$N$173,Units_month!$C$6:$C$173,"&gt;="&amp;Nexus_Summary!C7,Units_month!$D$6:$D$173,"&lt;="&amp;Nexus_Summary!D7)</f>
        <v>80651.204563817591</v>
      </c>
      <c r="G7" s="906">
        <f>SUM(F6:F7)</f>
        <v>87746.387240306125</v>
      </c>
      <c r="H7" s="906">
        <f>F7-(F7*CoreData!$F$10)</f>
        <v>79038.180472541237</v>
      </c>
      <c r="I7" s="907">
        <f>SUM(H6:H7)</f>
        <v>85991.459495499992</v>
      </c>
      <c r="J7" s="954"/>
      <c r="K7" s="954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54"/>
      <c r="X7" s="960"/>
      <c r="Y7" s="960"/>
      <c r="Z7" s="960"/>
      <c r="AA7" s="960"/>
      <c r="AB7" s="960"/>
      <c r="AC7" s="960"/>
      <c r="AD7" s="960"/>
      <c r="AE7" s="960"/>
      <c r="AF7" s="960"/>
      <c r="AG7" s="960"/>
      <c r="AH7" s="960"/>
      <c r="AI7" s="954"/>
      <c r="AJ7" s="960"/>
      <c r="AK7" s="960"/>
      <c r="AL7" s="960"/>
      <c r="AM7" s="960"/>
      <c r="AN7" s="960"/>
      <c r="AO7" s="960"/>
      <c r="AP7" s="960"/>
      <c r="AQ7" s="960"/>
      <c r="AR7" s="960"/>
      <c r="AS7" s="960"/>
      <c r="AT7" s="960"/>
      <c r="AU7" s="954"/>
      <c r="AV7" s="898">
        <f>ROUND(SUMIFS(Units_month!BB$6:BB$173,Units_month!$C$6:$C$173,"&gt;="&amp;Nexus_Summary!$C7,Units_month!$D$6:$D$173,"&lt;="&amp;Nexus_Summary!$D7),0)</f>
        <v>56390</v>
      </c>
      <c r="AW7" s="898">
        <f>ROUND(SUMIFS(Units_month!BC$6:BC$173,Units_month!$C$6:$C$173,"&gt;="&amp;Nexus_Summary!$C7,Units_month!$D$6:$D$173,"&lt;="&amp;Nexus_Summary!$D7),0)</f>
        <v>1042</v>
      </c>
      <c r="AX7" s="899">
        <f>(SUMIFS(Units_month!BD$6:BD$173,Units_month!$C$6:$C$173,"&gt;="&amp;Nexus_Summary!$C7,Units_month!$D$6:$D$173,"&lt;="&amp;Nexus_Summary!$D7))/(MONTH($D7)-MONTH($C7)+1)</f>
        <v>0.88199999999999978</v>
      </c>
      <c r="AY7" s="899">
        <f>(SUMIFS(Units_month!BE$6:BE$173,Units_month!$C$6:$C$173,"&gt;="&amp;Nexus_Summary!$C7,Units_month!$D$6:$D$173,"&lt;="&amp;Nexus_Summary!$D7))/(MONTH($D7)-MONTH($C7)+1)</f>
        <v>0.89600000000000024</v>
      </c>
      <c r="AZ7" s="898">
        <f>ROUND(SUMIFS(Units_month!BF$6:BF$173,Units_month!$C$6:$C$173,"&gt;="&amp;Nexus_Summary!$C7,Units_month!$D$6:$D$173,"&lt;="&amp;Nexus_Summary!$D7),0)</f>
        <v>8074025</v>
      </c>
      <c r="BA7" s="898">
        <f>ROUND(SUMIFS(Units_month!BG$6:BG$173,Units_month!$C$6:$C$173,"&gt;="&amp;Nexus_Summary!$C7,Units_month!$D$6:$D$173,"&lt;="&amp;Nexus_Summary!$D7),0)</f>
        <v>4549369</v>
      </c>
      <c r="BB7" s="898">
        <f>ROUND(SUMIFS(Units_month!BH$6:BH$173,Units_month!$C$6:$C$173,"&gt;="&amp;Nexus_Summary!$C7,Units_month!$D$6:$D$173,"&lt;="&amp;Nexus_Summary!$D7),0)</f>
        <v>8833725</v>
      </c>
      <c r="BC7" s="898">
        <f>ROUND(SUMIFS(Units_month!BI$6:BI$173,Units_month!$C$6:$C$173,"&gt;="&amp;Nexus_Summary!$C7,Units_month!$D$6:$D$173,"&lt;="&amp;Nexus_Summary!$D7),0)</f>
        <v>895</v>
      </c>
      <c r="BD7" s="900">
        <f>(SUMIFS(Units_month!BJ$6:BJ$173,Units_month!$C$6:$C$173,"&gt;="&amp;Nexus_Summary!$C7,Units_month!$D$6:$D$173,"&lt;="&amp;Nexus_Summary!$D7))/(MONTH($D7)-MONTH($C7)+1)</f>
        <v>105</v>
      </c>
      <c r="BE7" s="898">
        <f>ROUND(SUMIFS(Units_month!BK$6:BK$173,Units_month!$C$6:$C$173,"&gt;="&amp;Nexus_Summary!$C7,Units_month!$D$6:$D$173,"&lt;="&amp;Nexus_Summary!$D7),0)</f>
        <v>80651</v>
      </c>
      <c r="BF7" s="898">
        <f>ROUND(SUMIFS(Units_month!BL$6:BL$173,Units_month!$C$6:$C$173,"&gt;="&amp;Nexus_Summary!$C7,Units_month!$D$6:$D$173,"&lt;="&amp;Nexus_Summary!$D7),0)</f>
        <v>348</v>
      </c>
    </row>
    <row r="8" spans="2:59" hidden="1">
      <c r="B8" s="988" t="s">
        <v>331</v>
      </c>
      <c r="C8" s="989">
        <v>43466</v>
      </c>
      <c r="D8" s="989">
        <v>43830</v>
      </c>
      <c r="E8" s="990"/>
      <c r="F8" s="991">
        <f>SUMIFS(Units_month!$N$6:$N$173,Units_month!$C$6:$C$173,"&gt;="&amp;Nexus_Summary!C8,Units_month!$D$6:$D$173,"&lt;="&amp;Nexus_Summary!D8)</f>
        <v>90992.660967292497</v>
      </c>
      <c r="G8" s="992">
        <f>F8</f>
        <v>90992.660967292497</v>
      </c>
      <c r="H8" s="991">
        <f>F8-(ROUNDDOWN(F8*CoreData!$F$10,0))</f>
        <v>89173.660967292497</v>
      </c>
      <c r="I8" s="993">
        <f>H8</f>
        <v>89173.660967292497</v>
      </c>
      <c r="J8" s="954"/>
      <c r="K8" s="954"/>
      <c r="L8" s="961">
        <f>ROUND(SUMIFS(Units_month!Q$6:Q$173,Units_month!$C$6:$C$173,"&gt;="&amp;Nexus_Summary!$C8,Units_month!$D$6:$D$173,"&lt;="&amp;Nexus_Summary!$D8),0)</f>
        <v>95592</v>
      </c>
      <c r="M8" s="961">
        <f>ROUND(SUMIFS(Units_month!R$6:R$173,Units_month!$C$6:$C$173,"&gt;="&amp;Nexus_Summary!$C8,Units_month!$D$6:$D$173,"&lt;="&amp;Nexus_Summary!$D8),0)</f>
        <v>1590</v>
      </c>
      <c r="N8" s="961">
        <f>(SUMIFS(Units_month!S$6:S$173,Units_month!$C$6:$C$173,"&gt;="&amp;Nexus_Summary!$C8,Units_month!$D$6:$D$173,"&lt;="&amp;Nexus_Summary!$D8))/(MONTH($D8)-MONTH($C8)+1)</f>
        <v>0</v>
      </c>
      <c r="O8" s="961">
        <f>(SUMIFS(Units_month!T$6:T$173,Units_month!$C$6:$C$173,"&gt;="&amp;Nexus_Summary!$C8,Units_month!$D$6:$D$173,"&lt;="&amp;Nexus_Summary!$D8))/(MONTH($D8)-MONTH($C8)+1)</f>
        <v>0</v>
      </c>
      <c r="P8" s="961">
        <f>(SUMIFS(Units_month!U$6:U$173,Units_month!$C$6:$C$173,"&gt;="&amp;Nexus_Summary!$C8,Units_month!$D$6:$D$173,"&lt;="&amp;Nexus_Summary!$D8))/(MONTH($D8)-MONTH($C8)+1)</f>
        <v>0</v>
      </c>
      <c r="Q8" s="961">
        <f>(SUMIFS(Units_month!V$6:V$173,Units_month!$C$6:$C$173,"&gt;="&amp;Nexus_Summary!$C8,Units_month!$D$6:$D$173,"&lt;="&amp;Nexus_Summary!$D8))/(MONTH($D8)-MONTH($C8)+1)</f>
        <v>0</v>
      </c>
      <c r="R8" s="961">
        <f>(SUMIFS(Units_month!W$6:W$173,Units_month!$C$6:$C$173,"&gt;="&amp;Nexus_Summary!$C8,Units_month!$D$6:$D$173,"&lt;="&amp;Nexus_Summary!$D8))/(MONTH($D8)-MONTH($C8)+1)</f>
        <v>0</v>
      </c>
      <c r="S8" s="961">
        <f>ROUND(SUMIFS(Units_month!X$6:X$173,Units_month!$C$6:$C$173,"&gt;="&amp;Nexus_Summary!$C8,Units_month!$D$6:$D$173,"&lt;="&amp;Nexus_Summary!$D8),0)</f>
        <v>0</v>
      </c>
      <c r="T8" s="961">
        <f>(SUMIFS(Units_month!Y$6:Y$173,Units_month!$C$6:$C$173,"&gt;="&amp;Nexus_Summary!$C8,Units_month!$D$6:$D$173,"&lt;="&amp;Nexus_Summary!$D8))/(MONTH($D8)-MONTH($C8)+1)</f>
        <v>0</v>
      </c>
      <c r="U8" s="961">
        <f>ROUND(SUMIFS(Units_month!Z$6:Z$173,Units_month!$C$6:$C$173,"&gt;="&amp;Nexus_Summary!$C8,Units_month!$D$6:$D$173,"&lt;="&amp;Nexus_Summary!$D8),0)</f>
        <v>140867</v>
      </c>
      <c r="V8" s="961">
        <f>ROUND(SUMIFS(Units_month!AA$6:AA$173,Units_month!$C$6:$C$173,"&gt;="&amp;Nexus_Summary!$C8,Units_month!$D$6:$D$173,"&lt;="&amp;Nexus_Summary!$D8),0)</f>
        <v>0</v>
      </c>
      <c r="W8" s="954"/>
      <c r="X8" s="961">
        <f>ROUND(SUMIFS(Units_month!AC$6:AC$173,Units_month!$C$6:$C$173,"&gt;="&amp;Nexus_Summary!$C8,Units_month!$D$6:$D$173,"&lt;="&amp;Nexus_Summary!$D8),0)</f>
        <v>31895</v>
      </c>
      <c r="Y8" s="961">
        <f>ROUND(SUMIFS(Units_month!AD$6:AD$173,Units_month!$C$6:$C$173,"&gt;="&amp;Nexus_Summary!$C8,Units_month!$D$6:$D$173,"&lt;="&amp;Nexus_Summary!$D8),0)</f>
        <v>528</v>
      </c>
      <c r="Z8" s="977">
        <f>(SUMIFS(Units_month!AE$6:AE$173,Units_month!$C$6:$C$173,"&gt;="&amp;Nexus_Summary!$C8,Units_month!$D$6:$D$173,"&lt;="&amp;Nexus_Summary!$D8))/(MONTH($D8)-MONTH($C8)+1)</f>
        <v>0.80700000000000027</v>
      </c>
      <c r="AA8" s="977">
        <f>(SUMIFS(Units_month!AF$6:AF$173,Units_month!$C$6:$C$173,"&gt;="&amp;Nexus_Summary!$C8,Units_month!$D$6:$D$173,"&lt;="&amp;Nexus_Summary!$D8))/(MONTH($D8)-MONTH($C8)+1)</f>
        <v>0.90649999999999986</v>
      </c>
      <c r="AB8" s="978">
        <f>(SUMIFS(Units_month!AG$6:AG$173,Units_month!$C$6:$C$173,"&gt;="&amp;Nexus_Summary!$C8,Units_month!$D$6:$D$173,"&lt;="&amp;Nexus_Summary!$D8))/(MONTH($D8)-MONTH($C8)+1)</f>
        <v>538933.77308616159</v>
      </c>
      <c r="AC8" s="978">
        <f>(SUMIFS(Units_month!AH$6:AH$173,Units_month!$C$6:$C$173,"&gt;="&amp;Nexus_Summary!$C8,Units_month!$D$6:$D$173,"&lt;="&amp;Nexus_Summary!$D8))/(MONTH($D8)-MONTH($C8)+1)</f>
        <v>246538.74688379175</v>
      </c>
      <c r="AD8" s="978">
        <f>(SUMIFS(Units_month!AI$6:AI$173,Units_month!$C$6:$C$173,"&gt;="&amp;Nexus_Summary!$C8,Units_month!$D$6:$D$173,"&lt;="&amp;Nexus_Summary!$D8))/(MONTH($D8)-MONTH($C8)+1)</f>
        <v>728288.88254886691</v>
      </c>
      <c r="AE8" s="978">
        <f>ROUND(SUMIFS(Units_month!AJ$6:AJ$173,Units_month!$C$6:$C$173,"&gt;="&amp;Nexus_Summary!$C8,Units_month!$D$6:$D$173,"&lt;="&amp;Nexus_Summary!$D8),0)</f>
        <v>1006</v>
      </c>
      <c r="AF8" s="978">
        <f>(SUMIFS(Units_month!AK$6:AK$173,Units_month!$C$6:$C$173,"&gt;="&amp;Nexus_Summary!$C8,Units_month!$D$6:$D$173,"&lt;="&amp;Nexus_Summary!$D8))/(MONTH($D8)-MONTH($C8)+1)</f>
        <v>90</v>
      </c>
      <c r="AG8" s="961">
        <f>ROUND(SUMIFS(Units_month!AL$6:AL$173,Units_month!$C$6:$C$173,"&gt;="&amp;Nexus_Summary!$C8,Units_month!$D$6:$D$173,"&lt;="&amp;Nexus_Summary!$D8),0)</f>
        <v>46995</v>
      </c>
      <c r="AH8" s="961">
        <f>ROUND(SUMIFS(Units_month!AM$6:AM$173,Units_month!$C$6:$C$173,"&gt;="&amp;Nexus_Summary!$C8,Units_month!$D$6:$D$173,"&lt;="&amp;Nexus_Summary!$D8),0)</f>
        <v>393</v>
      </c>
      <c r="AI8" s="954"/>
      <c r="AJ8" s="961">
        <f>ROUND(SUMIFS(Units_month!AP$6:AP$173,Units_month!$C$6:$C$173,"&gt;="&amp;Nexus_Summary!$C8,Units_month!$D$6:$D$173,"&lt;="&amp;Nexus_Summary!$D8),0)</f>
        <v>63697</v>
      </c>
      <c r="AK8" s="961">
        <f>ROUND(SUMIFS(Units_month!AQ$6:AQ$173,Units_month!$C$6:$C$173,"&gt;="&amp;Nexus_Summary!$C8,Units_month!$D$6:$D$173,"&lt;="&amp;Nexus_Summary!$D8),0)</f>
        <v>1062</v>
      </c>
      <c r="AL8" s="977">
        <f>(SUMIFS(Units_month!AR$6:AR$173,Units_month!$C$6:$C$173,"&gt;="&amp;Nexus_Summary!$C8,Units_month!$D$6:$D$173,"&lt;="&amp;Nexus_Summary!$D8))/(MONTH($D8)-MONTH($C8)+1)</f>
        <v>0.80700000000000027</v>
      </c>
      <c r="AM8" s="977">
        <f>(SUMIFS(Units_month!AS$6:AS$173,Units_month!$C$6:$C$173,"&gt;="&amp;Nexus_Summary!$C8,Units_month!$D$6:$D$173,"&lt;="&amp;Nexus_Summary!$D8))/(MONTH($D8)-MONTH($C8)+1)</f>
        <v>0.90649999999999986</v>
      </c>
      <c r="AN8" s="978">
        <f>(SUMIFS(Units_month!AT$6:AT$173,Units_month!$C$6:$C$173,"&gt;="&amp;Nexus_Summary!$C8,Units_month!$D$6:$D$173,"&lt;="&amp;Nexus_Summary!$D8))/(MONTH($D8)-MONTH($C8)+1)</f>
        <v>538933.77308616159</v>
      </c>
      <c r="AO8" s="978">
        <f>(SUMIFS(Units_month!AU$6:AU$173,Units_month!$C$6:$C$173,"&gt;="&amp;Nexus_Summary!$C8,Units_month!$D$6:$D$173,"&lt;="&amp;Nexus_Summary!$D8))/(MONTH($D8)-MONTH($C8)+1)</f>
        <v>246538.74688379175</v>
      </c>
      <c r="AP8" s="978">
        <f>(SUMIFS(Units_month!AV$6:AV$173,Units_month!$C$6:$C$173,"&gt;="&amp;Nexus_Summary!$C8,Units_month!$D$6:$D$173,"&lt;="&amp;Nexus_Summary!$D8))/(MONTH($D8)-MONTH($C8)+1)</f>
        <v>728288.88254886691</v>
      </c>
      <c r="AQ8" s="978">
        <f>ROUND(SUMIFS(Units_month!AW$6:AW$173,Units_month!$C$6:$C$173,"&gt;="&amp;Nexus_Summary!$C8,Units_month!$D$6:$D$173,"&lt;="&amp;Nexus_Summary!$D8),0)</f>
        <v>1006</v>
      </c>
      <c r="AR8" s="978">
        <f>(SUMIFS(Units_month!AX$6:AX$173,Units_month!$C$6:$C$173,"&gt;="&amp;Nexus_Summary!$C8,Units_month!$D$6:$D$173,"&lt;="&amp;Nexus_Summary!$D8))/(MONTH($D8)-MONTH($C8)+1)</f>
        <v>90</v>
      </c>
      <c r="AS8" s="961">
        <f>ROUND(SUMIFS(Units_month!AY$6:AY$173,Units_month!$C$6:$C$173,"&gt;="&amp;Nexus_Summary!$C8,Units_month!$D$6:$D$173,"&lt;="&amp;Nexus_Summary!$D8),0)</f>
        <v>90993</v>
      </c>
      <c r="AT8" s="961">
        <f>ROUND(SUMIFS(Units_month!AZ$6:AZ$173,Units_month!$C$6:$C$173,"&gt;="&amp;Nexus_Summary!$C8,Units_month!$D$6:$D$173,"&lt;="&amp;Nexus_Summary!$D8),0)</f>
        <v>393</v>
      </c>
      <c r="AU8" s="954"/>
      <c r="AV8" s="898">
        <f>ROUND(SUMIFS(Units_month!BB$6:BB$173,Units_month!$C$6:$C$173,"&gt;="&amp;Nexus_Summary!$C8,Units_month!$D$6:$D$173,"&lt;="&amp;Nexus_Summary!$D8),0)</f>
        <v>70135</v>
      </c>
      <c r="AW8" s="898">
        <f>ROUND(SUMIFS(Units_month!BC$6:BC$173,Units_month!$C$6:$C$173,"&gt;="&amp;Nexus_Summary!$C8,Units_month!$D$6:$D$173,"&lt;="&amp;Nexus_Summary!$D8),0)</f>
        <v>1023</v>
      </c>
      <c r="AX8" s="899">
        <f>(SUMIFS(Units_month!BD$6:BD$173,Units_month!$C$6:$C$173,"&gt;="&amp;Nexus_Summary!$C8,Units_month!$D$6:$D$173,"&lt;="&amp;Nexus_Summary!$D8))/(MONTH($D8)-MONTH($C8)+1)</f>
        <v>0.82099999999999984</v>
      </c>
      <c r="AY8" s="899">
        <f>(SUMIFS(Units_month!BE$6:BE$173,Units_month!$C$6:$C$173,"&gt;="&amp;Nexus_Summary!$C8,Units_month!$D$6:$D$173,"&lt;="&amp;Nexus_Summary!$D8))/(MONTH($D8)-MONTH($C8)+1)</f>
        <v>0.91199999999999959</v>
      </c>
      <c r="AZ8" s="898">
        <f>ROUND(SUMIFS(Units_month!BF$6:BF$173,Units_month!$C$6:$C$173,"&gt;="&amp;Nexus_Summary!$C8,Units_month!$D$6:$D$173,"&lt;="&amp;Nexus_Summary!$D8),0)</f>
        <v>7272940</v>
      </c>
      <c r="BA8" s="898">
        <f>ROUND(SUMIFS(Units_month!BG$6:BG$173,Units_month!$C$6:$C$173,"&gt;="&amp;Nexus_Summary!$C8,Units_month!$D$6:$D$173,"&lt;="&amp;Nexus_Summary!$D8),0)</f>
        <v>3258027</v>
      </c>
      <c r="BB8" s="898">
        <f>ROUND(SUMIFS(Units_month!BH$6:BH$173,Units_month!$C$6:$C$173,"&gt;="&amp;Nexus_Summary!$C8,Units_month!$D$6:$D$173,"&lt;="&amp;Nexus_Summary!$D8),0)</f>
        <v>9582266</v>
      </c>
      <c r="BC8" s="898">
        <f>ROUND(SUMIFS(Units_month!BI$6:BI$173,Units_month!$C$6:$C$173,"&gt;="&amp;Nexus_Summary!$C8,Units_month!$D$6:$D$173,"&lt;="&amp;Nexus_Summary!$D8),0)</f>
        <v>1100</v>
      </c>
      <c r="BD8" s="900">
        <f>(SUMIFS(Units_month!BJ$6:BJ$173,Units_month!$C$6:$C$173,"&gt;="&amp;Nexus_Summary!$C8,Units_month!$D$6:$D$173,"&lt;="&amp;Nexus_Summary!$D8))/(MONTH($D8)-MONTH($C8)+1)</f>
        <v>85</v>
      </c>
      <c r="BE8" s="898">
        <f>ROUND(SUMIFS(Units_month!BK$6:BK$173,Units_month!$C$6:$C$173,"&gt;="&amp;Nexus_Summary!$C8,Units_month!$D$6:$D$173,"&lt;="&amp;Nexus_Summary!$D8),0)</f>
        <v>90993</v>
      </c>
      <c r="BF8" s="898">
        <f>ROUND(SUMIFS(Units_month!BL$6:BL$173,Units_month!$C$6:$C$173,"&gt;="&amp;Nexus_Summary!$C8,Units_month!$D$6:$D$173,"&lt;="&amp;Nexus_Summary!$D8),0)</f>
        <v>433</v>
      </c>
    </row>
    <row r="9" spans="2:59" s="986" customFormat="1" ht="15.75" thickBot="1">
      <c r="B9" s="994" t="s">
        <v>332</v>
      </c>
      <c r="C9" s="995">
        <v>43831</v>
      </c>
      <c r="D9" s="995">
        <v>44196</v>
      </c>
      <c r="E9" s="996"/>
      <c r="F9" s="997">
        <f>SUMIFS(Units_month!$N$6:$N$173,Units_month!$C$6:$C$173,"&gt;="&amp;Nexus_Summary!C9,Units_month!$D$6:$D$173,"&lt;="&amp;Nexus_Summary!D9)</f>
        <v>93878.410464354427</v>
      </c>
      <c r="G9" s="1243">
        <f t="shared" ref="G9:G13" si="0">F9</f>
        <v>93878.410464354427</v>
      </c>
      <c r="H9" s="997">
        <f>F9-(F9*CoreData!$F$10)</f>
        <v>92000.842255067342</v>
      </c>
      <c r="I9" s="998">
        <f t="shared" ref="I9:I12" si="1">H9</f>
        <v>92000.842255067342</v>
      </c>
      <c r="J9" s="979"/>
      <c r="K9" s="979"/>
      <c r="L9" s="980">
        <f>ROUND(SUMIFS(Units_month!Q$6:Q$173,Units_month!$C$6:$C$173,"&gt;="&amp;Nexus_Summary!$C9,Units_month!$D$6:$D$173,"&lt;="&amp;Nexus_Summary!$D9),0)</f>
        <v>88087</v>
      </c>
      <c r="M9" s="980">
        <f>ROUND(SUMIFS(Units_month!R$6:R$173,Units_month!$C$6:$C$173,"&gt;="&amp;Nexus_Summary!$C9,Units_month!$D$6:$D$173,"&lt;="&amp;Nexus_Summary!$D9),0)</f>
        <v>1465</v>
      </c>
      <c r="N9" s="980">
        <f>(SUMIFS(Units_month!S$6:S$173,Units_month!$C$6:$C$173,"&gt;="&amp;Nexus_Summary!$C9,Units_month!$D$6:$D$173,"&lt;="&amp;Nexus_Summary!$D9))/(MONTH($D9)-MONTH($C9)+1)</f>
        <v>0</v>
      </c>
      <c r="O9" s="980">
        <f>(SUMIFS(Units_month!T$6:T$173,Units_month!$C$6:$C$173,"&gt;="&amp;Nexus_Summary!$C9,Units_month!$D$6:$D$173,"&lt;="&amp;Nexus_Summary!$D9))/(MONTH($D9)-MONTH($C9)+1)</f>
        <v>0</v>
      </c>
      <c r="P9" s="980">
        <f>(SUMIFS(Units_month!U$6:U$173,Units_month!$C$6:$C$173,"&gt;="&amp;Nexus_Summary!$C9,Units_month!$D$6:$D$173,"&lt;="&amp;Nexus_Summary!$D9))/(MONTH($D9)-MONTH($C9)+1)</f>
        <v>0</v>
      </c>
      <c r="Q9" s="980">
        <f>(SUMIFS(Units_month!V$6:V$173,Units_month!$C$6:$C$173,"&gt;="&amp;Nexus_Summary!$C9,Units_month!$D$6:$D$173,"&lt;="&amp;Nexus_Summary!$D9))/(MONTH($D9)-MONTH($C9)+1)</f>
        <v>0</v>
      </c>
      <c r="R9" s="980">
        <f>(SUMIFS(Units_month!W$6:W$173,Units_month!$C$6:$C$173,"&gt;="&amp;Nexus_Summary!$C9,Units_month!$D$6:$D$173,"&lt;="&amp;Nexus_Summary!$D9))/(MONTH($D9)-MONTH($C9)+1)</f>
        <v>0</v>
      </c>
      <c r="S9" s="980">
        <f>ROUND(SUMIFS(Units_month!X$6:X$173,Units_month!$C$6:$C$173,"&gt;="&amp;Nexus_Summary!$C9,Units_month!$D$6:$D$173,"&lt;="&amp;Nexus_Summary!$D9),0)</f>
        <v>0</v>
      </c>
      <c r="T9" s="980">
        <f>(SUMIFS(Units_month!Y$6:Y$173,Units_month!$C$6:$C$173,"&gt;="&amp;Nexus_Summary!$C9,Units_month!$D$6:$D$173,"&lt;="&amp;Nexus_Summary!$D9))/(MONTH($D9)-MONTH($C9)+1)</f>
        <v>0</v>
      </c>
      <c r="U9" s="980">
        <f>ROUND(SUMIFS(Units_month!Z$6:Z$173,Units_month!$C$6:$C$173,"&gt;="&amp;Nexus_Summary!$C9,Units_month!$D$6:$D$173,"&lt;="&amp;Nexus_Summary!$D9),0)</f>
        <v>129807</v>
      </c>
      <c r="V9" s="980">
        <f>ROUND(SUMIFS(Units_month!AA$6:AA$173,Units_month!$C$6:$C$173,"&gt;="&amp;Nexus_Summary!$C9,Units_month!$D$6:$D$173,"&lt;="&amp;Nexus_Summary!$D9),0)</f>
        <v>0</v>
      </c>
      <c r="W9" s="979"/>
      <c r="X9" s="980">
        <f>ROUND(SUMIFS(Units_month!AC$6:AC$173,Units_month!$C$6:$C$173,"&gt;="&amp;Nexus_Summary!$C9,Units_month!$D$6:$D$173,"&lt;="&amp;Nexus_Summary!$D9),0)</f>
        <v>22547</v>
      </c>
      <c r="Y9" s="980">
        <f>ROUND(SUMIFS(Units_month!AD$6:AD$173,Units_month!$C$6:$C$173,"&gt;="&amp;Nexus_Summary!$C9,Units_month!$D$6:$D$173,"&lt;="&amp;Nexus_Summary!$D9),0)</f>
        <v>509</v>
      </c>
      <c r="Z9" s="981">
        <f>(SUMIFS(Units_month!AE$6:AE$173,Units_month!$C$6:$C$173,"&gt;="&amp;Nexus_Summary!$C9,Units_month!$D$6:$D$173,"&lt;="&amp;Nexus_Summary!$D9))/(MONTH($D9)-MONTH($C9)+1)</f>
        <v>0.82099999999999984</v>
      </c>
      <c r="AA9" s="981">
        <f>(SUMIFS(Units_month!AF$6:AF$173,Units_month!$C$6:$C$173,"&gt;="&amp;Nexus_Summary!$C9,Units_month!$D$6:$D$173,"&lt;="&amp;Nexus_Summary!$D9))/(MONTH($D9)-MONTH($C9)+1)</f>
        <v>0.91199999999999959</v>
      </c>
      <c r="AB9" s="982">
        <f>(SUMIFS(Units_month!AG$6:AG$173,Units_month!$C$6:$C$173,"&gt;="&amp;Nexus_Summary!$C9,Units_month!$D$6:$D$173,"&lt;="&amp;Nexus_Summary!$D9))/(MONTH($D9)-MONTH($C9)+1)</f>
        <v>566366.63035853428</v>
      </c>
      <c r="AC9" s="982">
        <f>(SUMIFS(Units_month!AH$6:AH$173,Units_month!$C$6:$C$173,"&gt;="&amp;Nexus_Summary!$C9,Units_month!$D$6:$D$173,"&lt;="&amp;Nexus_Summary!$D9))/(MONTH($D9)-MONTH($C9)+1)</f>
        <v>253712.78154770483</v>
      </c>
      <c r="AD9" s="982">
        <f>(SUMIFS(Units_month!AI$6:AI$173,Units_month!$C$6:$C$173,"&gt;="&amp;Nexus_Summary!$C9,Units_month!$D$6:$D$173,"&lt;="&amp;Nexus_Summary!$D9))/(MONTH($D9)-MONTH($C9)+1)</f>
        <v>746201.09401651437</v>
      </c>
      <c r="AE9" s="982">
        <f>ROUND(SUMIFS(Units_month!AJ$6:AJ$173,Units_month!$C$6:$C$173,"&gt;="&amp;Nexus_Summary!$C9,Units_month!$D$6:$D$173,"&lt;="&amp;Nexus_Summary!$D9),0)</f>
        <v>1028</v>
      </c>
      <c r="AF9" s="982">
        <f>(SUMIFS(Units_month!AK$6:AK$173,Units_month!$C$6:$C$173,"&gt;="&amp;Nexus_Summary!$C9,Units_month!$D$6:$D$173,"&lt;="&amp;Nexus_Summary!$D9))/(MONTH($D9)-MONTH($C9)+1)</f>
        <v>85</v>
      </c>
      <c r="AG9" s="980">
        <f>ROUND(SUMIFS(Units_month!AL$6:AL$173,Units_month!$C$6:$C$173,"&gt;="&amp;Nexus_Summary!$C9,Units_month!$D$6:$D$173,"&lt;="&amp;Nexus_Summary!$D9),0)</f>
        <v>33627</v>
      </c>
      <c r="AH9" s="980">
        <f>ROUND(SUMIFS(Units_month!AM$6:AM$173,Units_month!$C$6:$C$173,"&gt;="&amp;Nexus_Summary!$C9,Units_month!$D$6:$D$173,"&lt;="&amp;Nexus_Summary!$D9),0)</f>
        <v>404</v>
      </c>
      <c r="AI9" s="979"/>
      <c r="AJ9" s="980">
        <f>ROUND(SUMIFS(Units_month!AP$6:AP$173,Units_month!$C$6:$C$173,"&gt;="&amp;Nexus_Summary!$C9,Units_month!$D$6:$D$173,"&lt;="&amp;Nexus_Summary!$D9),0)</f>
        <v>65540</v>
      </c>
      <c r="AK9" s="980">
        <f>ROUND(SUMIFS(Units_month!AQ$6:AQ$173,Units_month!$C$6:$C$173,"&gt;="&amp;Nexus_Summary!$C9,Units_month!$D$6:$D$173,"&lt;="&amp;Nexus_Summary!$D9),0)</f>
        <v>956</v>
      </c>
      <c r="AL9" s="981">
        <f>(SUMIFS(Units_month!AR$6:AR$173,Units_month!$C$6:$C$173,"&gt;="&amp;Nexus_Summary!$C9,Units_month!$D$6:$D$173,"&lt;="&amp;Nexus_Summary!$D9))/(MONTH($D9)-MONTH($C9)+1)</f>
        <v>0.82099999999999984</v>
      </c>
      <c r="AM9" s="981">
        <f>(SUMIFS(Units_month!AS$6:AS$173,Units_month!$C$6:$C$173,"&gt;="&amp;Nexus_Summary!$C9,Units_month!$D$6:$D$173,"&lt;="&amp;Nexus_Summary!$D9))/(MONTH($D9)-MONTH($C9)+1)</f>
        <v>0.91199999999999959</v>
      </c>
      <c r="AN9" s="982">
        <f>(SUMIFS(Units_month!AT$6:AT$173,Units_month!$C$6:$C$173,"&gt;="&amp;Nexus_Summary!$C9,Units_month!$D$6:$D$173,"&lt;="&amp;Nexus_Summary!$D9))/(MONTH($D9)-MONTH($C9)+1)</f>
        <v>566366.63035853428</v>
      </c>
      <c r="AO9" s="982">
        <f>(SUMIFS(Units_month!AU$6:AU$173,Units_month!$C$6:$C$173,"&gt;="&amp;Nexus_Summary!$C9,Units_month!$D$6:$D$173,"&lt;="&amp;Nexus_Summary!$D9))/(MONTH($D9)-MONTH($C9)+1)</f>
        <v>253712.78154770483</v>
      </c>
      <c r="AP9" s="982">
        <f>(SUMIFS(Units_month!AV$6:AV$173,Units_month!$C$6:$C$173,"&gt;="&amp;Nexus_Summary!$C9,Units_month!$D$6:$D$173,"&lt;="&amp;Nexus_Summary!$D9))/(MONTH($D9)-MONTH($C9)+1)</f>
        <v>746201.09401651437</v>
      </c>
      <c r="AQ9" s="982">
        <f>ROUND(SUMIFS(Units_month!AW$6:AW$173,Units_month!$C$6:$C$173,"&gt;="&amp;Nexus_Summary!$C9,Units_month!$D$6:$D$173,"&lt;="&amp;Nexus_Summary!$D9),0)</f>
        <v>1028</v>
      </c>
      <c r="AR9" s="982">
        <f>(SUMIFS(Units_month!AX$6:AX$173,Units_month!$C$6:$C$173,"&gt;="&amp;Nexus_Summary!$C9,Units_month!$D$6:$D$173,"&lt;="&amp;Nexus_Summary!$D9))/(MONTH($D9)-MONTH($C9)+1)</f>
        <v>85</v>
      </c>
      <c r="AS9" s="980">
        <f>ROUND(SUMIFS(Units_month!AY$6:AY$173,Units_month!$C$6:$C$173,"&gt;="&amp;Nexus_Summary!$C9,Units_month!$D$6:$D$173,"&lt;="&amp;Nexus_Summary!$D9),0)</f>
        <v>93878</v>
      </c>
      <c r="AT9" s="980">
        <f>ROUND(SUMIFS(Units_month!AZ$6:AZ$173,Units_month!$C$6:$C$173,"&gt;="&amp;Nexus_Summary!$C9,Units_month!$D$6:$D$173,"&lt;="&amp;Nexus_Summary!$D9),0)</f>
        <v>404</v>
      </c>
      <c r="AU9" s="979"/>
      <c r="AV9" s="983">
        <f>ROUND(SUMIFS(Units_month!BB$6:BB$173,Units_month!$C$6:$C$173,"&gt;="&amp;Nexus_Summary!$C9,Units_month!$D$6:$D$173,"&lt;="&amp;Nexus_Summary!$D9),0)</f>
        <v>65540</v>
      </c>
      <c r="AW9" s="983">
        <f>ROUND(SUMIFS(Units_month!BC$6:BC$173,Units_month!$C$6:$C$173,"&gt;="&amp;Nexus_Summary!$C9,Units_month!$D$6:$D$173,"&lt;="&amp;Nexus_Summary!$D9),0)</f>
        <v>956</v>
      </c>
      <c r="AX9" s="984">
        <f>(SUMIFS(Units_month!BD$6:BD$173,Units_month!$C$6:$C$173,"&gt;="&amp;Nexus_Summary!$C9,Units_month!$D$6:$D$173,"&lt;="&amp;Nexus_Summary!$D9))/(MONTH($D9)-MONTH($C9)+1)</f>
        <v>0.82099999999999984</v>
      </c>
      <c r="AY9" s="984">
        <f>(SUMIFS(Units_month!BE$6:BE$173,Units_month!$C$6:$C$173,"&gt;="&amp;Nexus_Summary!$C9,Units_month!$D$6:$D$173,"&lt;="&amp;Nexus_Summary!$D9))/(MONTH($D9)-MONTH($C9)+1)</f>
        <v>0.91199999999999959</v>
      </c>
      <c r="AZ9" s="983">
        <f>ROUND(SUMIFS(Units_month!BF$6:BF$173,Units_month!$C$6:$C$173,"&gt;="&amp;Nexus_Summary!$C9,Units_month!$D$6:$D$173,"&lt;="&amp;Nexus_Summary!$D9),0)</f>
        <v>6796400</v>
      </c>
      <c r="BA9" s="983">
        <f>ROUND(SUMIFS(Units_month!BG$6:BG$173,Units_month!$C$6:$C$173,"&gt;="&amp;Nexus_Summary!$C9,Units_month!$D$6:$D$173,"&lt;="&amp;Nexus_Summary!$D9),0)</f>
        <v>3044553</v>
      </c>
      <c r="BB9" s="983">
        <f>ROUND(SUMIFS(Units_month!BH$6:BH$173,Units_month!$C$6:$C$173,"&gt;="&amp;Nexus_Summary!$C9,Units_month!$D$6:$D$173,"&lt;="&amp;Nexus_Summary!$D9),0)</f>
        <v>8954413</v>
      </c>
      <c r="BC9" s="983">
        <f>ROUND(SUMIFS(Units_month!BI$6:BI$173,Units_month!$C$6:$C$173,"&gt;="&amp;Nexus_Summary!$C9,Units_month!$D$6:$D$173,"&lt;="&amp;Nexus_Summary!$D9),0)</f>
        <v>1028</v>
      </c>
      <c r="BD9" s="985">
        <f>(SUMIFS(Units_month!BJ$6:BJ$173,Units_month!$C$6:$C$173,"&gt;="&amp;Nexus_Summary!$C9,Units_month!$D$6:$D$173,"&lt;="&amp;Nexus_Summary!$D9))/(MONTH($D9)-MONTH($C9)+1)</f>
        <v>85</v>
      </c>
      <c r="BE9" s="983">
        <f>ROUND(SUMIFS(Units_month!BK$6:BK$173,Units_month!$C$6:$C$173,"&gt;="&amp;Nexus_Summary!$C9,Units_month!$D$6:$D$173,"&lt;="&amp;Nexus_Summary!$D9),0)</f>
        <v>93878</v>
      </c>
      <c r="BF9" s="983">
        <f>ROUND(SUMIFS(Units_month!BL$6:BL$173,Units_month!$C$6:$C$173,"&gt;="&amp;Nexus_Summary!$C9,Units_month!$D$6:$D$173,"&lt;="&amp;Nexus_Summary!$D9),0)</f>
        <v>404</v>
      </c>
      <c r="BG9" s="999"/>
    </row>
    <row r="10" spans="2:59" hidden="1">
      <c r="B10" s="25" t="s">
        <v>333</v>
      </c>
      <c r="C10" s="22">
        <v>44197</v>
      </c>
      <c r="D10" s="22">
        <v>44561</v>
      </c>
      <c r="E10" s="26"/>
      <c r="F10" s="23">
        <f>SUMIFS(Units_month!$N$6:$N$173,Units_month!$C$6:$C$173,"&gt;="&amp;Nexus_Summary!C10,Units_month!$D$6:$D$173,"&lt;="&amp;Nexus_Summary!D10)</f>
        <v>90851.564222537912</v>
      </c>
      <c r="G10" s="27">
        <f t="shared" si="0"/>
        <v>90851.564222537912</v>
      </c>
      <c r="H10" s="23">
        <f>F10-(F10*CoreData!$F$10)</f>
        <v>89034.532938087155</v>
      </c>
      <c r="I10" s="24">
        <f t="shared" si="1"/>
        <v>89034.532938087155</v>
      </c>
      <c r="J10" s="954"/>
      <c r="K10" s="954"/>
      <c r="L10" s="961">
        <f>ROUND(SUMIFS(Units_month!Q$6:Q$173,Units_month!$C$6:$C$173,"&gt;="&amp;Nexus_Summary!$C10,Units_month!$D$6:$D$173,"&lt;="&amp;Nexus_Summary!$D10),0)</f>
        <v>85226</v>
      </c>
      <c r="M10" s="961">
        <f>ROUND(SUMIFS(Units_month!R$6:R$173,Units_month!$C$6:$C$173,"&gt;="&amp;Nexus_Summary!$C10,Units_month!$D$6:$D$173,"&lt;="&amp;Nexus_Summary!$D10),0)</f>
        <v>1417</v>
      </c>
      <c r="N10" s="961">
        <f>(SUMIFS(Units_month!S$6:S$173,Units_month!$C$6:$C$173,"&gt;="&amp;Nexus_Summary!$C10,Units_month!$D$6:$D$173,"&lt;="&amp;Nexus_Summary!$D10))/(MONTH($D10)-MONTH($C10)+1)</f>
        <v>0</v>
      </c>
      <c r="O10" s="961">
        <f>(SUMIFS(Units_month!T$6:T$173,Units_month!$C$6:$C$173,"&gt;="&amp;Nexus_Summary!$C10,Units_month!$D$6:$D$173,"&lt;="&amp;Nexus_Summary!$D10))/(MONTH($D10)-MONTH($C10)+1)</f>
        <v>0</v>
      </c>
      <c r="P10" s="975">
        <f>(SUMIFS(Units_month!U$6:U$173,Units_month!$C$6:$C$173,"&gt;="&amp;Nexus_Summary!$C10,Units_month!$D$6:$D$173,"&lt;="&amp;Nexus_Summary!$D10))/(MONTH($D10)-MONTH($C10)+1)</f>
        <v>0</v>
      </c>
      <c r="Q10" s="975">
        <f>(SUMIFS(Units_month!V$6:V$173,Units_month!$C$6:$C$173,"&gt;="&amp;Nexus_Summary!$C10,Units_month!$D$6:$D$173,"&lt;="&amp;Nexus_Summary!$D10))/(MONTH($D10)-MONTH($C10)+1)</f>
        <v>0</v>
      </c>
      <c r="R10" s="975">
        <f>(SUMIFS(Units_month!W$6:W$173,Units_month!$C$6:$C$173,"&gt;="&amp;Nexus_Summary!$C10,Units_month!$D$6:$D$173,"&lt;="&amp;Nexus_Summary!$D10))/(MONTH($D10)-MONTH($C10)+1)</f>
        <v>0</v>
      </c>
      <c r="S10" s="961">
        <f>ROUND(SUMIFS(Units_month!X$6:X$173,Units_month!$C$6:$C$173,"&gt;="&amp;Nexus_Summary!$C10,Units_month!$D$6:$D$173,"&lt;="&amp;Nexus_Summary!$D10),0)</f>
        <v>0</v>
      </c>
      <c r="T10" s="961">
        <f>(SUMIFS(Units_month!Y$6:Y$173,Units_month!$C$6:$C$173,"&gt;="&amp;Nexus_Summary!$C10,Units_month!$D$6:$D$173,"&lt;="&amp;Nexus_Summary!$D10))/(MONTH($D10)-MONTH($C10)+1)</f>
        <v>0</v>
      </c>
      <c r="U10" s="961">
        <f>ROUND(SUMIFS(Units_month!Z$6:Z$173,Units_month!$C$6:$C$173,"&gt;="&amp;Nexus_Summary!$C10,Units_month!$D$6:$D$173,"&lt;="&amp;Nexus_Summary!$D10),0)</f>
        <v>125591</v>
      </c>
      <c r="V10" s="961">
        <f>ROUND(SUMIFS(Units_month!AA$6:AA$173,Units_month!$C$6:$C$173,"&gt;="&amp;Nexus_Summary!$C10,Units_month!$D$6:$D$173,"&lt;="&amp;Nexus_Summary!$D10),0)</f>
        <v>0</v>
      </c>
      <c r="W10" s="954"/>
      <c r="X10" s="961">
        <f>ROUND(SUMIFS(Units_month!AC$6:AC$173,Units_month!$C$6:$C$173,"&gt;="&amp;Nexus_Summary!$C10,Units_month!$D$6:$D$173,"&lt;="&amp;Nexus_Summary!$D10),0)</f>
        <v>21815</v>
      </c>
      <c r="Y10" s="961">
        <f>ROUND(SUMIFS(Units_month!AD$6:AD$173,Units_month!$C$6:$C$173,"&gt;="&amp;Nexus_Summary!$C10,Units_month!$D$6:$D$173,"&lt;="&amp;Nexus_Summary!$D10),0)</f>
        <v>493</v>
      </c>
      <c r="Z10" s="977">
        <f>(SUMIFS(Units_month!AE$6:AE$173,Units_month!$C$6:$C$173,"&gt;="&amp;Nexus_Summary!$C10,Units_month!$D$6:$D$173,"&lt;="&amp;Nexus_Summary!$D10))/(MONTH($D10)-MONTH($C10)+1)</f>
        <v>0.82099999999999984</v>
      </c>
      <c r="AA10" s="977">
        <f>(SUMIFS(Units_month!AF$6:AF$173,Units_month!$C$6:$C$173,"&gt;="&amp;Nexus_Summary!$C10,Units_month!$D$6:$D$173,"&lt;="&amp;Nexus_Summary!$D10))/(MONTH($D10)-MONTH($C10)+1)</f>
        <v>0.91199999999999959</v>
      </c>
      <c r="AB10" s="976">
        <f>(SUMIFS(Units_month!AG$6:AG$173,Units_month!$C$6:$C$173,"&gt;="&amp;Nexus_Summary!$C10,Units_month!$D$6:$D$173,"&lt;="&amp;Nexus_Summary!$D10))/(MONTH($D10)-MONTH($C10)+1)</f>
        <v>547973.39485566271</v>
      </c>
      <c r="AC10" s="976">
        <f>(SUMIFS(Units_month!AH$6:AH$173,Units_month!$C$6:$C$173,"&gt;="&amp;Nexus_Summary!$C10,Units_month!$D$6:$D$173,"&lt;="&amp;Nexus_Summary!$D10))/(MONTH($D10)-MONTH($C10)+1)</f>
        <v>245473.24430988877</v>
      </c>
      <c r="AD10" s="976">
        <f>(SUMIFS(Units_month!AI$6:AI$173,Units_month!$C$6:$C$173,"&gt;="&amp;Nexus_Summary!$C10,Units_month!$D$6:$D$173,"&lt;="&amp;Nexus_Summary!$D10))/(MONTH($D10)-MONTH($C10)+1)</f>
        <v>721967.58215502335</v>
      </c>
      <c r="AE10" s="978">
        <f>ROUND(SUMIFS(Units_month!AJ$6:AJ$173,Units_month!$C$6:$C$173,"&gt;="&amp;Nexus_Summary!$C10,Units_month!$D$6:$D$173,"&lt;="&amp;Nexus_Summary!$D10),0)</f>
        <v>995</v>
      </c>
      <c r="AF10" s="978">
        <f>(SUMIFS(Units_month!AK$6:AK$173,Units_month!$C$6:$C$173,"&gt;="&amp;Nexus_Summary!$C10,Units_month!$D$6:$D$173,"&lt;="&amp;Nexus_Summary!$D10))/(MONTH($D10)-MONTH($C10)+1)</f>
        <v>85</v>
      </c>
      <c r="AG10" s="961">
        <f>ROUND(SUMIFS(Units_month!AL$6:AL$173,Units_month!$C$6:$C$173,"&gt;="&amp;Nexus_Summary!$C10,Units_month!$D$6:$D$173,"&lt;="&amp;Nexus_Summary!$D10),0)</f>
        <v>32535</v>
      </c>
      <c r="AH10" s="961">
        <f>ROUND(SUMIFS(Units_month!AM$6:AM$173,Units_month!$C$6:$C$173,"&gt;="&amp;Nexus_Summary!$C10,Units_month!$D$6:$D$173,"&lt;="&amp;Nexus_Summary!$D10),0)</f>
        <v>391</v>
      </c>
      <c r="AI10" s="954"/>
      <c r="AJ10" s="961">
        <f>ROUND(SUMIFS(Units_month!AP$6:AP$173,Units_month!$C$6:$C$173,"&gt;="&amp;Nexus_Summary!$C10,Units_month!$D$6:$D$173,"&lt;="&amp;Nexus_Summary!$D10),0)</f>
        <v>63412</v>
      </c>
      <c r="AK10" s="961">
        <f>ROUND(SUMIFS(Units_month!AQ$6:AQ$173,Units_month!$C$6:$C$173,"&gt;="&amp;Nexus_Summary!$C10,Units_month!$D$6:$D$173,"&lt;="&amp;Nexus_Summary!$D10),0)</f>
        <v>925</v>
      </c>
      <c r="AL10" s="977">
        <f>(SUMIFS(Units_month!AR$6:AR$173,Units_month!$C$6:$C$173,"&gt;="&amp;Nexus_Summary!$C10,Units_month!$D$6:$D$173,"&lt;="&amp;Nexus_Summary!$D10))/(MONTH($D10)-MONTH($C10)+1)</f>
        <v>0.82099999999999984</v>
      </c>
      <c r="AM10" s="977">
        <f>(SUMIFS(Units_month!AS$6:AS$173,Units_month!$C$6:$C$173,"&gt;="&amp;Nexus_Summary!$C10,Units_month!$D$6:$D$173,"&lt;="&amp;Nexus_Summary!$D10))/(MONTH($D10)-MONTH($C10)+1)</f>
        <v>0.91199999999999959</v>
      </c>
      <c r="AN10" s="976">
        <f>(SUMIFS(Units_month!AT$6:AT$173,Units_month!$C$6:$C$173,"&gt;="&amp;Nexus_Summary!$C10,Units_month!$D$6:$D$173,"&lt;="&amp;Nexus_Summary!$D10))/(MONTH($D10)-MONTH($C10)+1)</f>
        <v>547973.39485566271</v>
      </c>
      <c r="AO10" s="976">
        <f>(SUMIFS(Units_month!AU$6:AU$173,Units_month!$C$6:$C$173,"&gt;="&amp;Nexus_Summary!$C10,Units_month!$D$6:$D$173,"&lt;="&amp;Nexus_Summary!$D10))/(MONTH($D10)-MONTH($C10)+1)</f>
        <v>245473.24430988877</v>
      </c>
      <c r="AP10" s="976">
        <f>(SUMIFS(Units_month!AV$6:AV$173,Units_month!$C$6:$C$173,"&gt;="&amp;Nexus_Summary!$C10,Units_month!$D$6:$D$173,"&lt;="&amp;Nexus_Summary!$D10))/(MONTH($D10)-MONTH($C10)+1)</f>
        <v>721967.58215502335</v>
      </c>
      <c r="AQ10" s="978">
        <f>ROUND(SUMIFS(Units_month!AW$6:AW$173,Units_month!$C$6:$C$173,"&gt;="&amp;Nexus_Summary!$C10,Units_month!$D$6:$D$173,"&lt;="&amp;Nexus_Summary!$D10),0)</f>
        <v>995</v>
      </c>
      <c r="AR10" s="978">
        <f>(SUMIFS(Units_month!AX$6:AX$173,Units_month!$C$6:$C$173,"&gt;="&amp;Nexus_Summary!$C10,Units_month!$D$6:$D$173,"&lt;="&amp;Nexus_Summary!$D10))/(MONTH($D10)-MONTH($C10)+1)</f>
        <v>85</v>
      </c>
      <c r="AS10" s="961">
        <f>ROUND(SUMIFS(Units_month!AY$6:AY$173,Units_month!$C$6:$C$173,"&gt;="&amp;Nexus_Summary!$C10,Units_month!$D$6:$D$173,"&lt;="&amp;Nexus_Summary!$D10),0)</f>
        <v>90852</v>
      </c>
      <c r="AT10" s="961">
        <f>ROUND(SUMIFS(Units_month!AZ$6:AZ$173,Units_month!$C$6:$C$173,"&gt;="&amp;Nexus_Summary!$C10,Units_month!$D$6:$D$173,"&lt;="&amp;Nexus_Summary!$D10),0)</f>
        <v>391</v>
      </c>
      <c r="AU10" s="954"/>
      <c r="AV10" s="898">
        <f>ROUND(SUMIFS(Units_month!BB$6:BB$173,Units_month!$C$6:$C$173,"&gt;="&amp;Nexus_Summary!$C10,Units_month!$D$6:$D$173,"&lt;="&amp;Nexus_Summary!$D10),0)</f>
        <v>63412</v>
      </c>
      <c r="AW10" s="898">
        <f>ROUND(SUMIFS(Units_month!BC$6:BC$173,Units_month!$C$6:$C$173,"&gt;="&amp;Nexus_Summary!$C10,Units_month!$D$6:$D$173,"&lt;="&amp;Nexus_Summary!$D10),0)</f>
        <v>925</v>
      </c>
      <c r="AX10" s="899">
        <f>(SUMIFS(Units_month!BD$6:BD$173,Units_month!$C$6:$C$173,"&gt;="&amp;Nexus_Summary!$C10,Units_month!$D$6:$D$173,"&lt;="&amp;Nexus_Summary!$D10))/(MONTH($D10)-MONTH($C10)+1)</f>
        <v>0.82099999999999984</v>
      </c>
      <c r="AY10" s="899">
        <f>(SUMIFS(Units_month!BE$6:BE$173,Units_month!$C$6:$C$173,"&gt;="&amp;Nexus_Summary!$C10,Units_month!$D$6:$D$173,"&lt;="&amp;Nexus_Summary!$D10))/(MONTH($D10)-MONTH($C10)+1)</f>
        <v>0.91199999999999959</v>
      </c>
      <c r="AZ10" s="898">
        <f>ROUND(SUMIFS(Units_month!BF$6:BF$173,Units_month!$C$6:$C$173,"&gt;="&amp;Nexus_Summary!$C10,Units_month!$D$6:$D$173,"&lt;="&amp;Nexus_Summary!$D10),0)</f>
        <v>6575681</v>
      </c>
      <c r="BA10" s="898">
        <f>ROUND(SUMIFS(Units_month!BG$6:BG$173,Units_month!$C$6:$C$173,"&gt;="&amp;Nexus_Summary!$C10,Units_month!$D$6:$D$173,"&lt;="&amp;Nexus_Summary!$D10),0)</f>
        <v>2945679</v>
      </c>
      <c r="BB10" s="898">
        <f>ROUND(SUMIFS(Units_month!BH$6:BH$173,Units_month!$C$6:$C$173,"&gt;="&amp;Nexus_Summary!$C10,Units_month!$D$6:$D$173,"&lt;="&amp;Nexus_Summary!$D10),0)</f>
        <v>8663611</v>
      </c>
      <c r="BC10" s="898">
        <f>ROUND(SUMIFS(Units_month!BI$6:BI$173,Units_month!$C$6:$C$173,"&gt;="&amp;Nexus_Summary!$C10,Units_month!$D$6:$D$173,"&lt;="&amp;Nexus_Summary!$D10),0)</f>
        <v>995</v>
      </c>
      <c r="BD10" s="900">
        <f>(SUMIFS(Units_month!BJ$6:BJ$173,Units_month!$C$6:$C$173,"&gt;="&amp;Nexus_Summary!$C10,Units_month!$D$6:$D$173,"&lt;="&amp;Nexus_Summary!$D10))/(MONTH($D10)-MONTH($C10)+1)</f>
        <v>85</v>
      </c>
      <c r="BE10" s="898">
        <f>ROUND(SUMIFS(Units_month!BK$6:BK$173,Units_month!$C$6:$C$173,"&gt;="&amp;Nexus_Summary!$C10,Units_month!$D$6:$D$173,"&lt;="&amp;Nexus_Summary!$D10),0)</f>
        <v>90852</v>
      </c>
      <c r="BF10" s="898">
        <f>ROUND(SUMIFS(Units_month!BL$6:BL$173,Units_month!$C$6:$C$173,"&gt;="&amp;Nexus_Summary!$C10,Units_month!$D$6:$D$173,"&lt;="&amp;Nexus_Summary!$D10),0)</f>
        <v>391</v>
      </c>
      <c r="BG10" s="654"/>
    </row>
    <row r="11" spans="2:59" hidden="1">
      <c r="B11" s="25" t="s">
        <v>334</v>
      </c>
      <c r="C11" s="22">
        <v>44562</v>
      </c>
      <c r="D11" s="22">
        <v>44926</v>
      </c>
      <c r="E11" s="26"/>
      <c r="F11" s="23">
        <f>SUMIFS(Units_month!$N$6:$N$173,Units_month!$C$6:$C$173,"&gt;="&amp;Nexus_Summary!C11,Units_month!$D$6:$D$173,"&lt;="&amp;Nexus_Summary!D11)</f>
        <v>85843.745388462252</v>
      </c>
      <c r="G11" s="27">
        <f t="shared" si="0"/>
        <v>85843.745388462252</v>
      </c>
      <c r="H11" s="23">
        <f>F11-(F11*CoreData!$F$10)</f>
        <v>84126.870480693004</v>
      </c>
      <c r="I11" s="24">
        <f t="shared" si="1"/>
        <v>84126.870480693004</v>
      </c>
      <c r="J11" s="954"/>
      <c r="K11" s="954"/>
      <c r="L11" s="961">
        <f>ROUND(SUMIFS(Units_month!Q$6:Q$173,Units_month!$C$6:$C$173,"&gt;="&amp;Nexus_Summary!$C11,Units_month!$D$6:$D$173,"&lt;="&amp;Nexus_Summary!$D11),0)</f>
        <v>80530</v>
      </c>
      <c r="M11" s="961">
        <f>ROUND(SUMIFS(Units_month!R$6:R$173,Units_month!$C$6:$C$173,"&gt;="&amp;Nexus_Summary!$C11,Units_month!$D$6:$D$173,"&lt;="&amp;Nexus_Summary!$D11),0)</f>
        <v>1339</v>
      </c>
      <c r="N11" s="961">
        <f>(SUMIFS(Units_month!S$6:S$173,Units_month!$C$6:$C$173,"&gt;="&amp;Nexus_Summary!$C11,Units_month!$D$6:$D$173,"&lt;="&amp;Nexus_Summary!$D11))/(MONTH($D11)-MONTH($C11)+1)</f>
        <v>0</v>
      </c>
      <c r="O11" s="961">
        <f>(SUMIFS(Units_month!T$6:T$173,Units_month!$C$6:$C$173,"&gt;="&amp;Nexus_Summary!$C11,Units_month!$D$6:$D$173,"&lt;="&amp;Nexus_Summary!$D11))/(MONTH($D11)-MONTH($C11)+1)</f>
        <v>0</v>
      </c>
      <c r="P11" s="975">
        <f>(SUMIFS(Units_month!U$6:U$173,Units_month!$C$6:$C$173,"&gt;="&amp;Nexus_Summary!$C11,Units_month!$D$6:$D$173,"&lt;="&amp;Nexus_Summary!$D11))/(MONTH($D11)-MONTH($C11)+1)</f>
        <v>0</v>
      </c>
      <c r="Q11" s="975">
        <f>(SUMIFS(Units_month!V$6:V$173,Units_month!$C$6:$C$173,"&gt;="&amp;Nexus_Summary!$C11,Units_month!$D$6:$D$173,"&lt;="&amp;Nexus_Summary!$D11))/(MONTH($D11)-MONTH($C11)+1)</f>
        <v>0</v>
      </c>
      <c r="R11" s="975">
        <f>(SUMIFS(Units_month!W$6:W$173,Units_month!$C$6:$C$173,"&gt;="&amp;Nexus_Summary!$C11,Units_month!$D$6:$D$173,"&lt;="&amp;Nexus_Summary!$D11))/(MONTH($D11)-MONTH($C11)+1)</f>
        <v>0</v>
      </c>
      <c r="S11" s="961">
        <f>ROUND(SUMIFS(Units_month!X$6:X$173,Units_month!$C$6:$C$173,"&gt;="&amp;Nexus_Summary!$C11,Units_month!$D$6:$D$173,"&lt;="&amp;Nexus_Summary!$D11),0)</f>
        <v>0</v>
      </c>
      <c r="T11" s="961">
        <f>(SUMIFS(Units_month!Y$6:Y$173,Units_month!$C$6:$C$173,"&gt;="&amp;Nexus_Summary!$C11,Units_month!$D$6:$D$173,"&lt;="&amp;Nexus_Summary!$D11))/(MONTH($D11)-MONTH($C11)+1)</f>
        <v>0</v>
      </c>
      <c r="U11" s="961">
        <f>ROUND(SUMIFS(Units_month!Z$6:Z$173,Units_month!$C$6:$C$173,"&gt;="&amp;Nexus_Summary!$C11,Units_month!$D$6:$D$173,"&lt;="&amp;Nexus_Summary!$D11),0)</f>
        <v>118670</v>
      </c>
      <c r="V11" s="961">
        <f>ROUND(SUMIFS(Units_month!AA$6:AA$173,Units_month!$C$6:$C$173,"&gt;="&amp;Nexus_Summary!$C11,Units_month!$D$6:$D$173,"&lt;="&amp;Nexus_Summary!$D11),0)</f>
        <v>0</v>
      </c>
      <c r="W11" s="954"/>
      <c r="X11" s="961">
        <f>ROUND(SUMIFS(Units_month!AC$6:AC$173,Units_month!$C$6:$C$173,"&gt;="&amp;Nexus_Summary!$C11,Units_month!$D$6:$D$173,"&lt;="&amp;Nexus_Summary!$D11),0)</f>
        <v>20613</v>
      </c>
      <c r="Y11" s="961">
        <f>ROUND(SUMIFS(Units_month!AD$6:AD$173,Units_month!$C$6:$C$173,"&gt;="&amp;Nexus_Summary!$C11,Units_month!$D$6:$D$173,"&lt;="&amp;Nexus_Summary!$D11),0)</f>
        <v>466</v>
      </c>
      <c r="Z11" s="977">
        <f>(SUMIFS(Units_month!AE$6:AE$173,Units_month!$C$6:$C$173,"&gt;="&amp;Nexus_Summary!$C11,Units_month!$D$6:$D$173,"&lt;="&amp;Nexus_Summary!$D11))/(MONTH($D11)-MONTH($C11)+1)</f>
        <v>0.82099999999999984</v>
      </c>
      <c r="AA11" s="977">
        <f>(SUMIFS(Units_month!AF$6:AF$173,Units_month!$C$6:$C$173,"&gt;="&amp;Nexus_Summary!$C11,Units_month!$D$6:$D$173,"&lt;="&amp;Nexus_Summary!$D11))/(MONTH($D11)-MONTH($C11)+1)</f>
        <v>0.91199999999999959</v>
      </c>
      <c r="AB11" s="976">
        <f>(SUMIFS(Units_month!AG$6:AG$173,Units_month!$C$6:$C$173,"&gt;="&amp;Nexus_Summary!$C11,Units_month!$D$6:$D$173,"&lt;="&amp;Nexus_Summary!$D11))/(MONTH($D11)-MONTH($C11)+1)</f>
        <v>517776.6472789119</v>
      </c>
      <c r="AC11" s="976">
        <f>(SUMIFS(Units_month!AH$6:AH$173,Units_month!$C$6:$C$173,"&gt;="&amp;Nexus_Summary!$C11,Units_month!$D$6:$D$173,"&lt;="&amp;Nexus_Summary!$D11))/(MONTH($D11)-MONTH($C11)+1)</f>
        <v>231946.13940870229</v>
      </c>
      <c r="AD11" s="976">
        <f>(SUMIFS(Units_month!AI$6:AI$173,Units_month!$C$6:$C$173,"&gt;="&amp;Nexus_Summary!$C11,Units_month!$D$6:$D$173,"&lt;="&amp;Nexus_Summary!$D11))/(MONTH($D11)-MONTH($C11)+1)</f>
        <v>682182.6709867086</v>
      </c>
      <c r="AE11" s="978">
        <f>ROUND(SUMIFS(Units_month!AJ$6:AJ$173,Units_month!$C$6:$C$173,"&gt;="&amp;Nexus_Summary!$C11,Units_month!$D$6:$D$173,"&lt;="&amp;Nexus_Summary!$D11),0)</f>
        <v>940</v>
      </c>
      <c r="AF11" s="978">
        <f>(SUMIFS(Units_month!AK$6:AK$173,Units_month!$C$6:$C$173,"&gt;="&amp;Nexus_Summary!$C11,Units_month!$D$6:$D$173,"&lt;="&amp;Nexus_Summary!$D11))/(MONTH($D11)-MONTH($C11)+1)</f>
        <v>85</v>
      </c>
      <c r="AG11" s="961">
        <f>ROUND(SUMIFS(Units_month!AL$6:AL$173,Units_month!$C$6:$C$173,"&gt;="&amp;Nexus_Summary!$C11,Units_month!$D$6:$D$173,"&lt;="&amp;Nexus_Summary!$D11),0)</f>
        <v>30742</v>
      </c>
      <c r="AH11" s="961">
        <f>ROUND(SUMIFS(Units_month!AM$6:AM$173,Units_month!$C$6:$C$173,"&gt;="&amp;Nexus_Summary!$C11,Units_month!$D$6:$D$173,"&lt;="&amp;Nexus_Summary!$D11),0)</f>
        <v>370</v>
      </c>
      <c r="AI11" s="954"/>
      <c r="AJ11" s="961">
        <f>ROUND(SUMIFS(Units_month!AP$6:AP$173,Units_month!$C$6:$C$173,"&gt;="&amp;Nexus_Summary!$C11,Units_month!$D$6:$D$173,"&lt;="&amp;Nexus_Summary!$D11),0)</f>
        <v>59917</v>
      </c>
      <c r="AK11" s="961">
        <f>ROUND(SUMIFS(Units_month!AQ$6:AQ$173,Units_month!$C$6:$C$173,"&gt;="&amp;Nexus_Summary!$C11,Units_month!$D$6:$D$173,"&lt;="&amp;Nexus_Summary!$D11),0)</f>
        <v>874</v>
      </c>
      <c r="AL11" s="977">
        <f>(SUMIFS(Units_month!AR$6:AR$173,Units_month!$C$6:$C$173,"&gt;="&amp;Nexus_Summary!$C11,Units_month!$D$6:$D$173,"&lt;="&amp;Nexus_Summary!$D11))/(MONTH($D11)-MONTH($C11)+1)</f>
        <v>0.82099999999999984</v>
      </c>
      <c r="AM11" s="977">
        <f>(SUMIFS(Units_month!AS$6:AS$173,Units_month!$C$6:$C$173,"&gt;="&amp;Nexus_Summary!$C11,Units_month!$D$6:$D$173,"&lt;="&amp;Nexus_Summary!$D11))/(MONTH($D11)-MONTH($C11)+1)</f>
        <v>0.91199999999999959</v>
      </c>
      <c r="AN11" s="976">
        <f>(SUMIFS(Units_month!AT$6:AT$173,Units_month!$C$6:$C$173,"&gt;="&amp;Nexus_Summary!$C11,Units_month!$D$6:$D$173,"&lt;="&amp;Nexus_Summary!$D11))/(MONTH($D11)-MONTH($C11)+1)</f>
        <v>517776.6472789119</v>
      </c>
      <c r="AO11" s="976">
        <f>(SUMIFS(Units_month!AU$6:AU$173,Units_month!$C$6:$C$173,"&gt;="&amp;Nexus_Summary!$C11,Units_month!$D$6:$D$173,"&lt;="&amp;Nexus_Summary!$D11))/(MONTH($D11)-MONTH($C11)+1)</f>
        <v>231946.13940870229</v>
      </c>
      <c r="AP11" s="976">
        <f>(SUMIFS(Units_month!AV$6:AV$173,Units_month!$C$6:$C$173,"&gt;="&amp;Nexus_Summary!$C11,Units_month!$D$6:$D$173,"&lt;="&amp;Nexus_Summary!$D11))/(MONTH($D11)-MONTH($C11)+1)</f>
        <v>682182.6709867086</v>
      </c>
      <c r="AQ11" s="978">
        <f>ROUND(SUMIFS(Units_month!AW$6:AW$173,Units_month!$C$6:$C$173,"&gt;="&amp;Nexus_Summary!$C11,Units_month!$D$6:$D$173,"&lt;="&amp;Nexus_Summary!$D11),0)</f>
        <v>940</v>
      </c>
      <c r="AR11" s="978">
        <f>(SUMIFS(Units_month!AX$6:AX$173,Units_month!$C$6:$C$173,"&gt;="&amp;Nexus_Summary!$C11,Units_month!$D$6:$D$173,"&lt;="&amp;Nexus_Summary!$D11))/(MONTH($D11)-MONTH($C11)+1)</f>
        <v>85</v>
      </c>
      <c r="AS11" s="961">
        <f>ROUND(SUMIFS(Units_month!AY$6:AY$173,Units_month!$C$6:$C$173,"&gt;="&amp;Nexus_Summary!$C11,Units_month!$D$6:$D$173,"&lt;="&amp;Nexus_Summary!$D11),0)</f>
        <v>85844</v>
      </c>
      <c r="AT11" s="961">
        <f>ROUND(SUMIFS(Units_month!AZ$6:AZ$173,Units_month!$C$6:$C$173,"&gt;="&amp;Nexus_Summary!$C11,Units_month!$D$6:$D$173,"&lt;="&amp;Nexus_Summary!$D11),0)</f>
        <v>370</v>
      </c>
      <c r="AU11" s="954"/>
      <c r="AV11" s="898">
        <f>ROUND(SUMIFS(Units_month!BB$6:BB$173,Units_month!$C$6:$C$173,"&gt;="&amp;Nexus_Summary!$C11,Units_month!$D$6:$D$173,"&lt;="&amp;Nexus_Summary!$D11),0)</f>
        <v>59917</v>
      </c>
      <c r="AW11" s="898">
        <f>ROUND(SUMIFS(Units_month!BC$6:BC$173,Units_month!$C$6:$C$173,"&gt;="&amp;Nexus_Summary!$C11,Units_month!$D$6:$D$173,"&lt;="&amp;Nexus_Summary!$D11),0)</f>
        <v>874</v>
      </c>
      <c r="AX11" s="899">
        <f>(SUMIFS(Units_month!BD$6:BD$173,Units_month!$C$6:$C$173,"&gt;="&amp;Nexus_Summary!$C11,Units_month!$D$6:$D$173,"&lt;="&amp;Nexus_Summary!$D11))/(MONTH($D11)-MONTH($C11)+1)</f>
        <v>0.82099999999999984</v>
      </c>
      <c r="AY11" s="899">
        <f>(SUMIFS(Units_month!BE$6:BE$173,Units_month!$C$6:$C$173,"&gt;="&amp;Nexus_Summary!$C11,Units_month!$D$6:$D$173,"&lt;="&amp;Nexus_Summary!$D11))/(MONTH($D11)-MONTH($C11)+1)</f>
        <v>0.91199999999999959</v>
      </c>
      <c r="AZ11" s="898">
        <f>ROUND(SUMIFS(Units_month!BF$6:BF$173,Units_month!$C$6:$C$173,"&gt;="&amp;Nexus_Summary!$C11,Units_month!$D$6:$D$173,"&lt;="&amp;Nexus_Summary!$D11),0)</f>
        <v>6213320</v>
      </c>
      <c r="BA11" s="898">
        <f>ROUND(SUMIFS(Units_month!BG$6:BG$173,Units_month!$C$6:$C$173,"&gt;="&amp;Nexus_Summary!$C11,Units_month!$D$6:$D$173,"&lt;="&amp;Nexus_Summary!$D11),0)</f>
        <v>2783354</v>
      </c>
      <c r="BB11" s="898">
        <f>ROUND(SUMIFS(Units_month!BH$6:BH$173,Units_month!$C$6:$C$173,"&gt;="&amp;Nexus_Summary!$C11,Units_month!$D$6:$D$173,"&lt;="&amp;Nexus_Summary!$D11),0)</f>
        <v>8186192</v>
      </c>
      <c r="BC11" s="898">
        <f>ROUND(SUMIFS(Units_month!BI$6:BI$173,Units_month!$C$6:$C$173,"&gt;="&amp;Nexus_Summary!$C11,Units_month!$D$6:$D$173,"&lt;="&amp;Nexus_Summary!$D11),0)</f>
        <v>940</v>
      </c>
      <c r="BD11" s="900">
        <f>(SUMIFS(Units_month!BJ$6:BJ$173,Units_month!$C$6:$C$173,"&gt;="&amp;Nexus_Summary!$C11,Units_month!$D$6:$D$173,"&lt;="&amp;Nexus_Summary!$D11))/(MONTH($D11)-MONTH($C11)+1)</f>
        <v>85</v>
      </c>
      <c r="BE11" s="898">
        <f>ROUND(SUMIFS(Units_month!BK$6:BK$173,Units_month!$C$6:$C$173,"&gt;="&amp;Nexus_Summary!$C11,Units_month!$D$6:$D$173,"&lt;="&amp;Nexus_Summary!$D11),0)</f>
        <v>85844</v>
      </c>
      <c r="BF11" s="898">
        <f>ROUND(SUMIFS(Units_month!BL$6:BL$173,Units_month!$C$6:$C$173,"&gt;="&amp;Nexus_Summary!$C11,Units_month!$D$6:$D$173,"&lt;="&amp;Nexus_Summary!$D11),0)</f>
        <v>370</v>
      </c>
      <c r="BG11" s="654"/>
    </row>
    <row r="12" spans="2:59" hidden="1">
      <c r="B12" s="25" t="s">
        <v>335</v>
      </c>
      <c r="C12" s="22">
        <v>44927</v>
      </c>
      <c r="D12" s="22">
        <v>45291</v>
      </c>
      <c r="E12" s="26"/>
      <c r="F12" s="23">
        <f>SUMIFS(Units_month!$N$6:$N$173,Units_month!$C$6:$C$173,"&gt;="&amp;Nexus_Summary!C12,Units_month!$D$6:$D$173,"&lt;="&amp;Nexus_Summary!D12)</f>
        <v>90073.198386333432</v>
      </c>
      <c r="G12" s="27">
        <f t="shared" si="0"/>
        <v>90073.198386333432</v>
      </c>
      <c r="H12" s="23">
        <f>F12-(F12*CoreData!$F$10)</f>
        <v>88271.734418606764</v>
      </c>
      <c r="I12" s="24">
        <f t="shared" si="1"/>
        <v>88271.734418606764</v>
      </c>
      <c r="J12" s="954"/>
      <c r="K12" s="954"/>
      <c r="L12" s="961">
        <f>ROUND(SUMIFS(Units_month!Q$6:Q$173,Units_month!$C$6:$C$173,"&gt;="&amp;Nexus_Summary!$C12,Units_month!$D$6:$D$173,"&lt;="&amp;Nexus_Summary!$D12),0)</f>
        <v>84508</v>
      </c>
      <c r="M12" s="961">
        <f>ROUND(SUMIFS(Units_month!R$6:R$173,Units_month!$C$6:$C$173,"&gt;="&amp;Nexus_Summary!$C12,Units_month!$D$6:$D$173,"&lt;="&amp;Nexus_Summary!$D12),0)</f>
        <v>1406</v>
      </c>
      <c r="N12" s="961">
        <f>(SUMIFS(Units_month!S$6:S$173,Units_month!$C$6:$C$173,"&gt;="&amp;Nexus_Summary!$C12,Units_month!$D$6:$D$173,"&lt;="&amp;Nexus_Summary!$D12))/(MONTH($D12)-MONTH($C12)+1)</f>
        <v>0</v>
      </c>
      <c r="O12" s="961">
        <f>(SUMIFS(Units_month!T$6:T$173,Units_month!$C$6:$C$173,"&gt;="&amp;Nexus_Summary!$C12,Units_month!$D$6:$D$173,"&lt;="&amp;Nexus_Summary!$D12))/(MONTH($D12)-MONTH($C12)+1)</f>
        <v>0</v>
      </c>
      <c r="P12" s="975">
        <f>(SUMIFS(Units_month!U$6:U$173,Units_month!$C$6:$C$173,"&gt;="&amp;Nexus_Summary!$C12,Units_month!$D$6:$D$173,"&lt;="&amp;Nexus_Summary!$D12))/(MONTH($D12)-MONTH($C12)+1)</f>
        <v>0</v>
      </c>
      <c r="Q12" s="975">
        <f>(SUMIFS(Units_month!V$6:V$173,Units_month!$C$6:$C$173,"&gt;="&amp;Nexus_Summary!$C12,Units_month!$D$6:$D$173,"&lt;="&amp;Nexus_Summary!$D12))/(MONTH($D12)-MONTH($C12)+1)</f>
        <v>0</v>
      </c>
      <c r="R12" s="975">
        <f>(SUMIFS(Units_month!W$6:W$173,Units_month!$C$6:$C$173,"&gt;="&amp;Nexus_Summary!$C12,Units_month!$D$6:$D$173,"&lt;="&amp;Nexus_Summary!$D12))/(MONTH($D12)-MONTH($C12)+1)</f>
        <v>0</v>
      </c>
      <c r="S12" s="961">
        <f>ROUND(SUMIFS(Units_month!X$6:X$173,Units_month!$C$6:$C$173,"&gt;="&amp;Nexus_Summary!$C12,Units_month!$D$6:$D$173,"&lt;="&amp;Nexus_Summary!$D12),0)</f>
        <v>0</v>
      </c>
      <c r="T12" s="961">
        <f>(SUMIFS(Units_month!Y$6:Y$173,Units_month!$C$6:$C$173,"&gt;="&amp;Nexus_Summary!$C12,Units_month!$D$6:$D$173,"&lt;="&amp;Nexus_Summary!$D12))/(MONTH($D12)-MONTH($C12)+1)</f>
        <v>0</v>
      </c>
      <c r="U12" s="961">
        <f>ROUND(SUMIFS(Units_month!Z$6:Z$173,Units_month!$C$6:$C$173,"&gt;="&amp;Nexus_Summary!$C12,Units_month!$D$6:$D$173,"&lt;="&amp;Nexus_Summary!$D12),0)</f>
        <v>124533</v>
      </c>
      <c r="V12" s="961">
        <f>ROUND(SUMIFS(Units_month!AA$6:AA$173,Units_month!$C$6:$C$173,"&gt;="&amp;Nexus_Summary!$C12,Units_month!$D$6:$D$173,"&lt;="&amp;Nexus_Summary!$D12),0)</f>
        <v>0</v>
      </c>
      <c r="W12" s="954"/>
      <c r="X12" s="961">
        <f>ROUND(SUMIFS(Units_month!AC$6:AC$173,Units_month!$C$6:$C$173,"&gt;="&amp;Nexus_Summary!$C12,Units_month!$D$6:$D$173,"&lt;="&amp;Nexus_Summary!$D12),0)</f>
        <v>21631</v>
      </c>
      <c r="Y12" s="961">
        <f>ROUND(SUMIFS(Units_month!AD$6:AD$173,Units_month!$C$6:$C$173,"&gt;="&amp;Nexus_Summary!$C12,Units_month!$D$6:$D$173,"&lt;="&amp;Nexus_Summary!$D12),0)</f>
        <v>489</v>
      </c>
      <c r="Z12" s="977">
        <f>(SUMIFS(Units_month!AE$6:AE$173,Units_month!$C$6:$C$173,"&gt;="&amp;Nexus_Summary!$C12,Units_month!$D$6:$D$173,"&lt;="&amp;Nexus_Summary!$D12))/(MONTH($D12)-MONTH($C12)+1)</f>
        <v>0.82099999999999984</v>
      </c>
      <c r="AA12" s="977">
        <f>(SUMIFS(Units_month!AF$6:AF$173,Units_month!$C$6:$C$173,"&gt;="&amp;Nexus_Summary!$C12,Units_month!$D$6:$D$173,"&lt;="&amp;Nexus_Summary!$D12))/(MONTH($D12)-MONTH($C12)+1)</f>
        <v>0.91199999999999959</v>
      </c>
      <c r="AB12" s="976">
        <f>(SUMIFS(Units_month!AG$6:AG$173,Units_month!$C$6:$C$173,"&gt;="&amp;Nexus_Summary!$C12,Units_month!$D$6:$D$173,"&lt;="&amp;Nexus_Summary!$D12))/(MONTH($D12)-MONTH($C12)+1)</f>
        <v>543356.82558872562</v>
      </c>
      <c r="AC12" s="976">
        <f>(SUMIFS(Units_month!AH$6:AH$173,Units_month!$C$6:$C$173,"&gt;="&amp;Nexus_Summary!$C12,Units_month!$D$6:$D$173,"&lt;="&amp;Nexus_Summary!$D12))/(MONTH($D12)-MONTH($C12)+1)</f>
        <v>243405.17997286949</v>
      </c>
      <c r="AD12" s="976">
        <f>(SUMIFS(Units_month!AI$6:AI$173,Units_month!$C$6:$C$173,"&gt;="&amp;Nexus_Summary!$C12,Units_month!$D$6:$D$173,"&lt;="&amp;Nexus_Summary!$D12))/(MONTH($D12)-MONTH($C12)+1)</f>
        <v>715885.14570319606</v>
      </c>
      <c r="AE12" s="978">
        <f>ROUND(SUMIFS(Units_month!AJ$6:AJ$173,Units_month!$C$6:$C$173,"&gt;="&amp;Nexus_Summary!$C12,Units_month!$D$6:$D$173,"&lt;="&amp;Nexus_Summary!$D12),0)</f>
        <v>987</v>
      </c>
      <c r="AF12" s="978">
        <f>(SUMIFS(Units_month!AK$6:AK$173,Units_month!$C$6:$C$173,"&gt;="&amp;Nexus_Summary!$C12,Units_month!$D$6:$D$173,"&lt;="&amp;Nexus_Summary!$D12))/(MONTH($D12)-MONTH($C12)+1)</f>
        <v>85</v>
      </c>
      <c r="AG12" s="961">
        <f>ROUND(SUMIFS(Units_month!AL$6:AL$173,Units_month!$C$6:$C$173,"&gt;="&amp;Nexus_Summary!$C12,Units_month!$D$6:$D$173,"&lt;="&amp;Nexus_Summary!$D12),0)</f>
        <v>32261</v>
      </c>
      <c r="AH12" s="961">
        <f>ROUND(SUMIFS(Units_month!AM$6:AM$173,Units_month!$C$6:$C$173,"&gt;="&amp;Nexus_Summary!$C12,Units_month!$D$6:$D$173,"&lt;="&amp;Nexus_Summary!$D12),0)</f>
        <v>388</v>
      </c>
      <c r="AI12" s="954"/>
      <c r="AJ12" s="961">
        <f>ROUND(SUMIFS(Units_month!AP$6:AP$173,Units_month!$C$6:$C$173,"&gt;="&amp;Nexus_Summary!$C12,Units_month!$D$6:$D$173,"&lt;="&amp;Nexus_Summary!$D12),0)</f>
        <v>62877</v>
      </c>
      <c r="AK12" s="961">
        <f>ROUND(SUMIFS(Units_month!AQ$6:AQ$173,Units_month!$C$6:$C$173,"&gt;="&amp;Nexus_Summary!$C12,Units_month!$D$6:$D$173,"&lt;="&amp;Nexus_Summary!$D12),0)</f>
        <v>917</v>
      </c>
      <c r="AL12" s="977">
        <f>(SUMIFS(Units_month!AR$6:AR$173,Units_month!$C$6:$C$173,"&gt;="&amp;Nexus_Summary!$C12,Units_month!$D$6:$D$173,"&lt;="&amp;Nexus_Summary!$D12))/(MONTH($D12)-MONTH($C12)+1)</f>
        <v>0.82099999999999984</v>
      </c>
      <c r="AM12" s="977">
        <f>(SUMIFS(Units_month!AS$6:AS$173,Units_month!$C$6:$C$173,"&gt;="&amp;Nexus_Summary!$C12,Units_month!$D$6:$D$173,"&lt;="&amp;Nexus_Summary!$D12))/(MONTH($D12)-MONTH($C12)+1)</f>
        <v>0.91199999999999959</v>
      </c>
      <c r="AN12" s="976">
        <f>(SUMIFS(Units_month!AT$6:AT$173,Units_month!$C$6:$C$173,"&gt;="&amp;Nexus_Summary!$C12,Units_month!$D$6:$D$173,"&lt;="&amp;Nexus_Summary!$D12))/(MONTH($D12)-MONTH($C12)+1)</f>
        <v>543356.82558872562</v>
      </c>
      <c r="AO12" s="976">
        <f>(SUMIFS(Units_month!AU$6:AU$173,Units_month!$C$6:$C$173,"&gt;="&amp;Nexus_Summary!$C12,Units_month!$D$6:$D$173,"&lt;="&amp;Nexus_Summary!$D12))/(MONTH($D12)-MONTH($C12)+1)</f>
        <v>243405.17997286949</v>
      </c>
      <c r="AP12" s="976">
        <f>(SUMIFS(Units_month!AV$6:AV$173,Units_month!$C$6:$C$173,"&gt;="&amp;Nexus_Summary!$C12,Units_month!$D$6:$D$173,"&lt;="&amp;Nexus_Summary!$D12))/(MONTH($D12)-MONTH($C12)+1)</f>
        <v>715885.14570319606</v>
      </c>
      <c r="AQ12" s="978">
        <f>ROUND(SUMIFS(Units_month!AW$6:AW$173,Units_month!$C$6:$C$173,"&gt;="&amp;Nexus_Summary!$C12,Units_month!$D$6:$D$173,"&lt;="&amp;Nexus_Summary!$D12),0)</f>
        <v>987</v>
      </c>
      <c r="AR12" s="978">
        <f>(SUMIFS(Units_month!AX$6:AX$173,Units_month!$C$6:$C$173,"&gt;="&amp;Nexus_Summary!$C12,Units_month!$D$6:$D$173,"&lt;="&amp;Nexus_Summary!$D12))/(MONTH($D12)-MONTH($C12)+1)</f>
        <v>85</v>
      </c>
      <c r="AS12" s="961">
        <f>ROUND(SUMIFS(Units_month!AY$6:AY$173,Units_month!$C$6:$C$173,"&gt;="&amp;Nexus_Summary!$C12,Units_month!$D$6:$D$173,"&lt;="&amp;Nexus_Summary!$D12),0)</f>
        <v>90073</v>
      </c>
      <c r="AT12" s="961">
        <f>ROUND(SUMIFS(Units_month!AZ$6:AZ$173,Units_month!$C$6:$C$173,"&gt;="&amp;Nexus_Summary!$C12,Units_month!$D$6:$D$173,"&lt;="&amp;Nexus_Summary!$D12),0)</f>
        <v>388</v>
      </c>
      <c r="AU12" s="954"/>
      <c r="AV12" s="898">
        <f>ROUND(SUMIFS(Units_month!BB$6:BB$173,Units_month!$C$6:$C$173,"&gt;="&amp;Nexus_Summary!$C12,Units_month!$D$6:$D$173,"&lt;="&amp;Nexus_Summary!$D12),0)</f>
        <v>62877</v>
      </c>
      <c r="AW12" s="898">
        <f>ROUND(SUMIFS(Units_month!BC$6:BC$173,Units_month!$C$6:$C$173,"&gt;="&amp;Nexus_Summary!$C12,Units_month!$D$6:$D$173,"&lt;="&amp;Nexus_Summary!$D12),0)</f>
        <v>917</v>
      </c>
      <c r="AX12" s="899">
        <f>(SUMIFS(Units_month!BD$6:BD$173,Units_month!$C$6:$C$173,"&gt;="&amp;Nexus_Summary!$C12,Units_month!$D$6:$D$173,"&lt;="&amp;Nexus_Summary!$D12))/(MONTH($D12)-MONTH($C12)+1)</f>
        <v>0.82099999999999984</v>
      </c>
      <c r="AY12" s="899">
        <f>(SUMIFS(Units_month!BE$6:BE$173,Units_month!$C$6:$C$173,"&gt;="&amp;Nexus_Summary!$C12,Units_month!$D$6:$D$173,"&lt;="&amp;Nexus_Summary!$D12))/(MONTH($D12)-MONTH($C12)+1)</f>
        <v>0.91199999999999959</v>
      </c>
      <c r="AZ12" s="898">
        <f>ROUND(SUMIFS(Units_month!BF$6:BF$173,Units_month!$C$6:$C$173,"&gt;="&amp;Nexus_Summary!$C12,Units_month!$D$6:$D$173,"&lt;="&amp;Nexus_Summary!$D12),0)</f>
        <v>6520282</v>
      </c>
      <c r="BA12" s="898">
        <f>ROUND(SUMIFS(Units_month!BG$6:BG$173,Units_month!$C$6:$C$173,"&gt;="&amp;Nexus_Summary!$C12,Units_month!$D$6:$D$173,"&lt;="&amp;Nexus_Summary!$D12),0)</f>
        <v>2920862</v>
      </c>
      <c r="BB12" s="898">
        <f>ROUND(SUMIFS(Units_month!BH$6:BH$173,Units_month!$C$6:$C$173,"&gt;="&amp;Nexus_Summary!$C12,Units_month!$D$6:$D$173,"&lt;="&amp;Nexus_Summary!$D12),0)</f>
        <v>8590622</v>
      </c>
      <c r="BC12" s="898">
        <f>ROUND(SUMIFS(Units_month!BI$6:BI$173,Units_month!$C$6:$C$173,"&gt;="&amp;Nexus_Summary!$C12,Units_month!$D$6:$D$173,"&lt;="&amp;Nexus_Summary!$D12),0)</f>
        <v>987</v>
      </c>
      <c r="BD12" s="900">
        <f>(SUMIFS(Units_month!BJ$6:BJ$173,Units_month!$C$6:$C$173,"&gt;="&amp;Nexus_Summary!$C12,Units_month!$D$6:$D$173,"&lt;="&amp;Nexus_Summary!$D12))/(MONTH($D12)-MONTH($C12)+1)</f>
        <v>85</v>
      </c>
      <c r="BE12" s="898">
        <f>ROUND(SUMIFS(Units_month!BK$6:BK$173,Units_month!$C$6:$C$173,"&gt;="&amp;Nexus_Summary!$C12,Units_month!$D$6:$D$173,"&lt;="&amp;Nexus_Summary!$D12),0)</f>
        <v>90073</v>
      </c>
      <c r="BF12" s="898">
        <f>ROUND(SUMIFS(Units_month!BL$6:BL$173,Units_month!$C$6:$C$173,"&gt;="&amp;Nexus_Summary!$C12,Units_month!$D$6:$D$173,"&lt;="&amp;Nexus_Summary!$D12),0)</f>
        <v>388</v>
      </c>
      <c r="BG12" s="654"/>
    </row>
    <row r="13" spans="2:59" hidden="1">
      <c r="B13" s="255" t="s">
        <v>336</v>
      </c>
      <c r="C13" s="256">
        <v>45292</v>
      </c>
      <c r="D13" s="256">
        <v>45626</v>
      </c>
      <c r="E13" s="257"/>
      <c r="F13" s="23">
        <f>SUMIFS(Units_month!$N$6:$N$173,Units_month!$C$6:$C$173,"&gt;="&amp;Nexus_Summary!C13,Units_month!$D$6:$D$173,"&lt;="&amp;Nexus_Summary!D13)</f>
        <v>84665.81380738983</v>
      </c>
      <c r="G13" s="27">
        <f t="shared" si="0"/>
        <v>84665.81380738983</v>
      </c>
      <c r="H13" s="23">
        <f>F13-(F13*CoreData!$F$10)</f>
        <v>82972.497531242028</v>
      </c>
      <c r="I13" s="24">
        <f>H13</f>
        <v>82972.497531242028</v>
      </c>
      <c r="J13" s="954"/>
      <c r="K13" s="954"/>
      <c r="L13" s="954"/>
      <c r="M13" s="954"/>
      <c r="N13" s="954"/>
      <c r="O13" s="954"/>
      <c r="P13" s="954"/>
      <c r="Q13" s="954"/>
      <c r="R13" s="954"/>
      <c r="S13" s="954"/>
      <c r="T13" s="954"/>
      <c r="U13" s="954"/>
      <c r="V13" s="954"/>
      <c r="W13" s="954"/>
      <c r="X13" s="954"/>
      <c r="Y13" s="954"/>
      <c r="Z13" s="954"/>
      <c r="AA13" s="954"/>
      <c r="AB13" s="954"/>
      <c r="AC13" s="954"/>
      <c r="AD13" s="954"/>
      <c r="AE13" s="954"/>
      <c r="AF13" s="954"/>
      <c r="AG13" s="954"/>
      <c r="AH13" s="954"/>
      <c r="AI13" s="954"/>
      <c r="AJ13" s="954"/>
      <c r="AK13" s="954"/>
      <c r="AL13" s="954"/>
      <c r="AM13" s="954"/>
      <c r="AN13" s="954"/>
      <c r="AO13" s="954"/>
      <c r="AP13" s="954"/>
      <c r="AQ13" s="954"/>
      <c r="AR13" s="954"/>
      <c r="AS13" s="954"/>
      <c r="AT13" s="954"/>
      <c r="AU13" s="954"/>
      <c r="AV13" s="654"/>
      <c r="AW13" s="654"/>
      <c r="AX13" s="880"/>
      <c r="AY13" s="654"/>
      <c r="AZ13" s="654"/>
      <c r="BA13" s="654"/>
      <c r="BB13" s="654"/>
      <c r="BC13" s="654"/>
      <c r="BD13" s="654"/>
      <c r="BE13" s="654"/>
      <c r="BF13" s="654"/>
      <c r="BG13" s="654"/>
    </row>
    <row r="14" spans="2:59" hidden="1">
      <c r="B14" s="10" t="s">
        <v>132</v>
      </c>
      <c r="C14" s="11"/>
      <c r="D14" s="11"/>
      <c r="E14" s="11"/>
      <c r="F14" s="28"/>
      <c r="G14" s="28">
        <f>AVERAGE(G6:G13)</f>
        <v>89150.254353810931</v>
      </c>
      <c r="H14" s="28"/>
      <c r="I14" s="29">
        <f>AVERAGE(I6:I13)</f>
        <v>87367.371155212706</v>
      </c>
      <c r="J14" s="955"/>
      <c r="K14" s="955"/>
      <c r="L14" s="955"/>
      <c r="M14" s="955"/>
      <c r="N14" s="955"/>
      <c r="O14" s="955"/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/>
      <c r="AA14" s="955"/>
      <c r="AB14" s="955"/>
      <c r="AC14" s="955"/>
      <c r="AD14" s="955"/>
      <c r="AE14" s="955"/>
      <c r="AF14" s="955"/>
      <c r="AG14" s="955"/>
      <c r="AH14" s="955"/>
      <c r="AI14" s="955"/>
      <c r="AJ14" s="955"/>
      <c r="AK14" s="955"/>
      <c r="AL14" s="955"/>
      <c r="AM14" s="955"/>
      <c r="AN14" s="955"/>
      <c r="AO14" s="955"/>
      <c r="AP14" s="955"/>
      <c r="AQ14" s="955"/>
      <c r="AR14" s="955"/>
      <c r="AS14" s="955"/>
      <c r="AT14" s="955"/>
      <c r="AU14" s="955"/>
      <c r="AX14" s="17"/>
    </row>
    <row r="15" spans="2:59" ht="15.75" hidden="1" thickBot="1">
      <c r="B15" s="30" t="s">
        <v>133</v>
      </c>
      <c r="C15" s="31"/>
      <c r="D15" s="31"/>
      <c r="E15" s="31"/>
      <c r="F15" s="31">
        <f>SUM(F6:F13)</f>
        <v>624051.78047667653</v>
      </c>
      <c r="G15" s="31">
        <f>SUM(G6:G13)</f>
        <v>624051.78047667653</v>
      </c>
      <c r="H15" s="31">
        <f>SUM(H6:H13)</f>
        <v>611571.5980864889</v>
      </c>
      <c r="I15" s="32">
        <f>SUM(I6:I13)</f>
        <v>611571.5980864889</v>
      </c>
      <c r="J15" s="955"/>
      <c r="K15" s="955"/>
      <c r="L15" s="955"/>
      <c r="M15" s="955"/>
      <c r="N15" s="955"/>
      <c r="O15" s="955"/>
      <c r="P15" s="955"/>
      <c r="Q15" s="955"/>
      <c r="R15" s="955"/>
      <c r="S15" s="955"/>
      <c r="T15" s="955"/>
      <c r="U15" s="955"/>
      <c r="V15" s="955"/>
      <c r="W15" s="955"/>
      <c r="X15" s="955"/>
      <c r="Y15" s="955"/>
      <c r="Z15" s="955"/>
      <c r="AA15" s="955"/>
      <c r="AB15" s="955"/>
      <c r="AC15" s="955"/>
      <c r="AD15" s="955"/>
      <c r="AE15" s="955"/>
      <c r="AF15" s="955"/>
      <c r="AG15" s="955"/>
      <c r="AH15" s="955"/>
      <c r="AI15" s="955"/>
      <c r="AJ15" s="955"/>
      <c r="AK15" s="955"/>
      <c r="AL15" s="955"/>
      <c r="AM15" s="955"/>
      <c r="AN15" s="955"/>
      <c r="AO15" s="955"/>
      <c r="AP15" s="955"/>
      <c r="AQ15" s="955"/>
      <c r="AR15" s="955"/>
      <c r="AS15" s="955"/>
      <c r="AT15" s="955"/>
      <c r="AU15" s="955"/>
      <c r="AX15" s="17"/>
    </row>
    <row r="16" spans="2:59">
      <c r="B16" s="129"/>
      <c r="C16" s="130"/>
      <c r="E16"/>
      <c r="F16" s="43"/>
      <c r="G16" s="11"/>
      <c r="H16" s="13"/>
      <c r="I16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>
        <v>7</v>
      </c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X16" s="17"/>
    </row>
    <row r="17" spans="2:52">
      <c r="C17" s="13"/>
      <c r="D17" s="8"/>
      <c r="E17" s="8"/>
      <c r="F17"/>
      <c r="G17" s="44">
        <v>93878.410464354427</v>
      </c>
      <c r="H17" s="17"/>
      <c r="AW17" s="202"/>
      <c r="AX17" s="17"/>
    </row>
    <row r="18" spans="2:52">
      <c r="C18" s="13"/>
      <c r="D18" s="8"/>
      <c r="E18" s="8"/>
      <c r="F18" s="957"/>
      <c r="G18" s="1242"/>
      <c r="H18" s="957"/>
      <c r="AV18" s="9"/>
      <c r="AW18" s="9"/>
      <c r="AX18" s="17"/>
      <c r="AY18" s="9"/>
      <c r="AZ18" s="9"/>
    </row>
    <row r="19" spans="2:52">
      <c r="C19" s="13"/>
      <c r="D19" s="8"/>
      <c r="E19" s="8"/>
      <c r="F19" s="8"/>
      <c r="G19" s="44"/>
      <c r="H19" s="17"/>
      <c r="AX19" s="17"/>
    </row>
    <row r="20" spans="2:52">
      <c r="C20" s="13"/>
      <c r="D20" s="8"/>
      <c r="E20" s="8"/>
      <c r="F20" s="8"/>
      <c r="G20" s="44"/>
      <c r="H20" s="17"/>
      <c r="I20" s="1241"/>
      <c r="J20" s="957"/>
      <c r="K20" s="957"/>
      <c r="L20" s="957"/>
      <c r="M20" s="957"/>
      <c r="N20" s="957"/>
      <c r="O20" s="957"/>
      <c r="P20" s="957"/>
      <c r="Q20" s="957"/>
      <c r="R20" s="957"/>
      <c r="S20" s="957"/>
      <c r="T20" s="957"/>
      <c r="U20" s="957"/>
      <c r="V20" s="957"/>
      <c r="W20" s="957"/>
      <c r="X20" s="957"/>
      <c r="Y20" s="957"/>
      <c r="Z20" s="957"/>
      <c r="AA20" s="957"/>
      <c r="AB20" s="957"/>
      <c r="AC20" s="957"/>
      <c r="AD20" s="957"/>
      <c r="AE20" s="957"/>
      <c r="AF20" s="957"/>
      <c r="AG20" s="957"/>
      <c r="AH20" s="957"/>
      <c r="AI20" s="957"/>
      <c r="AJ20" s="957"/>
      <c r="AK20" s="957"/>
      <c r="AL20" s="957"/>
      <c r="AM20" s="957"/>
      <c r="AN20" s="957"/>
      <c r="AO20" s="957"/>
      <c r="AP20" s="957"/>
      <c r="AQ20" s="957"/>
      <c r="AR20" s="957"/>
      <c r="AS20" s="957"/>
      <c r="AT20" s="957"/>
      <c r="AU20" s="957"/>
      <c r="AX20" s="17"/>
    </row>
    <row r="21" spans="2:52">
      <c r="B21" s="2"/>
      <c r="C21" s="2"/>
      <c r="D21" s="2"/>
      <c r="E21" s="2"/>
      <c r="F21" s="1240"/>
      <c r="G21" s="33"/>
      <c r="AX21" s="17"/>
    </row>
    <row r="25" spans="2:52">
      <c r="G25" s="1127"/>
    </row>
    <row r="26" spans="2:52">
      <c r="C26" s="1"/>
      <c r="D26" s="5"/>
      <c r="E26" s="5"/>
      <c r="F26" s="5"/>
    </row>
    <row r="29" spans="2:52">
      <c r="C29" s="1"/>
      <c r="D29" s="5"/>
      <c r="E29" s="5"/>
      <c r="F29" s="5"/>
      <c r="G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2" spans="2:52">
      <c r="C32" s="1"/>
      <c r="D32" s="5"/>
      <c r="E32" s="5"/>
      <c r="F32" s="5"/>
      <c r="G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</sheetData>
  <customSheetViews>
    <customSheetView guid="{D2AE56D6-E8AC-4B34-81C8-5074B4320CEA}" scale="80" topLeftCell="A4">
      <selection activeCell="F10" sqref="F10"/>
      <pageMargins left="0.7" right="0.7" top="0.75" bottom="0.75" header="0.3" footer="0.3"/>
      <pageSetup paperSize="9" orientation="portrait" r:id="rId1"/>
    </customSheetView>
  </customSheetViews>
  <mergeCells count="8">
    <mergeCell ref="AV3:AY3"/>
    <mergeCell ref="AV4:AY4"/>
    <mergeCell ref="L3:O3"/>
    <mergeCell ref="L4:O4"/>
    <mergeCell ref="X3:AA3"/>
    <mergeCell ref="X4:AA4"/>
    <mergeCell ref="AJ3:AM3"/>
    <mergeCell ref="AJ4:AM4"/>
  </mergeCells>
  <phoneticPr fontId="56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Y75"/>
  <sheetViews>
    <sheetView topLeftCell="P22" zoomScale="90" zoomScaleNormal="90" zoomScalePageLayoutView="85" workbookViewId="0">
      <selection activeCell="E45" sqref="E45"/>
    </sheetView>
  </sheetViews>
  <sheetFormatPr defaultColWidth="8.85546875" defaultRowHeight="15"/>
  <cols>
    <col min="1" max="1" width="5.7109375" style="291" customWidth="1"/>
    <col min="2" max="2" width="16.28515625" style="291" customWidth="1"/>
    <col min="3" max="3" width="41.42578125" style="291" customWidth="1"/>
    <col min="4" max="4" width="26.7109375" style="291" customWidth="1"/>
    <col min="5" max="5" width="15.42578125" style="292" customWidth="1"/>
    <col min="6" max="6" width="16" style="291" customWidth="1"/>
    <col min="7" max="7" width="18" style="291" customWidth="1"/>
    <col min="8" max="8" width="6.7109375" style="291" customWidth="1"/>
    <col min="9" max="9" width="46.140625" style="291" customWidth="1"/>
    <col min="10" max="10" width="15" style="291" customWidth="1"/>
    <col min="11" max="11" width="15.85546875" style="296" customWidth="1"/>
    <col min="12" max="12" width="19" style="291" customWidth="1"/>
    <col min="13" max="13" width="20.28515625" style="291" customWidth="1"/>
    <col min="14" max="14" width="8.85546875" style="291"/>
    <col min="15" max="15" width="51" style="291" customWidth="1"/>
    <col min="16" max="16" width="8.85546875" style="291"/>
    <col min="17" max="17" width="13.7109375" style="291" customWidth="1"/>
    <col min="18" max="18" width="11.7109375" style="291" customWidth="1"/>
    <col min="19" max="19" width="11.140625" style="291" customWidth="1"/>
    <col min="20" max="20" width="3.42578125" style="291" customWidth="1"/>
    <col min="21" max="21" width="14.85546875" style="291" customWidth="1"/>
    <col min="22" max="22" width="47.7109375" style="291" customWidth="1"/>
    <col min="23" max="23" width="21.5703125" style="291" customWidth="1"/>
    <col min="24" max="24" width="22.7109375" style="291" customWidth="1"/>
    <col min="25" max="16384" width="8.85546875" style="291"/>
  </cols>
  <sheetData>
    <row r="1" spans="2:24" ht="15.75" thickBot="1"/>
    <row r="2" spans="2:24" ht="21" customHeight="1" thickBot="1">
      <c r="C2" s="293" t="s">
        <v>242</v>
      </c>
      <c r="D2" s="294"/>
      <c r="E2" s="294"/>
      <c r="F2" s="294"/>
      <c r="G2" s="295"/>
      <c r="H2" s="1140"/>
    </row>
    <row r="3" spans="2:24" ht="15.75" thickBot="1">
      <c r="C3" s="296"/>
      <c r="D3" s="296"/>
      <c r="F3" s="296"/>
      <c r="G3" s="296"/>
      <c r="H3" s="296"/>
      <c r="I3" s="296"/>
    </row>
    <row r="4" spans="2:24">
      <c r="B4" s="297"/>
      <c r="C4" s="298" t="s">
        <v>109</v>
      </c>
      <c r="D4" s="298"/>
      <c r="E4" s="298"/>
      <c r="F4" s="298"/>
      <c r="G4" s="299"/>
      <c r="H4" s="1141"/>
    </row>
    <row r="5" spans="2:24" ht="60">
      <c r="B5" s="555" t="s">
        <v>90</v>
      </c>
      <c r="C5" s="554"/>
      <c r="D5" s="548" t="s">
        <v>114</v>
      </c>
      <c r="E5" s="548" t="s">
        <v>113</v>
      </c>
      <c r="F5" s="548" t="s">
        <v>115</v>
      </c>
      <c r="G5" s="300" t="s">
        <v>116</v>
      </c>
      <c r="H5" s="1142"/>
      <c r="I5" s="301"/>
      <c r="J5" s="301"/>
      <c r="K5" s="1139"/>
      <c r="L5" s="301"/>
      <c r="M5" s="301"/>
      <c r="N5" s="301"/>
    </row>
    <row r="6" spans="2:24" hidden="1">
      <c r="B6" s="550">
        <v>43070</v>
      </c>
      <c r="C6" s="551">
        <f>B7-1</f>
        <v>43100</v>
      </c>
      <c r="D6" s="562">
        <f>SUMIFS(Units_month!$K$90:$K$173,Units_month!$C$90:$C$173,"&gt;="&amp;Parameter_Summary!B6,Units_month!$D$90:$D$173,"&lt;="&amp;Parameter_Summary!C6)</f>
        <v>12526.247740800443</v>
      </c>
      <c r="E6" s="562">
        <f>SUMIFS(Units_month!$L$90:$L$173,Units_month!$C$90:$C$173,"&gt;="&amp;Parameter_Summary!B6,Units_month!$D$90:$D$173,"&lt;="&amp;Parameter_Summary!C6)</f>
        <v>5188.4347174733157</v>
      </c>
      <c r="F6" s="562">
        <f>SUMIFS(Units_month!$M$90:$M$173,Units_month!$C$90:$C$173,"&gt;="&amp;Parameter_Summary!B6,Units_month!$D$90:$D$173,"&lt;="&amp;Parameter_Summary!C6)</f>
        <v>242.63034683859772</v>
      </c>
      <c r="G6" s="563">
        <f>SUMIFS(Units_month!$N$90:$N$173,Units_month!$C$90:$C$173,"&gt;="&amp;Parameter_Summary!B6,Units_month!$D$90:$D$173,"&lt;="&amp;Parameter_Summary!C6)</f>
        <v>7095.18267648853</v>
      </c>
      <c r="H6" s="562"/>
      <c r="I6" s="301"/>
      <c r="J6" s="301"/>
      <c r="K6" s="1139"/>
      <c r="L6" s="301"/>
      <c r="M6" s="301"/>
      <c r="N6" s="301"/>
    </row>
    <row r="7" spans="2:24" ht="15" hidden="1" customHeight="1">
      <c r="B7" s="550">
        <v>43101</v>
      </c>
      <c r="C7" s="551">
        <f t="shared" ref="C7:C12" si="0">B8-1</f>
        <v>43465</v>
      </c>
      <c r="D7" s="562">
        <f>SUMIFS(Units_month!$K$90:$K$173,Units_month!$C$90:$C$173,"&gt;="&amp;Parameter_Summary!B7,Units_month!$D$90:$D$173,"&lt;="&amp;Parameter_Summary!C7)</f>
        <v>142386.32252670062</v>
      </c>
      <c r="E7" s="562">
        <f>SUMIFS(Units_month!$L$90:$L$173,Units_month!$C$90:$C$173,"&gt;="&amp;Parameter_Summary!B7,Units_month!$D$90:$D$173,"&lt;="&amp;Parameter_Summary!C7)</f>
        <v>58977.129813950058</v>
      </c>
      <c r="F7" s="562">
        <f>SUMIFS(Units_month!$M$90:$M$173,Units_month!$C$90:$C$173,"&gt;="&amp;Parameter_Summary!B7,Units_month!$D$90:$D$173,"&lt;="&amp;Parameter_Summary!C7)</f>
        <v>2757.9881489329541</v>
      </c>
      <c r="G7" s="563">
        <f>SUMIFS(Units_month!$N$90:$N$173,Units_month!$C$90:$C$173,"&gt;="&amp;Parameter_Summary!B7,Units_month!$D$90:$D$173,"&lt;="&amp;Parameter_Summary!C7)</f>
        <v>80651.204563817591</v>
      </c>
      <c r="H7" s="562"/>
      <c r="I7" s="301"/>
      <c r="J7" s="301"/>
      <c r="K7" s="1139"/>
      <c r="L7" s="301"/>
      <c r="M7" s="301"/>
      <c r="N7" s="301"/>
    </row>
    <row r="8" spans="2:24" ht="15" hidden="1" customHeight="1">
      <c r="B8" s="1011">
        <v>43466</v>
      </c>
      <c r="C8" s="551">
        <f t="shared" si="0"/>
        <v>43830</v>
      </c>
      <c r="D8" s="562">
        <f>SUMIFS(Units_month!$K$90:$K$173,Units_month!$C$90:$C$173,"&gt;="&amp;Parameter_Summary!B8,Units_month!$D$90:$D$173,"&lt;="&amp;Parameter_Summary!C8)</f>
        <v>140867.01348483961</v>
      </c>
      <c r="E8" s="562">
        <f>SUMIFS(Units_month!$L$90:$L$173,Units_month!$C$90:$C$173,"&gt;="&amp;Parameter_Summary!B8,Units_month!$D$90:$D$173,"&lt;="&amp;Parameter_Summary!C8)</f>
        <v>46995.296376119113</v>
      </c>
      <c r="F8" s="562">
        <f>SUMIFS(Units_month!$M$90:$M$173,Units_month!$C$90:$C$173,"&gt;="&amp;Parameter_Summary!B8,Units_month!$D$90:$D$173,"&lt;="&amp;Parameter_Summary!C8)</f>
        <v>2879.0561414279991</v>
      </c>
      <c r="G8" s="1012">
        <f>SUMIFS(Units_month!$N$90:$N$173,Units_month!$C$90:$C$173,"&gt;="&amp;Parameter_Summary!B8,Units_month!$D$90:$D$173,"&lt;="&amp;Parameter_Summary!C8)</f>
        <v>90992.660967292497</v>
      </c>
      <c r="H8" s="1143"/>
      <c r="I8" s="301"/>
      <c r="J8" s="301"/>
      <c r="K8" s="1139"/>
      <c r="L8" s="301"/>
      <c r="M8" s="301"/>
      <c r="N8" s="301"/>
    </row>
    <row r="9" spans="2:24">
      <c r="B9" s="1013">
        <v>43831</v>
      </c>
      <c r="C9" s="1014">
        <f t="shared" si="0"/>
        <v>44196</v>
      </c>
      <c r="D9" s="1015">
        <f>SUMIFS(Units_month!$K$90:$K$173,Units_month!$C$90:$C$173,"&gt;="&amp;Parameter_Summary!B9,Units_month!$D$90:$D$173,"&lt;="&amp;Parameter_Summary!C9)</f>
        <v>129806.74133437322</v>
      </c>
      <c r="E9" s="1015">
        <f>SUMIFS(Units_month!$L$90:$L$173,Units_month!$C$90:$C$173,"&gt;="&amp;Parameter_Summary!B9,Units_month!$D$90:$D$173,"&lt;="&amp;Parameter_Summary!C9)</f>
        <v>33626.745393181518</v>
      </c>
      <c r="F9" s="1015">
        <f>SUMIFS(Units_month!$M$90:$M$173,Units_month!$C$90:$C$173,"&gt;="&amp;Parameter_Summary!B9,Units_month!$D$90:$D$173,"&lt;="&amp;Parameter_Summary!C9)</f>
        <v>2301.585476837301</v>
      </c>
      <c r="G9" s="1016">
        <f>SUMIFS(Units_month!$N$90:$N$173,Units_month!$C$90:$C$173,"&gt;="&amp;Parameter_Summary!B9,Units_month!$D$90:$D$173,"&lt;="&amp;Parameter_Summary!C9)</f>
        <v>93878.410464354427</v>
      </c>
      <c r="H9" s="1015"/>
      <c r="I9" s="301"/>
      <c r="J9" s="301"/>
      <c r="K9" s="1139"/>
      <c r="L9" s="301"/>
      <c r="M9" s="301"/>
      <c r="N9" s="301"/>
    </row>
    <row r="10" spans="2:24" hidden="1">
      <c r="B10" s="550">
        <v>44197</v>
      </c>
      <c r="C10" s="551">
        <f t="shared" si="0"/>
        <v>44561</v>
      </c>
      <c r="D10" s="562">
        <f>SUMIFS(Units_month!$K$90:$K$173,Units_month!$C$90:$C$173,"&gt;="&amp;Parameter_Summary!B10,Units_month!$D$90:$D$173,"&lt;="&amp;Parameter_Summary!C10)</f>
        <v>125591.15758482918</v>
      </c>
      <c r="E10" s="562">
        <f>SUMIFS(Units_month!$L$90:$L$173,Units_month!$C$90:$C$173,"&gt;="&amp;Parameter_Summary!B10,Units_month!$D$90:$D$173,"&lt;="&amp;Parameter_Summary!C10)</f>
        <v>32534.688386185262</v>
      </c>
      <c r="F10" s="562">
        <f>SUMIFS(Units_month!$M$90:$M$173,Units_month!$C$90:$C$173,"&gt;="&amp;Parameter_Summary!B10,Units_month!$D$90:$D$173,"&lt;="&amp;Parameter_Summary!C10)</f>
        <v>2204.9049761060087</v>
      </c>
      <c r="G10" s="563">
        <f>SUMIFS(Units_month!$N$90:$N$173,Units_month!$C$90:$C$173,"&gt;="&amp;Parameter_Summary!B10,Units_month!$D$90:$D$173,"&lt;="&amp;Parameter_Summary!C10)</f>
        <v>90851.564222537912</v>
      </c>
      <c r="H10" s="562"/>
      <c r="I10" s="301"/>
      <c r="J10" s="301"/>
      <c r="K10" s="1139"/>
      <c r="L10" s="301"/>
      <c r="M10" s="301"/>
      <c r="N10" s="301"/>
    </row>
    <row r="11" spans="2:24" hidden="1">
      <c r="B11" s="550">
        <v>44562</v>
      </c>
      <c r="C11" s="551">
        <f t="shared" si="0"/>
        <v>44926</v>
      </c>
      <c r="D11" s="562">
        <f>SUMIFS(Units_month!$K$90:$K$173,Units_month!$C$90:$C$173,"&gt;="&amp;Parameter_Summary!B11,Units_month!$D$90:$D$173,"&lt;="&amp;Parameter_Summary!C11)</f>
        <v>118670.30245013787</v>
      </c>
      <c r="E11" s="562">
        <f>SUMIFS(Units_month!$L$90:$L$173,Units_month!$C$90:$C$173,"&gt;="&amp;Parameter_Summary!B11,Units_month!$D$90:$D$173,"&lt;="&amp;Parameter_Summary!C11)</f>
        <v>30741.824386018499</v>
      </c>
      <c r="F11" s="562">
        <f>SUMIFS(Units_month!$M$90:$M$173,Units_month!$C$90:$C$173,"&gt;="&amp;Parameter_Summary!B11,Units_month!$D$90:$D$173,"&lt;="&amp;Parameter_Summary!C11)</f>
        <v>2084.7326756571347</v>
      </c>
      <c r="G11" s="563">
        <f>SUMIFS(Units_month!$N$90:$N$173,Units_month!$C$90:$C$173,"&gt;="&amp;Parameter_Summary!B11,Units_month!$D$90:$D$173,"&lt;="&amp;Parameter_Summary!C11)</f>
        <v>85843.745388462252</v>
      </c>
      <c r="H11" s="562"/>
      <c r="I11" s="301"/>
      <c r="J11" s="301"/>
      <c r="K11" s="1139"/>
      <c r="L11" s="301"/>
      <c r="M11" s="301"/>
      <c r="N11" s="301"/>
    </row>
    <row r="12" spans="2:24" hidden="1">
      <c r="B12" s="550">
        <v>44927</v>
      </c>
      <c r="C12" s="551">
        <f t="shared" si="0"/>
        <v>45291</v>
      </c>
      <c r="D12" s="562">
        <f>SUMIFS(Units_month!$K$90:$K$173,Units_month!$C$90:$C$173,"&gt;="&amp;Parameter_Summary!B12,Units_month!$D$90:$D$173,"&lt;="&amp;Parameter_Summary!C12)</f>
        <v>124533.07651055021</v>
      </c>
      <c r="E12" s="562">
        <f>SUMIFS(Units_month!$L$90:$L$173,Units_month!$C$90:$C$173,"&gt;="&amp;Parameter_Summary!B12,Units_month!$D$90:$D$173,"&lt;="&amp;Parameter_Summary!C12)</f>
        <v>32260.589964759904</v>
      </c>
      <c r="F12" s="562">
        <f>SUMIFS(Units_month!$M$90:$M$173,Units_month!$C$90:$C$173,"&gt;="&amp;Parameter_Summary!B12,Units_month!$D$90:$D$173,"&lt;="&amp;Parameter_Summary!C12)</f>
        <v>2199.2881594568862</v>
      </c>
      <c r="G12" s="563">
        <f>SUMIFS(Units_month!$N$90:$N$173,Units_month!$C$90:$C$173,"&gt;="&amp;Parameter_Summary!B12,Units_month!$D$90:$D$173,"&lt;="&amp;Parameter_Summary!C12)</f>
        <v>90073.198386333432</v>
      </c>
      <c r="H12" s="562"/>
      <c r="I12" s="301"/>
      <c r="J12" s="301"/>
      <c r="K12" s="1139"/>
      <c r="L12" s="301"/>
      <c r="M12" s="301"/>
      <c r="N12" s="301"/>
    </row>
    <row r="13" spans="2:24" hidden="1">
      <c r="B13" s="550">
        <v>45292</v>
      </c>
      <c r="C13" s="552">
        <v>45626</v>
      </c>
      <c r="D13" s="562">
        <f>SUMIFS(Units_month!$K$90:$K$173,Units_month!$C$90:$C$173,"&gt;="&amp;Parameter_Summary!B13,Units_month!$D$90:$D$173,"&lt;="&amp;Parameter_Summary!C13)</f>
        <v>117071.37990236268</v>
      </c>
      <c r="E13" s="562">
        <f>SUMIFS(Units_month!$L$90:$L$173,Units_month!$C$90:$C$173,"&gt;="&amp;Parameter_Summary!B13,Units_month!$D$90:$D$173,"&lt;="&amp;Parameter_Summary!C13)</f>
        <v>30327.61969322096</v>
      </c>
      <c r="F13" s="562">
        <f>SUMIFS(Units_month!$M$90:$M$173,Units_month!$C$90:$C$173,"&gt;="&amp;Parameter_Summary!B13,Units_month!$D$90:$D$173,"&lt;="&amp;Parameter_Summary!C13)</f>
        <v>2077.9464017519135</v>
      </c>
      <c r="G13" s="563">
        <f>SUMIFS(Units_month!$N$90:$N$173,Units_month!$C$90:$C$173,"&gt;="&amp;Parameter_Summary!B13,Units_month!$D$90:$D$173,"&lt;="&amp;Parameter_Summary!C13)</f>
        <v>84665.81380738983</v>
      </c>
      <c r="H13" s="562"/>
      <c r="I13" s="301"/>
      <c r="J13" s="301"/>
      <c r="K13" s="1139"/>
      <c r="L13" s="301"/>
      <c r="M13" s="301"/>
      <c r="N13" s="301"/>
    </row>
    <row r="14" spans="2:24" hidden="1">
      <c r="B14" s="547"/>
      <c r="C14" s="553" t="s">
        <v>106</v>
      </c>
      <c r="D14" s="564">
        <f>SUM(D6:D13)</f>
        <v>911452.24153459386</v>
      </c>
      <c r="E14" s="564">
        <f>SUM(E6:E13)</f>
        <v>270652.32873090863</v>
      </c>
      <c r="F14" s="564">
        <f>SUM(F6:F13)</f>
        <v>16748.132327008796</v>
      </c>
      <c r="G14" s="565">
        <f>SUM(G6:G13)</f>
        <v>624051.78047667653</v>
      </c>
      <c r="H14" s="1144"/>
      <c r="I14" s="301"/>
      <c r="J14" s="301"/>
      <c r="K14" s="1139"/>
      <c r="L14" s="301"/>
      <c r="M14" s="301"/>
      <c r="N14" s="301"/>
    </row>
    <row r="15" spans="2:24" ht="15.75" hidden="1" thickBot="1">
      <c r="B15" s="549"/>
      <c r="C15" s="556" t="s">
        <v>107</v>
      </c>
      <c r="D15" s="566">
        <f>D14/CoreData!F12</f>
        <v>130207.46307637055</v>
      </c>
      <c r="E15" s="566">
        <f>E14/CoreData!F12</f>
        <v>38664.618390129806</v>
      </c>
      <c r="F15" s="566">
        <f>F14/CoreData!F12</f>
        <v>2392.5903324298279</v>
      </c>
      <c r="G15" s="567">
        <f>G14/CoreData!F12</f>
        <v>89150.254353810931</v>
      </c>
      <c r="H15" s="1145"/>
      <c r="I15" s="301"/>
      <c r="J15" s="301"/>
      <c r="K15" s="1139"/>
      <c r="L15" s="301"/>
      <c r="M15" s="301"/>
      <c r="N15" s="301"/>
    </row>
    <row r="16" spans="2:24" ht="15.75" thickBot="1">
      <c r="C16" s="302"/>
      <c r="D16" s="302"/>
      <c r="E16" s="302"/>
      <c r="F16" s="302"/>
      <c r="L16" s="1146" t="s">
        <v>332</v>
      </c>
      <c r="M16" s="1146" t="s">
        <v>331</v>
      </c>
      <c r="O16" s="16" t="s">
        <v>771</v>
      </c>
      <c r="W16" s="1135" t="s">
        <v>789</v>
      </c>
      <c r="X16" s="1147" t="s">
        <v>790</v>
      </c>
    </row>
    <row r="17" spans="3:25" ht="51.75" thickBot="1">
      <c r="C17" s="1021" t="s">
        <v>62</v>
      </c>
      <c r="D17" s="1022" t="s">
        <v>63</v>
      </c>
      <c r="E17" s="1023" t="s">
        <v>64</v>
      </c>
      <c r="F17" s="1024" t="s">
        <v>65</v>
      </c>
      <c r="H17" s="1191" t="s">
        <v>727</v>
      </c>
      <c r="I17" s="1192" t="s">
        <v>62</v>
      </c>
      <c r="J17" s="1192" t="s">
        <v>63</v>
      </c>
      <c r="K17" s="1193" t="s">
        <v>65</v>
      </c>
      <c r="L17" s="1194" t="s">
        <v>759</v>
      </c>
      <c r="M17" s="1195" t="s">
        <v>760</v>
      </c>
      <c r="O17" s="1206" t="s">
        <v>800</v>
      </c>
      <c r="P17" s="1207" t="s">
        <v>65</v>
      </c>
      <c r="Q17" s="1208" t="s">
        <v>761</v>
      </c>
      <c r="R17" s="1208" t="s">
        <v>797</v>
      </c>
      <c r="S17" s="1208" t="s">
        <v>765</v>
      </c>
      <c r="U17" s="1224" t="s">
        <v>800</v>
      </c>
      <c r="V17" s="1224" t="s">
        <v>801</v>
      </c>
      <c r="W17" s="1231" t="s">
        <v>772</v>
      </c>
      <c r="X17" s="1231" t="s">
        <v>773</v>
      </c>
    </row>
    <row r="18" spans="3:25" ht="21" customHeight="1" thickBot="1">
      <c r="C18" s="1025" t="s">
        <v>388</v>
      </c>
      <c r="D18" s="1026" t="s">
        <v>45</v>
      </c>
      <c r="E18" s="1027">
        <f>Calculations!D29</f>
        <v>0.4910055636833654</v>
      </c>
      <c r="F18" s="1028" t="s">
        <v>322</v>
      </c>
      <c r="G18" s="1136"/>
      <c r="H18" s="1196">
        <v>1</v>
      </c>
      <c r="I18" s="1177" t="s">
        <v>681</v>
      </c>
      <c r="J18" s="1177" t="s">
        <v>731</v>
      </c>
      <c r="K18" s="1178" t="s">
        <v>142</v>
      </c>
      <c r="L18" s="1179">
        <f>SUMIF(Units_month!$A$90:$A$173,Parameter_Summary!L16,Units_month!$E$90:$E$173)</f>
        <v>33746</v>
      </c>
      <c r="M18" s="1197">
        <f>SUMIF(Units_month!$A$90:$A$173,M16,Units_month!$E$90:$E$173)</f>
        <v>35061</v>
      </c>
      <c r="O18" s="1209" t="s">
        <v>762</v>
      </c>
      <c r="P18" s="1210" t="s">
        <v>708</v>
      </c>
      <c r="Q18" s="1211">
        <f>Nexus_Summary!L9</f>
        <v>88087</v>
      </c>
      <c r="R18" s="1211">
        <f>Nexus_Summary!X9</f>
        <v>22547</v>
      </c>
      <c r="S18" s="1211">
        <f t="shared" ref="S18:S26" si="1">ABS(R18-Q18)</f>
        <v>65540</v>
      </c>
      <c r="U18" s="1225" t="s">
        <v>774</v>
      </c>
      <c r="V18" s="1226" t="s">
        <v>775</v>
      </c>
      <c r="W18" s="1233">
        <v>60062.699018608924</v>
      </c>
      <c r="X18" s="1227">
        <f>Nexus_Summary!AJ9</f>
        <v>65540</v>
      </c>
      <c r="Y18" s="1138">
        <f>X18-W18</f>
        <v>5477.3009813910758</v>
      </c>
    </row>
    <row r="19" spans="3:25" ht="22.5" customHeight="1" thickBot="1">
      <c r="C19" s="1025" t="s">
        <v>389</v>
      </c>
      <c r="D19" s="1026" t="s">
        <v>47</v>
      </c>
      <c r="E19" s="1027">
        <f>Calculations!D31</f>
        <v>2.1063567261285165E-2</v>
      </c>
      <c r="F19" s="1028" t="s">
        <v>322</v>
      </c>
      <c r="G19" s="1137"/>
      <c r="H19" s="1198">
        <v>2</v>
      </c>
      <c r="I19" s="1180" t="s">
        <v>682</v>
      </c>
      <c r="J19" s="1180" t="s">
        <v>732</v>
      </c>
      <c r="K19" s="1181" t="s">
        <v>324</v>
      </c>
      <c r="L19" s="1182">
        <f>VLOOKUP(L16,'Usage Rate Calc'!$T$7:$U$13,2,0)</f>
        <v>0.8318481316963624</v>
      </c>
      <c r="M19" s="1199">
        <f>VLOOKUP(M16,'Usage Rate Calc'!$T$7:$U$13,2,0)</f>
        <v>0.8261992527019878</v>
      </c>
      <c r="O19" s="1209" t="s">
        <v>763</v>
      </c>
      <c r="P19" s="1210" t="s">
        <v>708</v>
      </c>
      <c r="Q19" s="1211">
        <f>Nexus_Summary!M9</f>
        <v>1465</v>
      </c>
      <c r="R19" s="1212">
        <f>Nexus_Summary!Y9</f>
        <v>509</v>
      </c>
      <c r="S19" s="1211">
        <f t="shared" si="1"/>
        <v>956</v>
      </c>
      <c r="U19" s="1225" t="s">
        <v>776</v>
      </c>
      <c r="V19" s="1226" t="s">
        <v>777</v>
      </c>
      <c r="W19" s="1233">
        <v>867.69101141588567</v>
      </c>
      <c r="X19" s="1227">
        <f>Nexus_Summary!AK9</f>
        <v>956</v>
      </c>
      <c r="Y19" s="1138">
        <f t="shared" ref="Y19:Y28" si="2">X19-W19</f>
        <v>88.308988584114331</v>
      </c>
    </row>
    <row r="20" spans="3:25" ht="23.25" customHeight="1" thickBot="1">
      <c r="C20" s="1025" t="s">
        <v>387</v>
      </c>
      <c r="D20" s="1029" t="s">
        <v>386</v>
      </c>
      <c r="E20" s="1027">
        <f>Calculations!D35</f>
        <v>1.0268367702891024E-2</v>
      </c>
      <c r="F20" s="1028" t="s">
        <v>322</v>
      </c>
      <c r="G20" s="1137"/>
      <c r="H20" s="1198">
        <v>3</v>
      </c>
      <c r="I20" s="1180" t="s">
        <v>683</v>
      </c>
      <c r="J20" s="1180" t="s">
        <v>733</v>
      </c>
      <c r="K20" s="1181" t="s">
        <v>324</v>
      </c>
      <c r="L20" s="1182">
        <f>VLOOKUP(L16,WQ_Test!$A$3:$B$9,2,0)</f>
        <v>0.9</v>
      </c>
      <c r="M20" s="1199">
        <f>VLOOKUP(M16,WQ_Test!$A$3:$B$9,2,0)</f>
        <v>0.90559999999999996</v>
      </c>
      <c r="O20" s="1209" t="s">
        <v>575</v>
      </c>
      <c r="P20" s="1210" t="s">
        <v>688</v>
      </c>
      <c r="Q20" s="1212">
        <f>Nexus_Summary!N9</f>
        <v>0</v>
      </c>
      <c r="R20" s="1213">
        <f>Nexus_Summary!Z9</f>
        <v>0.82099999999999984</v>
      </c>
      <c r="S20" s="1214">
        <f t="shared" si="1"/>
        <v>0.82099999999999984</v>
      </c>
      <c r="U20" s="1225" t="s">
        <v>778</v>
      </c>
      <c r="V20" s="1226" t="s">
        <v>779</v>
      </c>
      <c r="W20" s="1234">
        <v>0.88199999999999978</v>
      </c>
      <c r="X20" s="1232">
        <f>Nexus_Summary!AL9</f>
        <v>0.82099999999999984</v>
      </c>
      <c r="Y20" s="1235">
        <f t="shared" si="2"/>
        <v>-6.0999999999999943E-2</v>
      </c>
    </row>
    <row r="21" spans="3:25" ht="44.25" customHeight="1" thickBot="1">
      <c r="C21" s="1025" t="s">
        <v>66</v>
      </c>
      <c r="D21" s="1030" t="s">
        <v>348</v>
      </c>
      <c r="E21" s="1027">
        <f>Calculations!D37</f>
        <v>1914.18</v>
      </c>
      <c r="F21" s="1028" t="s">
        <v>67</v>
      </c>
      <c r="G21" s="303"/>
      <c r="H21" s="1200">
        <v>4</v>
      </c>
      <c r="I21" s="1180" t="s">
        <v>685</v>
      </c>
      <c r="J21" s="1180" t="s">
        <v>684</v>
      </c>
      <c r="K21" s="1181" t="s">
        <v>689</v>
      </c>
      <c r="L21" s="1183">
        <f>PS_Survey!E9</f>
        <v>113246</v>
      </c>
      <c r="M21" s="1201">
        <f>PS_Survey!C9</f>
        <v>91764</v>
      </c>
      <c r="O21" s="1209" t="s">
        <v>764</v>
      </c>
      <c r="P21" s="1210" t="s">
        <v>688</v>
      </c>
      <c r="Q21" s="1212">
        <f>Nexus_Summary!O9</f>
        <v>0</v>
      </c>
      <c r="R21" s="1213">
        <f>Nexus_Summary!AA9</f>
        <v>0.91199999999999959</v>
      </c>
      <c r="S21" s="1214">
        <f t="shared" si="1"/>
        <v>0.91199999999999959</v>
      </c>
      <c r="U21" s="1225" t="s">
        <v>780</v>
      </c>
      <c r="V21" s="1226" t="s">
        <v>781</v>
      </c>
      <c r="W21" s="1234">
        <v>0.89600000000000024</v>
      </c>
      <c r="X21" s="1232">
        <f>Nexus_Summary!AM9</f>
        <v>0.91199999999999959</v>
      </c>
      <c r="Y21" s="1235">
        <f t="shared" si="2"/>
        <v>1.5999999999999348E-2</v>
      </c>
    </row>
    <row r="22" spans="3:25" ht="43.5" customHeight="1" thickBot="1">
      <c r="C22" s="1031" t="s">
        <v>68</v>
      </c>
      <c r="D22" s="1030" t="s">
        <v>21</v>
      </c>
      <c r="E22" s="1032">
        <f>Calculations!D41</f>
        <v>1.19</v>
      </c>
      <c r="F22" s="1033" t="s">
        <v>69</v>
      </c>
      <c r="H22" s="1198">
        <v>5</v>
      </c>
      <c r="I22" s="1180" t="s">
        <v>1</v>
      </c>
      <c r="J22" s="1184" t="s">
        <v>734</v>
      </c>
      <c r="K22" s="1181" t="s">
        <v>689</v>
      </c>
      <c r="L22" s="1183">
        <f>WCFT!D5</f>
        <v>1914.18</v>
      </c>
      <c r="M22" s="1202">
        <f>WCFT!D4</f>
        <v>1741.05</v>
      </c>
      <c r="O22" s="1215" t="s">
        <v>766</v>
      </c>
      <c r="P22" s="1218" t="s">
        <v>689</v>
      </c>
      <c r="Q22" s="1219">
        <f>Nexus_Summary!P9</f>
        <v>0</v>
      </c>
      <c r="R22" s="1221">
        <f>Nexus_Summary!AB9</f>
        <v>566366.63035853428</v>
      </c>
      <c r="S22" s="1222">
        <f t="shared" si="1"/>
        <v>566366.63035853428</v>
      </c>
      <c r="U22" s="1225" t="s">
        <v>766</v>
      </c>
      <c r="V22" s="1226" t="s">
        <v>782</v>
      </c>
      <c r="W22" s="1233">
        <v>698147.65068805928</v>
      </c>
      <c r="X22" s="1227">
        <f>Nexus_Summary!AN9</f>
        <v>566366.63035853428</v>
      </c>
      <c r="Y22" s="1138">
        <f t="shared" si="2"/>
        <v>-131781.020329525</v>
      </c>
    </row>
    <row r="23" spans="3:25" ht="39" thickBot="1">
      <c r="C23" s="1031" t="s">
        <v>70</v>
      </c>
      <c r="D23" s="1030" t="s">
        <v>22</v>
      </c>
      <c r="E23" s="1032">
        <f>Calculations!D43</f>
        <v>0.55000000000000004</v>
      </c>
      <c r="F23" s="1033" t="s">
        <v>69</v>
      </c>
      <c r="H23" s="1198">
        <v>6</v>
      </c>
      <c r="I23" s="1180" t="s">
        <v>690</v>
      </c>
      <c r="J23" s="1180" t="s">
        <v>735</v>
      </c>
      <c r="K23" s="1185" t="s">
        <v>691</v>
      </c>
      <c r="L23" s="1183">
        <f>CoreData!F40</f>
        <v>1.19</v>
      </c>
      <c r="M23" s="1202">
        <f>WCFT!E4</f>
        <v>1.46</v>
      </c>
      <c r="O23" s="1216" t="s">
        <v>767</v>
      </c>
      <c r="P23" s="1218" t="s">
        <v>689</v>
      </c>
      <c r="Q23" s="1219">
        <f>Nexus_Summary!Q9</f>
        <v>0</v>
      </c>
      <c r="R23" s="1221">
        <f>Nexus_Summary!AC9</f>
        <v>253712.78154770483</v>
      </c>
      <c r="S23" s="1222">
        <f t="shared" si="1"/>
        <v>253712.78154770483</v>
      </c>
      <c r="U23" s="1225" t="s">
        <v>767</v>
      </c>
      <c r="V23" s="1230" t="s">
        <v>783</v>
      </c>
      <c r="W23" s="1233">
        <v>327289.17436194711</v>
      </c>
      <c r="X23" s="1227">
        <f>Nexus_Summary!AO9</f>
        <v>253712.78154770483</v>
      </c>
      <c r="Y23" s="1138">
        <f t="shared" si="2"/>
        <v>-73576.392814242281</v>
      </c>
    </row>
    <row r="24" spans="3:25" ht="36" customHeight="1" thickBot="1">
      <c r="C24" s="1031" t="s">
        <v>123</v>
      </c>
      <c r="D24" s="1034" t="s">
        <v>27</v>
      </c>
      <c r="E24" s="1027">
        <f>Calculations!D70</f>
        <v>0.03</v>
      </c>
      <c r="F24" s="1033" t="s">
        <v>69</v>
      </c>
      <c r="H24" s="1200">
        <v>7</v>
      </c>
      <c r="I24" s="1180" t="s">
        <v>692</v>
      </c>
      <c r="J24" s="1180" t="s">
        <v>736</v>
      </c>
      <c r="K24" s="1185" t="s">
        <v>691</v>
      </c>
      <c r="L24" s="1186">
        <f>CoreData!F41</f>
        <v>0.55000000000000004</v>
      </c>
      <c r="M24" s="1202">
        <f>WCFT!F4</f>
        <v>0.48</v>
      </c>
      <c r="O24" s="1216" t="s">
        <v>768</v>
      </c>
      <c r="P24" s="1218" t="s">
        <v>689</v>
      </c>
      <c r="Q24" s="1219">
        <f>Nexus_Summary!R9</f>
        <v>0</v>
      </c>
      <c r="R24" s="1221">
        <f>Nexus_Summary!AD9</f>
        <v>746201.09401651437</v>
      </c>
      <c r="S24" s="1222">
        <f t="shared" si="1"/>
        <v>746201.09401651437</v>
      </c>
      <c r="U24" s="1225" t="s">
        <v>768</v>
      </c>
      <c r="V24" s="1230" t="s">
        <v>784</v>
      </c>
      <c r="W24" s="1233">
        <v>763837.69221888308</v>
      </c>
      <c r="X24" s="1229">
        <f>Nexus_Summary!AP9</f>
        <v>746201.09401651437</v>
      </c>
      <c r="Y24" s="1138">
        <f t="shared" si="2"/>
        <v>-17636.59820236871</v>
      </c>
    </row>
    <row r="25" spans="3:25" ht="49.5" customHeight="1" thickBot="1">
      <c r="C25" s="1031" t="s">
        <v>71</v>
      </c>
      <c r="D25" s="1035" t="s">
        <v>644</v>
      </c>
      <c r="E25" s="1036">
        <f>Calculations!D45</f>
        <v>2.1128335400000001E-4</v>
      </c>
      <c r="F25" s="1028" t="s">
        <v>322</v>
      </c>
      <c r="H25" s="1198">
        <v>8</v>
      </c>
      <c r="I25" s="1180" t="s">
        <v>693</v>
      </c>
      <c r="J25" s="1180" t="s">
        <v>737</v>
      </c>
      <c r="K25" s="1185" t="s">
        <v>691</v>
      </c>
      <c r="L25" s="1186">
        <f>CoreData!F42</f>
        <v>0.03</v>
      </c>
      <c r="M25" s="1202">
        <f>WCFT!G4</f>
        <v>0.15</v>
      </c>
      <c r="O25" s="1216" t="s">
        <v>569</v>
      </c>
      <c r="P25" s="1217" t="s">
        <v>721</v>
      </c>
      <c r="Q25" s="1220">
        <f>Nexus_Summary!S9</f>
        <v>0</v>
      </c>
      <c r="R25" s="1223">
        <f>Nexus_Summary!AE9</f>
        <v>1028</v>
      </c>
      <c r="S25" s="1222">
        <f t="shared" si="1"/>
        <v>1028</v>
      </c>
      <c r="U25" s="1225" t="s">
        <v>569</v>
      </c>
      <c r="V25" s="1230" t="s">
        <v>785</v>
      </c>
      <c r="W25" s="1233">
        <v>941.98227011910512</v>
      </c>
      <c r="X25" s="1227">
        <f>Nexus_Summary!AQ9</f>
        <v>1028</v>
      </c>
      <c r="Y25" s="1138">
        <f t="shared" si="2"/>
        <v>86.017729880894876</v>
      </c>
    </row>
    <row r="26" spans="3:25" ht="26.25" thickBot="1">
      <c r="C26" s="1031" t="s">
        <v>72</v>
      </c>
      <c r="D26" s="1035" t="s">
        <v>641</v>
      </c>
      <c r="E26" s="1036">
        <f>Calculations!D47</f>
        <v>9.0638100000000002E-6</v>
      </c>
      <c r="F26" s="1028" t="s">
        <v>322</v>
      </c>
      <c r="H26" s="1198">
        <v>9</v>
      </c>
      <c r="I26" s="1180" t="s">
        <v>695</v>
      </c>
      <c r="J26" s="1180" t="s">
        <v>694</v>
      </c>
      <c r="K26" s="1181" t="s">
        <v>324</v>
      </c>
      <c r="L26" s="1187">
        <f>PS_Survey!E6</f>
        <v>0.5625</v>
      </c>
      <c r="M26" s="1203">
        <f>PS_Survey!C6</f>
        <v>0.54339999999999999</v>
      </c>
      <c r="O26" s="1216" t="s">
        <v>769</v>
      </c>
      <c r="P26" s="1217" t="s">
        <v>730</v>
      </c>
      <c r="Q26" s="1220">
        <f>Nexus_Summary!T9</f>
        <v>0</v>
      </c>
      <c r="R26" s="1223">
        <f>Nexus_Summary!AF9</f>
        <v>85</v>
      </c>
      <c r="S26" s="1222">
        <f t="shared" si="1"/>
        <v>85</v>
      </c>
      <c r="U26" s="1225" t="s">
        <v>769</v>
      </c>
      <c r="V26" s="1226" t="s">
        <v>786</v>
      </c>
      <c r="W26" s="1233">
        <v>105</v>
      </c>
      <c r="X26" s="1228">
        <f>Nexus_Summary!AR9</f>
        <v>85</v>
      </c>
      <c r="Y26" s="1138">
        <f t="shared" si="2"/>
        <v>-20</v>
      </c>
    </row>
    <row r="27" spans="3:25" ht="51.75" thickBot="1">
      <c r="C27" s="1025" t="s">
        <v>390</v>
      </c>
      <c r="D27" s="1030" t="s">
        <v>46</v>
      </c>
      <c r="E27" s="1027">
        <f>Calculations!D58</f>
        <v>0.14738811232023688</v>
      </c>
      <c r="F27" s="1028" t="s">
        <v>322</v>
      </c>
      <c r="H27" s="1200">
        <v>10</v>
      </c>
      <c r="I27" s="1180" t="s">
        <v>697</v>
      </c>
      <c r="J27" s="1180" t="s">
        <v>696</v>
      </c>
      <c r="K27" s="1181" t="s">
        <v>324</v>
      </c>
      <c r="L27" s="1187">
        <f>PS_Survey!E7</f>
        <v>0.8165</v>
      </c>
      <c r="M27" s="1203">
        <f>PS_Survey!C7</f>
        <v>0.84150000000000014</v>
      </c>
      <c r="O27" s="1216" t="s">
        <v>770</v>
      </c>
      <c r="P27" s="1217" t="s">
        <v>57</v>
      </c>
      <c r="Q27" s="1223">
        <f>Nexus_Summary!U9</f>
        <v>129807</v>
      </c>
      <c r="R27" s="1223">
        <f>Nexus_Summary!AG9+SUM(Units_month!M115:M126)</f>
        <v>35928.585476837303</v>
      </c>
      <c r="S27" s="1222">
        <f>ABS(R27-Q27)</f>
        <v>93878.414523162704</v>
      </c>
      <c r="U27" s="1225" t="s">
        <v>770</v>
      </c>
      <c r="V27" s="1226" t="s">
        <v>787</v>
      </c>
      <c r="W27" s="1233">
        <v>85834.115689838887</v>
      </c>
      <c r="X27" s="1227">
        <f>Nexus_Summary!AS9</f>
        <v>93878</v>
      </c>
      <c r="Y27" s="1138">
        <f t="shared" si="2"/>
        <v>8043.8843101611128</v>
      </c>
    </row>
    <row r="28" spans="3:25" ht="26.25" thickBot="1">
      <c r="C28" s="1025" t="s">
        <v>391</v>
      </c>
      <c r="D28" s="1030" t="s">
        <v>48</v>
      </c>
      <c r="E28" s="1027">
        <f>Calculations!D60</f>
        <v>1.7733295484752324E-3</v>
      </c>
      <c r="F28" s="1028" t="s">
        <v>322</v>
      </c>
      <c r="H28" s="1198">
        <v>11</v>
      </c>
      <c r="I28" s="1180" t="s">
        <v>698</v>
      </c>
      <c r="J28" s="1188" t="s">
        <v>738</v>
      </c>
      <c r="K28" s="1181" t="s">
        <v>324</v>
      </c>
      <c r="L28" s="1187">
        <f>PS_Survey!E5</f>
        <v>0.75900000000000001</v>
      </c>
      <c r="M28" s="1203">
        <f>PS_Survey!C5</f>
        <v>0.74</v>
      </c>
      <c r="O28" s="1216" t="s">
        <v>572</v>
      </c>
      <c r="P28" s="1217" t="s">
        <v>729</v>
      </c>
      <c r="Q28" s="1220">
        <f>Nexus_Summary!V9</f>
        <v>0</v>
      </c>
      <c r="R28" s="1223">
        <f>Nexus_Summary!AH9</f>
        <v>404</v>
      </c>
      <c r="S28" s="1222">
        <f>ABS(R28-Q28)</f>
        <v>404</v>
      </c>
      <c r="U28" s="1225" t="s">
        <v>572</v>
      </c>
      <c r="V28" s="1230" t="s">
        <v>788</v>
      </c>
      <c r="W28" s="1233">
        <v>370.41442502996551</v>
      </c>
      <c r="X28" s="1228">
        <f>Nexus_Summary!AT9</f>
        <v>404</v>
      </c>
      <c r="Y28" s="1138">
        <f t="shared" si="2"/>
        <v>33.585574970034486</v>
      </c>
    </row>
    <row r="29" spans="3:25" ht="34.5" customHeight="1">
      <c r="C29" s="1025" t="s">
        <v>392</v>
      </c>
      <c r="D29" s="1035" t="s">
        <v>393</v>
      </c>
      <c r="E29" s="1027">
        <f>Calculations!D62</f>
        <v>3.5701093489740035E-3</v>
      </c>
      <c r="F29" s="1028" t="s">
        <v>322</v>
      </c>
      <c r="H29" s="1198">
        <v>12</v>
      </c>
      <c r="I29" s="1180" t="s">
        <v>496</v>
      </c>
      <c r="J29" s="1180"/>
      <c r="K29" s="1181" t="s">
        <v>324</v>
      </c>
      <c r="L29" s="1187">
        <f>CoreData!F34</f>
        <v>0.44100000000000006</v>
      </c>
      <c r="M29" s="1203">
        <f>PS_Survey!C14</f>
        <v>0.53900000000000003</v>
      </c>
    </row>
    <row r="30" spans="3:25" ht="34.5" customHeight="1">
      <c r="C30" s="1031" t="s">
        <v>86</v>
      </c>
      <c r="D30" s="1030" t="s">
        <v>25</v>
      </c>
      <c r="E30" s="1037">
        <f>Calculations!D66</f>
        <v>0.25969999999999999</v>
      </c>
      <c r="F30" s="1028" t="s">
        <v>166</v>
      </c>
      <c r="H30" s="1200">
        <v>13</v>
      </c>
      <c r="I30" s="1180" t="s">
        <v>497</v>
      </c>
      <c r="J30" s="1180"/>
      <c r="K30" s="1181" t="s">
        <v>324</v>
      </c>
      <c r="L30" s="1187">
        <f>CoreData!F35</f>
        <v>0.13100000000000001</v>
      </c>
      <c r="M30" s="1203">
        <f>PS_Survey!C15</f>
        <v>0.185</v>
      </c>
      <c r="R30" s="291">
        <v>2302</v>
      </c>
    </row>
    <row r="31" spans="3:25" ht="33" customHeight="1">
      <c r="C31" s="1031" t="str">
        <f>CoreData!C68</f>
        <v>Percentage of premises that would have used other non-GHG emitting technologies like chlorine treatment techniques, if available, in the absence of project activities.</v>
      </c>
      <c r="D31" s="1030" t="s">
        <v>338</v>
      </c>
      <c r="E31" s="1037">
        <f>CoreData!F68</f>
        <v>5.7500000000000002E-2</v>
      </c>
      <c r="F31" s="1028" t="s">
        <v>166</v>
      </c>
      <c r="H31" s="1198">
        <v>14</v>
      </c>
      <c r="I31" s="1180" t="s">
        <v>498</v>
      </c>
      <c r="J31" s="1180"/>
      <c r="K31" s="1181" t="s">
        <v>324</v>
      </c>
      <c r="L31" s="1187">
        <f>CoreData!F36</f>
        <v>0</v>
      </c>
      <c r="M31" s="1203">
        <f>PS_Survey!C16</f>
        <v>1.4999999999999999E-2</v>
      </c>
      <c r="S31" s="1138"/>
    </row>
    <row r="32" spans="3:25" ht="33.75" customHeight="1">
      <c r="C32" s="1031" t="s">
        <v>73</v>
      </c>
      <c r="D32" s="1030" t="s">
        <v>43</v>
      </c>
      <c r="E32" s="1027">
        <f>Calculations!D88</f>
        <v>0.69918210257383873</v>
      </c>
      <c r="F32" s="1028" t="s">
        <v>57</v>
      </c>
      <c r="H32" s="1198">
        <v>15</v>
      </c>
      <c r="I32" s="1180" t="s">
        <v>499</v>
      </c>
      <c r="J32" s="1180"/>
      <c r="K32" s="1181" t="s">
        <v>324</v>
      </c>
      <c r="L32" s="1187">
        <f>CoreData!F37</f>
        <v>1.2E-2</v>
      </c>
      <c r="M32" s="1203">
        <f>PS_Survey!C17</f>
        <v>1.4999999999999999E-2</v>
      </c>
    </row>
    <row r="33" spans="3:13" ht="35.25" customHeight="1">
      <c r="C33" s="1031" t="s">
        <v>74</v>
      </c>
      <c r="D33" s="1026" t="s">
        <v>44</v>
      </c>
      <c r="E33" s="1027">
        <f>Calculations!D90</f>
        <v>0.20987772418177095</v>
      </c>
      <c r="F33" s="1028" t="s">
        <v>57</v>
      </c>
      <c r="H33" s="1200">
        <v>16</v>
      </c>
      <c r="I33" s="1180" t="s">
        <v>699</v>
      </c>
      <c r="J33" s="1180"/>
      <c r="K33" s="1181" t="s">
        <v>324</v>
      </c>
      <c r="L33" s="1187">
        <f>CoreData!F38</f>
        <v>0.26200000000000001</v>
      </c>
      <c r="M33" s="1203">
        <f>PS_Survey!C18</f>
        <v>0.2</v>
      </c>
    </row>
    <row r="34" spans="3:13" ht="34.5" customHeight="1">
      <c r="C34" s="1031" t="s">
        <v>75</v>
      </c>
      <c r="D34" s="1030" t="s">
        <v>49</v>
      </c>
      <c r="E34" s="1027">
        <f>Calculations!D94</f>
        <v>0.17996459105234913</v>
      </c>
      <c r="F34" s="1028" t="s">
        <v>57</v>
      </c>
      <c r="H34" s="1198">
        <v>17</v>
      </c>
      <c r="I34" s="1180" t="s">
        <v>700</v>
      </c>
      <c r="J34" s="1180"/>
      <c r="K34" s="1181" t="s">
        <v>324</v>
      </c>
      <c r="L34" s="1187">
        <f>CoreData!F61</f>
        <v>9.0999999999999998E-2</v>
      </c>
      <c r="M34" s="1203">
        <f>PS_Survey!C19</f>
        <v>0.38500000000000001</v>
      </c>
    </row>
    <row r="35" spans="3:13" ht="34.5" customHeight="1">
      <c r="C35" s="1031" t="s">
        <v>76</v>
      </c>
      <c r="D35" s="1026" t="s">
        <v>50</v>
      </c>
      <c r="E35" s="1027">
        <f>Calculations!D96</f>
        <v>1.5151114862626571E-2</v>
      </c>
      <c r="F35" s="1028" t="s">
        <v>57</v>
      </c>
      <c r="H35" s="1198">
        <v>18</v>
      </c>
      <c r="I35" s="1180" t="s">
        <v>701</v>
      </c>
      <c r="J35" s="1180"/>
      <c r="K35" s="1181" t="s">
        <v>324</v>
      </c>
      <c r="L35" s="1187">
        <f>CoreData!F62</f>
        <v>0.90900000000000003</v>
      </c>
      <c r="M35" s="1203">
        <f>PS_Survey!C20</f>
        <v>0.61499999999999999</v>
      </c>
    </row>
    <row r="36" spans="3:13" ht="25.5">
      <c r="C36" s="1025" t="s">
        <v>396</v>
      </c>
      <c r="D36" s="1035" t="s">
        <v>394</v>
      </c>
      <c r="E36" s="1027">
        <f>Calculations!D100</f>
        <v>3.0647278297079635E-2</v>
      </c>
      <c r="F36" s="1028" t="s">
        <v>57</v>
      </c>
      <c r="H36" s="1200">
        <v>19</v>
      </c>
      <c r="I36" s="1180" t="s">
        <v>702</v>
      </c>
      <c r="J36" s="1180" t="s">
        <v>739</v>
      </c>
      <c r="K36" s="1181" t="s">
        <v>703</v>
      </c>
      <c r="L36" s="1189">
        <f>Leakage!D16</f>
        <v>1.2077011250577793E-2</v>
      </c>
      <c r="M36" s="1202">
        <f>Leakage!H18</f>
        <v>1.4E-2</v>
      </c>
    </row>
    <row r="37" spans="3:13" ht="25.5">
      <c r="C37" s="1025" t="s">
        <v>397</v>
      </c>
      <c r="D37" s="1029" t="s">
        <v>395</v>
      </c>
      <c r="E37" s="1027">
        <f>Calculations!D102</f>
        <v>1.0655455466228281E-2</v>
      </c>
      <c r="F37" s="1028" t="s">
        <v>57</v>
      </c>
      <c r="H37" s="1198">
        <v>20</v>
      </c>
      <c r="I37" s="1180" t="s">
        <v>705</v>
      </c>
      <c r="J37" s="1180" t="s">
        <v>704</v>
      </c>
      <c r="K37" s="1181" t="s">
        <v>708</v>
      </c>
      <c r="L37" s="1183">
        <f>Nexus_Summary!AJ9</f>
        <v>65540</v>
      </c>
      <c r="M37" s="1204">
        <f>Nexus_Summary!AJ8</f>
        <v>63697</v>
      </c>
    </row>
    <row r="38" spans="3:13" ht="25.5">
      <c r="C38" s="1031" t="s">
        <v>77</v>
      </c>
      <c r="D38" s="1030" t="s">
        <v>29</v>
      </c>
      <c r="E38" s="1038">
        <f>Calculations!D106</f>
        <v>0.77</v>
      </c>
      <c r="F38" s="1039" t="s">
        <v>166</v>
      </c>
      <c r="H38" s="1198">
        <v>21</v>
      </c>
      <c r="I38" s="1180" t="s">
        <v>707</v>
      </c>
      <c r="J38" s="1180" t="s">
        <v>706</v>
      </c>
      <c r="K38" s="1181" t="s">
        <v>708</v>
      </c>
      <c r="L38" s="1183">
        <f>Nexus_Summary!AK9</f>
        <v>956</v>
      </c>
      <c r="M38" s="1204">
        <f>Nexus_Summary!AK8</f>
        <v>1062</v>
      </c>
    </row>
    <row r="39" spans="3:13" ht="33.75" customHeight="1">
      <c r="C39" s="1031" t="s">
        <v>79</v>
      </c>
      <c r="D39" s="1030" t="s">
        <v>349</v>
      </c>
      <c r="E39" s="1027">
        <f>Calculations!D110</f>
        <v>1.4999999999999999E-2</v>
      </c>
      <c r="F39" s="1028" t="s">
        <v>78</v>
      </c>
      <c r="H39" s="1200">
        <v>22</v>
      </c>
      <c r="I39" s="1180" t="s">
        <v>710</v>
      </c>
      <c r="J39" s="1180" t="s">
        <v>709</v>
      </c>
      <c r="K39" s="1181" t="s">
        <v>324</v>
      </c>
      <c r="L39" s="1182">
        <f>Nexus_Summary!AL9</f>
        <v>0.82099999999999984</v>
      </c>
      <c r="M39" s="1199">
        <f>Nexus_Summary!AL8</f>
        <v>0.80700000000000027</v>
      </c>
    </row>
    <row r="40" spans="3:13" ht="32.25" customHeight="1">
      <c r="C40" s="1025" t="s">
        <v>399</v>
      </c>
      <c r="D40" s="1035" t="s">
        <v>401</v>
      </c>
      <c r="E40" s="1027">
        <f>Calculations!D123</f>
        <v>2.9499999999999998E-2</v>
      </c>
      <c r="F40" s="1028" t="s">
        <v>78</v>
      </c>
      <c r="H40" s="1198">
        <v>23</v>
      </c>
      <c r="I40" s="1180" t="s">
        <v>712</v>
      </c>
      <c r="J40" s="1180" t="s">
        <v>711</v>
      </c>
      <c r="K40" s="1181" t="s">
        <v>324</v>
      </c>
      <c r="L40" s="1182">
        <f>Nexus_Summary!AM9</f>
        <v>0.91199999999999959</v>
      </c>
      <c r="M40" s="1199">
        <f>Nexus_Summary!AM8</f>
        <v>0.90649999999999986</v>
      </c>
    </row>
    <row r="41" spans="3:13" ht="39.75" customHeight="1">
      <c r="C41" s="1025" t="s">
        <v>400</v>
      </c>
      <c r="D41" s="1035" t="s">
        <v>402</v>
      </c>
      <c r="E41" s="1027">
        <f>Calculations!D125</f>
        <v>4.7300000000000002E-2</v>
      </c>
      <c r="F41" s="1028" t="s">
        <v>78</v>
      </c>
      <c r="H41" s="1198">
        <v>24</v>
      </c>
      <c r="I41" s="1180" t="s">
        <v>714</v>
      </c>
      <c r="J41" s="1180" t="s">
        <v>713</v>
      </c>
      <c r="K41" s="1181" t="s">
        <v>689</v>
      </c>
      <c r="L41" s="1183">
        <f>Nexus_Summary!AN9</f>
        <v>566366.63035853428</v>
      </c>
      <c r="M41" s="1204">
        <f>Nexus_Summary!AN8</f>
        <v>538933.77308616159</v>
      </c>
    </row>
    <row r="42" spans="3:13" ht="58.5" customHeight="1">
      <c r="C42" s="1031" t="s">
        <v>80</v>
      </c>
      <c r="D42" s="1040" t="s">
        <v>398</v>
      </c>
      <c r="E42" s="1027">
        <f>Calculations!D113</f>
        <v>112</v>
      </c>
      <c r="F42" s="1028" t="s">
        <v>323</v>
      </c>
      <c r="H42" s="1200">
        <v>25</v>
      </c>
      <c r="I42" s="1180" t="s">
        <v>716</v>
      </c>
      <c r="J42" s="1180" t="s">
        <v>715</v>
      </c>
      <c r="K42" s="1181" t="s">
        <v>689</v>
      </c>
      <c r="L42" s="1183">
        <f>Nexus_Summary!AO9</f>
        <v>253712.78154770483</v>
      </c>
      <c r="M42" s="1204">
        <f>Nexus_Summary!AO8</f>
        <v>246538.74688379175</v>
      </c>
    </row>
    <row r="43" spans="3:13" ht="37.5" customHeight="1">
      <c r="C43" s="1025" t="s">
        <v>404</v>
      </c>
      <c r="D43" s="1040" t="s">
        <v>403</v>
      </c>
      <c r="E43" s="1027">
        <f>Calculations!D119</f>
        <v>112</v>
      </c>
      <c r="F43" s="1028" t="s">
        <v>323</v>
      </c>
      <c r="H43" s="1198">
        <v>26</v>
      </c>
      <c r="I43" s="1180" t="s">
        <v>718</v>
      </c>
      <c r="J43" s="1180" t="s">
        <v>717</v>
      </c>
      <c r="K43" s="1181" t="s">
        <v>689</v>
      </c>
      <c r="L43" s="1183">
        <f>Nexus_Summary!AP9</f>
        <v>746201.09401651437</v>
      </c>
      <c r="M43" s="1204">
        <f>Nexus_Summary!AP8</f>
        <v>728288.88254886691</v>
      </c>
    </row>
    <row r="44" spans="3:13" ht="29.25" customHeight="1">
      <c r="C44" s="1025" t="s">
        <v>405</v>
      </c>
      <c r="D44" s="1040" t="s">
        <v>406</v>
      </c>
      <c r="E44" s="1027">
        <f>Calculations!D128</f>
        <v>63.1</v>
      </c>
      <c r="F44" s="1039" t="s">
        <v>323</v>
      </c>
      <c r="H44" s="1198">
        <v>27</v>
      </c>
      <c r="I44" s="1180" t="s">
        <v>720</v>
      </c>
      <c r="J44" s="1180" t="s">
        <v>719</v>
      </c>
      <c r="K44" s="1190" t="s">
        <v>721</v>
      </c>
      <c r="L44" s="1183">
        <f>Nexus_Summary!AQ9</f>
        <v>1028</v>
      </c>
      <c r="M44" s="1204">
        <f>Nexus_Summary!AQ8</f>
        <v>1006</v>
      </c>
    </row>
    <row r="45" spans="3:13" ht="36">
      <c r="C45" s="1031" t="s">
        <v>81</v>
      </c>
      <c r="D45" s="1041" t="s">
        <v>350</v>
      </c>
      <c r="E45" s="1027">
        <f>Calculations!D116</f>
        <v>8.6920000000000002</v>
      </c>
      <c r="F45" s="1028" t="s">
        <v>323</v>
      </c>
      <c r="H45" s="1200">
        <v>28</v>
      </c>
      <c r="I45" s="1180" t="s">
        <v>723</v>
      </c>
      <c r="J45" s="1180" t="s">
        <v>722</v>
      </c>
      <c r="K45" s="1181" t="s">
        <v>730</v>
      </c>
      <c r="L45" s="1183">
        <f>Nexus_Summary!AR9</f>
        <v>85</v>
      </c>
      <c r="M45" s="1204">
        <f>Nexus_Summary!AR8</f>
        <v>90</v>
      </c>
    </row>
    <row r="46" spans="3:13" ht="35.1" customHeight="1">
      <c r="C46" s="1025" t="s">
        <v>354</v>
      </c>
      <c r="D46" s="1042" t="s">
        <v>355</v>
      </c>
      <c r="E46" s="1043">
        <f>CoreData!F107</f>
        <v>5.298</v>
      </c>
      <c r="F46" s="1028" t="s">
        <v>323</v>
      </c>
      <c r="H46" s="1198">
        <v>29</v>
      </c>
      <c r="I46" s="1180" t="s">
        <v>725</v>
      </c>
      <c r="J46" s="1180" t="s">
        <v>724</v>
      </c>
      <c r="K46" s="1181" t="s">
        <v>57</v>
      </c>
      <c r="L46" s="1183">
        <f>Nexus_Summary!AS9</f>
        <v>93878</v>
      </c>
      <c r="M46" s="1204">
        <f>Nexus_Summary!AS8</f>
        <v>90993</v>
      </c>
    </row>
    <row r="47" spans="3:13" ht="25.5">
      <c r="C47" s="547" t="s">
        <v>83</v>
      </c>
      <c r="D47" s="1044" t="s">
        <v>37</v>
      </c>
      <c r="E47" s="1045">
        <f>Calculations!D10</f>
        <v>0.90979397192326739</v>
      </c>
      <c r="F47" s="1046" t="s">
        <v>57</v>
      </c>
      <c r="H47" s="1198">
        <v>30</v>
      </c>
      <c r="I47" s="1205" t="s">
        <v>728</v>
      </c>
      <c r="J47" s="1180" t="s">
        <v>726</v>
      </c>
      <c r="K47" s="1181" t="s">
        <v>729</v>
      </c>
      <c r="L47" s="1183">
        <f>Nexus_Summary!AT9</f>
        <v>404</v>
      </c>
      <c r="M47" s="1204">
        <f>Nexus_Summary!AT8</f>
        <v>393</v>
      </c>
    </row>
    <row r="48" spans="3:13" ht="18">
      <c r="C48" s="547" t="s">
        <v>82</v>
      </c>
      <c r="D48" s="1044" t="s">
        <v>38</v>
      </c>
      <c r="E48" s="1045">
        <f>Calculations!D12</f>
        <v>0.23568429451062581</v>
      </c>
      <c r="F48" s="1046" t="s">
        <v>57</v>
      </c>
    </row>
    <row r="49" spans="3:6" ht="18">
      <c r="C49" s="547" t="s">
        <v>84</v>
      </c>
      <c r="D49" s="1034" t="s">
        <v>32</v>
      </c>
      <c r="E49" s="1047">
        <f>CoreData!F111</f>
        <v>0.8318481316963624</v>
      </c>
      <c r="F49" s="1046" t="s">
        <v>325</v>
      </c>
    </row>
    <row r="50" spans="3:6" ht="18">
      <c r="C50" s="547" t="s">
        <v>85</v>
      </c>
      <c r="D50" s="1044" t="s">
        <v>34</v>
      </c>
      <c r="E50" s="1045">
        <f>Calculations!D18</f>
        <v>1.2077011250577793E-2</v>
      </c>
      <c r="F50" s="1048" t="s">
        <v>57</v>
      </c>
    </row>
    <row r="51" spans="3:6" ht="15.75" thickBot="1">
      <c r="C51" s="1049" t="s">
        <v>640</v>
      </c>
      <c r="D51" s="1050" t="s">
        <v>640</v>
      </c>
      <c r="E51" s="1051">
        <f>WQ_Test!B5</f>
        <v>0.9</v>
      </c>
      <c r="F51" s="1052" t="s">
        <v>325</v>
      </c>
    </row>
    <row r="52" spans="3:6" ht="18.75" thickBot="1">
      <c r="C52" s="1018" t="s">
        <v>108</v>
      </c>
      <c r="D52" s="1017" t="s">
        <v>36</v>
      </c>
      <c r="E52" s="1019">
        <f>Calculations!D8</f>
        <v>0.6620326661620638</v>
      </c>
      <c r="F52" s="1020" t="s">
        <v>57</v>
      </c>
    </row>
    <row r="69" spans="4:4">
      <c r="D69" s="304"/>
    </row>
    <row r="72" spans="4:4">
      <c r="D72" s="304"/>
    </row>
    <row r="75" spans="4:4">
      <c r="D75" s="304"/>
    </row>
  </sheetData>
  <customSheetViews>
    <customSheetView guid="{D2AE56D6-E8AC-4B34-81C8-5074B4320CEA}" scale="80" fitToPage="1">
      <selection activeCell="F10" sqref="F10"/>
      <pageMargins left="0.7" right="0.7" top="0.75" bottom="0.75" header="0.3" footer="0.3"/>
      <pageSetup paperSize="9" scale="62" fitToHeight="0" orientation="landscape" verticalDpi="1200" r:id="rId1"/>
    </customSheetView>
  </customSheetViews>
  <phoneticPr fontId="56" type="noConversion"/>
  <pageMargins left="0.7" right="0.7" top="0.75" bottom="0.75" header="0.3" footer="0.3"/>
  <pageSetup paperSize="9" scale="27" fitToHeight="0" orientation="landscape" verticalDpi="1200"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FO197"/>
  <sheetViews>
    <sheetView zoomScale="70" zoomScaleNormal="70" workbookViewId="0">
      <pane xSplit="2" ySplit="5" topLeftCell="C111" activePane="bottomRight" state="frozen"/>
      <selection pane="topRight" activeCell="B1" sqref="B1"/>
      <selection pane="bottomLeft" activeCell="A6" sqref="A6"/>
      <selection pane="bottomRight" activeCell="I115" sqref="I115"/>
    </sheetView>
  </sheetViews>
  <sheetFormatPr defaultColWidth="8.85546875" defaultRowHeight="15"/>
  <cols>
    <col min="1" max="1" width="12.42578125" style="320" customWidth="1"/>
    <col min="2" max="2" width="11.42578125" style="419" customWidth="1"/>
    <col min="3" max="3" width="14.28515625" style="320" customWidth="1"/>
    <col min="4" max="4" width="14.85546875" style="320" customWidth="1"/>
    <col min="5" max="5" width="14.28515625" style="320" customWidth="1"/>
    <col min="6" max="6" width="17.42578125" style="321" customWidth="1"/>
    <col min="7" max="7" width="20.28515625" style="321" customWidth="1"/>
    <col min="8" max="8" width="14.42578125" style="320" customWidth="1"/>
    <col min="9" max="9" width="18" style="320" customWidth="1"/>
    <col min="10" max="10" width="22.28515625" style="320" customWidth="1"/>
    <col min="11" max="11" width="15.7109375" style="320" customWidth="1"/>
    <col min="12" max="12" width="17.28515625" style="320" customWidth="1"/>
    <col min="13" max="13" width="15.140625" style="320" customWidth="1"/>
    <col min="14" max="14" width="15" style="320" customWidth="1"/>
    <col min="15" max="15" width="4.85546875" style="856" customWidth="1"/>
    <col min="16" max="16" width="5.7109375" style="856" customWidth="1"/>
    <col min="17" max="17" width="11.7109375" style="856" customWidth="1"/>
    <col min="18" max="27" width="8.85546875" style="856" customWidth="1"/>
    <col min="28" max="28" width="6.28515625" style="856" customWidth="1"/>
    <col min="29" max="29" width="11.28515625" style="856" customWidth="1"/>
    <col min="30" max="32" width="8.85546875" style="856" customWidth="1"/>
    <col min="33" max="33" width="12.140625" style="856" customWidth="1"/>
    <col min="34" max="34" width="12.42578125" style="856" customWidth="1"/>
    <col min="35" max="35" width="10.7109375" style="856" customWidth="1"/>
    <col min="36" max="39" width="8.85546875" style="856" customWidth="1"/>
    <col min="40" max="40" width="3" style="856" customWidth="1"/>
    <col min="41" max="41" width="4.28515625" style="856" customWidth="1"/>
    <col min="42" max="45" width="11" style="856" customWidth="1"/>
    <col min="46" max="46" width="13.42578125" style="856" customWidth="1"/>
    <col min="47" max="47" width="14.42578125" style="856" customWidth="1"/>
    <col min="48" max="48" width="14.140625" style="856" customWidth="1"/>
    <col min="49" max="52" width="11" style="856" customWidth="1"/>
    <col min="53" max="53" width="9.42578125" style="320" customWidth="1"/>
    <col min="54" max="54" width="11.28515625" style="538" hidden="1" customWidth="1"/>
    <col min="55" max="55" width="0" style="538" hidden="1" customWidth="1"/>
    <col min="56" max="56" width="9.42578125" style="538" hidden="1" customWidth="1"/>
    <col min="57" max="57" width="11.42578125" style="538" hidden="1" customWidth="1"/>
    <col min="58" max="58" width="14.7109375" style="538" hidden="1" customWidth="1"/>
    <col min="59" max="59" width="15.42578125" style="538" hidden="1" customWidth="1"/>
    <col min="60" max="60" width="14.85546875" style="538" hidden="1" customWidth="1"/>
    <col min="61" max="61" width="13.7109375" style="538" hidden="1" customWidth="1"/>
    <col min="62" max="62" width="11" style="538" hidden="1" customWidth="1"/>
    <col min="63" max="63" width="12.42578125" style="538" hidden="1" customWidth="1"/>
    <col min="64" max="64" width="11.7109375" style="538" hidden="1" customWidth="1"/>
    <col min="65" max="67" width="8.85546875" style="538"/>
    <col min="68" max="74" width="8.85546875" style="863"/>
    <col min="75" max="75" width="11.28515625" style="863" customWidth="1"/>
    <col min="76" max="171" width="8.85546875" style="863"/>
    <col min="172" max="16384" width="8.85546875" style="320"/>
  </cols>
  <sheetData>
    <row r="1" spans="1:171" ht="12.75" customHeight="1"/>
    <row r="2" spans="1:171" ht="21">
      <c r="C2" s="322" t="s">
        <v>269</v>
      </c>
      <c r="D2" s="323"/>
      <c r="E2" s="323"/>
      <c r="F2" s="324"/>
      <c r="G2" s="324"/>
      <c r="H2" s="323"/>
      <c r="I2" s="323"/>
      <c r="J2" s="323"/>
      <c r="K2" s="323"/>
      <c r="L2" s="323"/>
      <c r="M2" s="323"/>
      <c r="N2" s="323"/>
      <c r="O2" s="857"/>
      <c r="P2" s="857"/>
      <c r="Q2" s="855" t="s">
        <v>634</v>
      </c>
      <c r="R2" s="855"/>
      <c r="S2" s="663"/>
      <c r="T2" s="663"/>
      <c r="U2" s="663"/>
      <c r="V2" s="663"/>
      <c r="W2" s="663"/>
      <c r="X2" s="663"/>
      <c r="Y2" s="663"/>
      <c r="Z2" s="663"/>
      <c r="AA2" s="663"/>
      <c r="AB2" s="857"/>
      <c r="AC2" s="855" t="s">
        <v>633</v>
      </c>
      <c r="AD2" s="855"/>
      <c r="AE2" s="663"/>
      <c r="AF2" s="663"/>
      <c r="AG2" s="663"/>
      <c r="AH2" s="663"/>
      <c r="AI2" s="663"/>
      <c r="AJ2" s="663"/>
      <c r="AK2" s="663"/>
      <c r="AL2" s="663"/>
      <c r="AM2" s="663"/>
      <c r="AN2" s="857"/>
      <c r="AO2" s="857"/>
      <c r="AP2" s="855" t="s">
        <v>635</v>
      </c>
      <c r="AQ2" s="855"/>
      <c r="AR2" s="663"/>
      <c r="AS2" s="663"/>
      <c r="AT2" s="663"/>
      <c r="AU2" s="663"/>
      <c r="AV2" s="663"/>
      <c r="AW2" s="663"/>
      <c r="AX2" s="663"/>
      <c r="AY2" s="663"/>
      <c r="AZ2" s="663"/>
      <c r="BA2" s="969"/>
      <c r="BB2" s="855" t="s">
        <v>556</v>
      </c>
      <c r="BC2" s="855"/>
      <c r="BD2" s="663"/>
      <c r="BE2" s="663"/>
      <c r="BF2" s="663"/>
      <c r="BG2" s="663"/>
      <c r="BH2" s="663"/>
      <c r="BI2" s="663"/>
      <c r="BJ2" s="663"/>
      <c r="BK2" s="663"/>
      <c r="BL2" s="663"/>
    </row>
    <row r="3" spans="1:171" ht="90">
      <c r="Q3" s="1253" t="s">
        <v>557</v>
      </c>
      <c r="R3" s="1253"/>
      <c r="S3" s="1253"/>
      <c r="T3" s="1253"/>
      <c r="U3" s="939" t="s">
        <v>558</v>
      </c>
      <c r="V3" s="658" t="s">
        <v>559</v>
      </c>
      <c r="W3" s="866" t="s">
        <v>560</v>
      </c>
      <c r="X3" s="866" t="s">
        <v>561</v>
      </c>
      <c r="Y3" s="866" t="s">
        <v>562</v>
      </c>
      <c r="Z3" s="866" t="s">
        <v>563</v>
      </c>
      <c r="AA3" s="866" t="s">
        <v>564</v>
      </c>
      <c r="AC3" s="1253" t="s">
        <v>557</v>
      </c>
      <c r="AD3" s="1253"/>
      <c r="AE3" s="1253"/>
      <c r="AF3" s="1253"/>
      <c r="AG3" s="939" t="s">
        <v>558</v>
      </c>
      <c r="AH3" s="658" t="s">
        <v>559</v>
      </c>
      <c r="AI3" s="866" t="s">
        <v>560</v>
      </c>
      <c r="AJ3" s="866" t="s">
        <v>561</v>
      </c>
      <c r="AK3" s="866" t="s">
        <v>562</v>
      </c>
      <c r="AL3" s="866" t="s">
        <v>563</v>
      </c>
      <c r="AM3" s="866" t="s">
        <v>564</v>
      </c>
      <c r="AP3" s="1253" t="s">
        <v>557</v>
      </c>
      <c r="AQ3" s="1253"/>
      <c r="AR3" s="1253"/>
      <c r="AS3" s="1253"/>
      <c r="AT3" s="939" t="s">
        <v>558</v>
      </c>
      <c r="AU3" s="658" t="s">
        <v>559</v>
      </c>
      <c r="AV3" s="866" t="s">
        <v>560</v>
      </c>
      <c r="AW3" s="866" t="s">
        <v>561</v>
      </c>
      <c r="AX3" s="866" t="s">
        <v>562</v>
      </c>
      <c r="AY3" s="866" t="s">
        <v>563</v>
      </c>
      <c r="AZ3" s="866" t="s">
        <v>564</v>
      </c>
      <c r="BB3" s="1253" t="s">
        <v>557</v>
      </c>
      <c r="BC3" s="1253"/>
      <c r="BD3" s="1253"/>
      <c r="BE3" s="1253"/>
      <c r="BF3" s="865" t="s">
        <v>558</v>
      </c>
      <c r="BG3" s="658" t="s">
        <v>559</v>
      </c>
      <c r="BH3" s="866" t="s">
        <v>560</v>
      </c>
      <c r="BI3" s="866" t="s">
        <v>561</v>
      </c>
      <c r="BJ3" s="866" t="s">
        <v>562</v>
      </c>
      <c r="BK3" s="866" t="s">
        <v>563</v>
      </c>
      <c r="BL3" s="866" t="s">
        <v>564</v>
      </c>
    </row>
    <row r="4" spans="1:171" ht="62.25" customHeight="1" thickBot="1">
      <c r="C4" s="1250" t="s">
        <v>799</v>
      </c>
      <c r="D4" s="1251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858"/>
      <c r="P4" s="858"/>
      <c r="Q4" s="1249" t="s">
        <v>565</v>
      </c>
      <c r="R4" s="1249"/>
      <c r="S4" s="1249"/>
      <c r="T4" s="1249"/>
      <c r="U4" s="867" t="s">
        <v>566</v>
      </c>
      <c r="V4" s="867" t="s">
        <v>567</v>
      </c>
      <c r="W4" s="868" t="s">
        <v>568</v>
      </c>
      <c r="X4" s="868" t="s">
        <v>569</v>
      </c>
      <c r="Y4" s="868" t="s">
        <v>570</v>
      </c>
      <c r="Z4" s="868" t="s">
        <v>571</v>
      </c>
      <c r="AA4" s="868" t="s">
        <v>572</v>
      </c>
      <c r="AB4" s="858"/>
      <c r="AC4" s="1249" t="s">
        <v>565</v>
      </c>
      <c r="AD4" s="1249"/>
      <c r="AE4" s="1249"/>
      <c r="AF4" s="1249"/>
      <c r="AG4" s="867" t="s">
        <v>566</v>
      </c>
      <c r="AH4" s="867" t="s">
        <v>567</v>
      </c>
      <c r="AI4" s="868" t="s">
        <v>568</v>
      </c>
      <c r="AJ4" s="868" t="s">
        <v>569</v>
      </c>
      <c r="AK4" s="868" t="s">
        <v>570</v>
      </c>
      <c r="AL4" s="868" t="s">
        <v>571</v>
      </c>
      <c r="AM4" s="868" t="s">
        <v>572</v>
      </c>
      <c r="AN4" s="858"/>
      <c r="AO4" s="858"/>
      <c r="AP4" s="1249" t="s">
        <v>565</v>
      </c>
      <c r="AQ4" s="1249"/>
      <c r="AR4" s="1249"/>
      <c r="AS4" s="1249"/>
      <c r="AT4" s="867" t="s">
        <v>566</v>
      </c>
      <c r="AU4" s="867" t="s">
        <v>567</v>
      </c>
      <c r="AV4" s="868" t="s">
        <v>568</v>
      </c>
      <c r="AW4" s="868" t="s">
        <v>569</v>
      </c>
      <c r="AX4" s="868" t="s">
        <v>570</v>
      </c>
      <c r="AY4" s="868" t="s">
        <v>571</v>
      </c>
      <c r="AZ4" s="868" t="s">
        <v>572</v>
      </c>
      <c r="BA4" s="970"/>
      <c r="BB4" s="1249" t="s">
        <v>565</v>
      </c>
      <c r="BC4" s="1249"/>
      <c r="BD4" s="1249"/>
      <c r="BE4" s="1249"/>
      <c r="BF4" s="867" t="s">
        <v>566</v>
      </c>
      <c r="BG4" s="867" t="s">
        <v>567</v>
      </c>
      <c r="BH4" s="868" t="s">
        <v>568</v>
      </c>
      <c r="BI4" s="868" t="s">
        <v>569</v>
      </c>
      <c r="BJ4" s="868" t="s">
        <v>570</v>
      </c>
      <c r="BK4" s="868" t="s">
        <v>571</v>
      </c>
      <c r="BL4" s="868" t="s">
        <v>572</v>
      </c>
    </row>
    <row r="5" spans="1:171" s="325" customFormat="1" ht="76.5" customHeight="1">
      <c r="A5" s="558" t="s">
        <v>175</v>
      </c>
      <c r="B5" s="557" t="s">
        <v>486</v>
      </c>
      <c r="C5" s="588" t="s">
        <v>485</v>
      </c>
      <c r="D5" s="589"/>
      <c r="E5" s="593" t="s">
        <v>92</v>
      </c>
      <c r="F5" s="594" t="s">
        <v>539</v>
      </c>
      <c r="G5" s="594" t="s">
        <v>540</v>
      </c>
      <c r="H5" s="609" t="s">
        <v>318</v>
      </c>
      <c r="I5" s="615" t="s">
        <v>117</v>
      </c>
      <c r="J5" s="616" t="s">
        <v>347</v>
      </c>
      <c r="K5" s="612" t="s">
        <v>118</v>
      </c>
      <c r="L5" s="602" t="s">
        <v>119</v>
      </c>
      <c r="M5" s="602" t="s">
        <v>120</v>
      </c>
      <c r="N5" s="603" t="s">
        <v>489</v>
      </c>
      <c r="O5" s="859"/>
      <c r="P5" s="859"/>
      <c r="Q5" s="869" t="s">
        <v>573</v>
      </c>
      <c r="R5" s="869" t="s">
        <v>574</v>
      </c>
      <c r="S5" s="869" t="s">
        <v>575</v>
      </c>
      <c r="T5" s="869" t="s">
        <v>576</v>
      </c>
      <c r="U5" s="869" t="s">
        <v>577</v>
      </c>
      <c r="V5" s="869" t="s">
        <v>578</v>
      </c>
      <c r="W5" s="869" t="s">
        <v>579</v>
      </c>
      <c r="X5" s="869" t="s">
        <v>580</v>
      </c>
      <c r="Y5" s="869" t="s">
        <v>581</v>
      </c>
      <c r="Z5" s="869" t="s">
        <v>582</v>
      </c>
      <c r="AA5" s="869" t="s">
        <v>583</v>
      </c>
      <c r="AB5" s="859"/>
      <c r="AC5" s="869" t="s">
        <v>573</v>
      </c>
      <c r="AD5" s="869" t="s">
        <v>574</v>
      </c>
      <c r="AE5" s="869" t="s">
        <v>575</v>
      </c>
      <c r="AF5" s="869" t="s">
        <v>576</v>
      </c>
      <c r="AG5" s="869" t="s">
        <v>577</v>
      </c>
      <c r="AH5" s="869" t="s">
        <v>578</v>
      </c>
      <c r="AI5" s="869" t="s">
        <v>579</v>
      </c>
      <c r="AJ5" s="869" t="s">
        <v>580</v>
      </c>
      <c r="AK5" s="869" t="s">
        <v>581</v>
      </c>
      <c r="AL5" s="869" t="s">
        <v>582</v>
      </c>
      <c r="AM5" s="869" t="s">
        <v>583</v>
      </c>
      <c r="AN5" s="859"/>
      <c r="AO5" s="859"/>
      <c r="AP5" s="869" t="s">
        <v>573</v>
      </c>
      <c r="AQ5" s="869" t="s">
        <v>574</v>
      </c>
      <c r="AR5" s="869" t="s">
        <v>575</v>
      </c>
      <c r="AS5" s="869" t="s">
        <v>576</v>
      </c>
      <c r="AT5" s="869" t="s">
        <v>577</v>
      </c>
      <c r="AU5" s="869" t="s">
        <v>578</v>
      </c>
      <c r="AV5" s="869" t="s">
        <v>579</v>
      </c>
      <c r="AW5" s="869" t="s">
        <v>580</v>
      </c>
      <c r="AX5" s="869" t="s">
        <v>581</v>
      </c>
      <c r="AY5" s="869" t="s">
        <v>582</v>
      </c>
      <c r="AZ5" s="869" t="s">
        <v>583</v>
      </c>
      <c r="BA5" s="971"/>
      <c r="BB5" s="869" t="s">
        <v>573</v>
      </c>
      <c r="BC5" s="869" t="s">
        <v>574</v>
      </c>
      <c r="BD5" s="869" t="s">
        <v>575</v>
      </c>
      <c r="BE5" s="869" t="s">
        <v>576</v>
      </c>
      <c r="BF5" s="869" t="s">
        <v>577</v>
      </c>
      <c r="BG5" s="869" t="s">
        <v>578</v>
      </c>
      <c r="BH5" s="869" t="s">
        <v>579</v>
      </c>
      <c r="BI5" s="869" t="s">
        <v>580</v>
      </c>
      <c r="BJ5" s="869" t="s">
        <v>581</v>
      </c>
      <c r="BK5" s="869" t="s">
        <v>582</v>
      </c>
      <c r="BL5" s="869" t="s">
        <v>583</v>
      </c>
      <c r="BM5" s="574"/>
      <c r="BN5" s="574"/>
      <c r="BO5" s="574"/>
      <c r="BP5" s="923"/>
      <c r="BQ5" s="923"/>
      <c r="BR5" s="923"/>
      <c r="BS5" s="923"/>
      <c r="BT5" s="923"/>
      <c r="BU5" s="923"/>
      <c r="BV5" s="923"/>
      <c r="BW5" s="923"/>
      <c r="BX5" s="923"/>
      <c r="BY5" s="923"/>
      <c r="BZ5" s="923"/>
      <c r="CA5" s="923"/>
      <c r="CB5" s="923"/>
      <c r="CC5" s="923"/>
      <c r="CD5" s="923"/>
      <c r="CE5" s="923"/>
      <c r="CF5" s="923"/>
      <c r="CG5" s="923"/>
      <c r="CH5" s="923"/>
      <c r="CI5" s="923"/>
      <c r="CJ5" s="923"/>
      <c r="CK5" s="923"/>
      <c r="CL5" s="923"/>
      <c r="CM5" s="923"/>
      <c r="CN5" s="923"/>
      <c r="CO5" s="923"/>
      <c r="CP5" s="923"/>
      <c r="CQ5" s="923"/>
      <c r="CR5" s="923"/>
      <c r="CS5" s="923"/>
      <c r="CT5" s="923"/>
      <c r="CU5" s="923"/>
      <c r="CV5" s="923"/>
      <c r="CW5" s="923"/>
      <c r="CX5" s="923"/>
      <c r="CY5" s="923"/>
      <c r="CZ5" s="923"/>
      <c r="DA5" s="923"/>
      <c r="DB5" s="923"/>
      <c r="DC5" s="923"/>
      <c r="DD5" s="923"/>
      <c r="DE5" s="923"/>
      <c r="DF5" s="923"/>
      <c r="DG5" s="923"/>
      <c r="DH5" s="923"/>
      <c r="DI5" s="923"/>
      <c r="DJ5" s="923"/>
      <c r="DK5" s="923"/>
      <c r="DL5" s="923"/>
      <c r="DM5" s="923"/>
      <c r="DN5" s="923"/>
      <c r="DO5" s="923"/>
      <c r="DP5" s="923"/>
      <c r="DQ5" s="923"/>
      <c r="DR5" s="923"/>
      <c r="DS5" s="923"/>
      <c r="DT5" s="923"/>
      <c r="DU5" s="923"/>
      <c r="DV5" s="923"/>
      <c r="DW5" s="923"/>
      <c r="DX5" s="923"/>
      <c r="DY5" s="923"/>
      <c r="DZ5" s="923"/>
      <c r="EA5" s="923"/>
      <c r="EB5" s="923"/>
      <c r="EC5" s="923"/>
      <c r="ED5" s="923"/>
      <c r="EE5" s="923"/>
      <c r="EF5" s="923"/>
      <c r="EG5" s="923"/>
      <c r="EH5" s="923"/>
      <c r="EI5" s="923"/>
      <c r="EJ5" s="923"/>
      <c r="EK5" s="923"/>
      <c r="EL5" s="923"/>
      <c r="EM5" s="923"/>
      <c r="EN5" s="923"/>
      <c r="EO5" s="923"/>
      <c r="EP5" s="923"/>
      <c r="EQ5" s="923"/>
      <c r="ER5" s="923"/>
      <c r="ES5" s="923"/>
      <c r="ET5" s="923"/>
      <c r="EU5" s="923"/>
      <c r="EV5" s="923"/>
      <c r="EW5" s="923"/>
      <c r="EX5" s="923"/>
      <c r="EY5" s="923"/>
      <c r="EZ5" s="923"/>
      <c r="FA5" s="923"/>
      <c r="FB5" s="923"/>
      <c r="FC5" s="923"/>
      <c r="FD5" s="923"/>
      <c r="FE5" s="923"/>
      <c r="FF5" s="923"/>
      <c r="FG5" s="923"/>
      <c r="FH5" s="923"/>
      <c r="FI5" s="923"/>
      <c r="FJ5" s="923"/>
      <c r="FK5" s="923"/>
      <c r="FL5" s="923"/>
      <c r="FM5" s="923"/>
      <c r="FN5" s="923"/>
      <c r="FO5" s="923"/>
    </row>
    <row r="6" spans="1:171">
      <c r="B6" s="557">
        <v>1</v>
      </c>
      <c r="C6" s="580">
        <v>40513</v>
      </c>
      <c r="D6" s="590">
        <f>C7-1</f>
        <v>40543</v>
      </c>
      <c r="E6" s="595">
        <v>3929</v>
      </c>
      <c r="F6" s="326">
        <v>0</v>
      </c>
      <c r="G6" s="326">
        <f>IF(B6&gt;=60,INDEX($B$6:$E$173,(B6-59),4),0)</f>
        <v>0</v>
      </c>
      <c r="H6" s="327"/>
      <c r="I6" s="617"/>
      <c r="J6" s="618"/>
      <c r="K6" s="330"/>
      <c r="L6" s="326"/>
      <c r="M6" s="326"/>
      <c r="N6" s="604"/>
      <c r="O6" s="860"/>
      <c r="P6" s="860"/>
      <c r="Q6" s="860"/>
      <c r="R6" s="860"/>
      <c r="S6" s="860"/>
      <c r="T6" s="860"/>
      <c r="U6" s="860"/>
      <c r="V6" s="860"/>
      <c r="W6" s="860"/>
      <c r="X6" s="860"/>
      <c r="Y6" s="860"/>
      <c r="Z6" s="860"/>
      <c r="AA6" s="860"/>
      <c r="AB6" s="860"/>
      <c r="AC6" s="860"/>
      <c r="AD6" s="860"/>
      <c r="AE6" s="860"/>
      <c r="AF6" s="860"/>
      <c r="AG6" s="860"/>
      <c r="AH6" s="860"/>
      <c r="AI6" s="860"/>
      <c r="AJ6" s="860"/>
      <c r="AK6" s="860"/>
      <c r="AL6" s="860"/>
      <c r="AM6" s="860"/>
      <c r="AN6" s="860"/>
      <c r="AO6" s="860"/>
      <c r="AP6" s="860"/>
      <c r="AQ6" s="860"/>
      <c r="AR6" s="860"/>
      <c r="AS6" s="860"/>
      <c r="AT6" s="860"/>
      <c r="AU6" s="860"/>
      <c r="AV6" s="860"/>
      <c r="AW6" s="860"/>
      <c r="AX6" s="860"/>
      <c r="AY6" s="860"/>
      <c r="AZ6" s="860"/>
      <c r="BA6" s="972"/>
    </row>
    <row r="7" spans="1:171">
      <c r="B7" s="557">
        <f>B6+1</f>
        <v>2</v>
      </c>
      <c r="C7" s="580">
        <v>40544</v>
      </c>
      <c r="D7" s="590">
        <f t="shared" ref="D7:D70" si="0">C8-1</f>
        <v>40574</v>
      </c>
      <c r="E7" s="595">
        <v>1219</v>
      </c>
      <c r="F7" s="326">
        <v>0</v>
      </c>
      <c r="G7" s="326">
        <f t="shared" ref="G7:G64" si="1">IF(B7&gt;=60,INDEX($B$6:$E$173,(B7-59),4),0)</f>
        <v>0</v>
      </c>
      <c r="H7" s="327">
        <f>SUM($E$6:E6)-SUM($F$6:G6)</f>
        <v>3929</v>
      </c>
      <c r="I7" s="617"/>
      <c r="J7" s="618"/>
      <c r="K7" s="330"/>
      <c r="L7" s="326"/>
      <c r="M7" s="326"/>
      <c r="N7" s="604"/>
      <c r="O7" s="860"/>
      <c r="P7" s="860"/>
      <c r="Q7" s="860"/>
      <c r="R7" s="860"/>
      <c r="S7" s="860"/>
      <c r="T7" s="860"/>
      <c r="U7" s="860"/>
      <c r="V7" s="860"/>
      <c r="W7" s="860"/>
      <c r="X7" s="860"/>
      <c r="Y7" s="860"/>
      <c r="Z7" s="860"/>
      <c r="AA7" s="860"/>
      <c r="AB7" s="860"/>
      <c r="AC7" s="860"/>
      <c r="AD7" s="860"/>
      <c r="AE7" s="860"/>
      <c r="AF7" s="860"/>
      <c r="AG7" s="860"/>
      <c r="AH7" s="860"/>
      <c r="AI7" s="860"/>
      <c r="AJ7" s="860"/>
      <c r="AK7" s="860"/>
      <c r="AL7" s="860"/>
      <c r="AM7" s="860"/>
      <c r="AN7" s="860"/>
      <c r="AO7" s="860"/>
      <c r="AP7" s="860"/>
      <c r="AQ7" s="860"/>
      <c r="AR7" s="860"/>
      <c r="AS7" s="860"/>
      <c r="AT7" s="860"/>
      <c r="AU7" s="860"/>
      <c r="AV7" s="860"/>
      <c r="AW7" s="860"/>
      <c r="AX7" s="860"/>
      <c r="AY7" s="860"/>
      <c r="AZ7" s="860"/>
      <c r="BA7" s="972"/>
    </row>
    <row r="8" spans="1:171">
      <c r="B8" s="557">
        <f>B7+1</f>
        <v>3</v>
      </c>
      <c r="C8" s="580">
        <v>40575</v>
      </c>
      <c r="D8" s="590">
        <f t="shared" si="0"/>
        <v>40602</v>
      </c>
      <c r="E8" s="595">
        <v>4260</v>
      </c>
      <c r="F8" s="326">
        <v>0</v>
      </c>
      <c r="G8" s="326">
        <f t="shared" si="1"/>
        <v>0</v>
      </c>
      <c r="H8" s="327">
        <f>SUM($E$6:E7)-SUM($F$6:G7)</f>
        <v>5148</v>
      </c>
      <c r="I8" s="617"/>
      <c r="J8" s="618"/>
      <c r="K8" s="330"/>
      <c r="L8" s="326"/>
      <c r="M8" s="326"/>
      <c r="N8" s="604"/>
      <c r="O8" s="860"/>
      <c r="P8" s="860"/>
      <c r="Q8" s="860"/>
      <c r="R8" s="860"/>
      <c r="S8" s="860"/>
      <c r="T8" s="860"/>
      <c r="U8" s="860"/>
      <c r="V8" s="860"/>
      <c r="W8" s="860"/>
      <c r="X8" s="860"/>
      <c r="Y8" s="860"/>
      <c r="Z8" s="860"/>
      <c r="AA8" s="860"/>
      <c r="AB8" s="860"/>
      <c r="AC8" s="860"/>
      <c r="AD8" s="860"/>
      <c r="AE8" s="860"/>
      <c r="AF8" s="860"/>
      <c r="AG8" s="860"/>
      <c r="AH8" s="860"/>
      <c r="AI8" s="860"/>
      <c r="AJ8" s="860"/>
      <c r="AK8" s="860"/>
      <c r="AL8" s="860"/>
      <c r="AM8" s="860"/>
      <c r="AN8" s="860"/>
      <c r="AO8" s="860"/>
      <c r="AP8" s="860"/>
      <c r="AQ8" s="860"/>
      <c r="AR8" s="860"/>
      <c r="AS8" s="860"/>
      <c r="AT8" s="860"/>
      <c r="AU8" s="860"/>
      <c r="AV8" s="860"/>
      <c r="AW8" s="860"/>
      <c r="AX8" s="860"/>
      <c r="AY8" s="860"/>
      <c r="AZ8" s="860"/>
      <c r="BA8" s="972"/>
    </row>
    <row r="9" spans="1:171">
      <c r="B9" s="557">
        <f>B8+1</f>
        <v>4</v>
      </c>
      <c r="C9" s="580">
        <v>40603</v>
      </c>
      <c r="D9" s="590">
        <f t="shared" si="0"/>
        <v>40633</v>
      </c>
      <c r="E9" s="595">
        <v>1667</v>
      </c>
      <c r="F9" s="326">
        <v>0</v>
      </c>
      <c r="G9" s="326">
        <f t="shared" si="1"/>
        <v>0</v>
      </c>
      <c r="H9" s="327">
        <f>SUM($E$6:E8)-SUM($F$6:G8)</f>
        <v>9408</v>
      </c>
      <c r="I9" s="617"/>
      <c r="J9" s="618"/>
      <c r="K9" s="330"/>
      <c r="L9" s="326"/>
      <c r="M9" s="326"/>
      <c r="N9" s="604"/>
      <c r="O9" s="860"/>
      <c r="P9" s="860"/>
      <c r="Q9" s="860"/>
      <c r="R9" s="860"/>
      <c r="S9" s="860"/>
      <c r="T9" s="860"/>
      <c r="U9" s="860"/>
      <c r="V9" s="860"/>
      <c r="W9" s="860"/>
      <c r="X9" s="860"/>
      <c r="Y9" s="860"/>
      <c r="Z9" s="860"/>
      <c r="AA9" s="860"/>
      <c r="AB9" s="860"/>
      <c r="AC9" s="860"/>
      <c r="AD9" s="860"/>
      <c r="AE9" s="860"/>
      <c r="AF9" s="860"/>
      <c r="AG9" s="860"/>
      <c r="AH9" s="860"/>
      <c r="AI9" s="860"/>
      <c r="AJ9" s="860"/>
      <c r="AK9" s="860"/>
      <c r="AL9" s="860"/>
      <c r="AM9" s="860"/>
      <c r="AN9" s="860"/>
      <c r="AO9" s="860"/>
      <c r="AP9" s="860"/>
      <c r="AQ9" s="860"/>
      <c r="AR9" s="860"/>
      <c r="AS9" s="860"/>
      <c r="AT9" s="860"/>
      <c r="AU9" s="860"/>
      <c r="AV9" s="860"/>
      <c r="AW9" s="860"/>
      <c r="AX9" s="860"/>
      <c r="AY9" s="860"/>
      <c r="AZ9" s="860"/>
      <c r="BA9" s="972"/>
    </row>
    <row r="10" spans="1:171">
      <c r="B10" s="557">
        <f t="shared" ref="B10:B73" si="2">B9+1</f>
        <v>5</v>
      </c>
      <c r="C10" s="580">
        <v>40634</v>
      </c>
      <c r="D10" s="590">
        <f t="shared" si="0"/>
        <v>40663</v>
      </c>
      <c r="E10" s="595">
        <v>1135</v>
      </c>
      <c r="F10" s="326">
        <v>0</v>
      </c>
      <c r="G10" s="326">
        <f t="shared" si="1"/>
        <v>0</v>
      </c>
      <c r="H10" s="327">
        <f>SUM($E$6:E9)-SUM($F$6:G9)</f>
        <v>11075</v>
      </c>
      <c r="I10" s="617"/>
      <c r="J10" s="618"/>
      <c r="K10" s="330"/>
      <c r="L10" s="326"/>
      <c r="M10" s="326"/>
      <c r="N10" s="604"/>
      <c r="O10" s="860"/>
      <c r="P10" s="860"/>
      <c r="Q10" s="860"/>
      <c r="R10" s="860"/>
      <c r="S10" s="860"/>
      <c r="T10" s="860"/>
      <c r="U10" s="860"/>
      <c r="V10" s="860"/>
      <c r="W10" s="860"/>
      <c r="X10" s="860"/>
      <c r="Y10" s="860"/>
      <c r="Z10" s="860"/>
      <c r="AA10" s="860"/>
      <c r="AB10" s="860"/>
      <c r="AC10" s="860"/>
      <c r="AD10" s="860"/>
      <c r="AE10" s="860"/>
      <c r="AF10" s="860"/>
      <c r="AG10" s="860"/>
      <c r="AH10" s="860"/>
      <c r="AI10" s="860"/>
      <c r="AJ10" s="860"/>
      <c r="AK10" s="860"/>
      <c r="AL10" s="860"/>
      <c r="AM10" s="860"/>
      <c r="AN10" s="860"/>
      <c r="AO10" s="860"/>
      <c r="AP10" s="860"/>
      <c r="AQ10" s="860"/>
      <c r="AR10" s="860"/>
      <c r="AS10" s="860"/>
      <c r="AT10" s="860"/>
      <c r="AU10" s="860"/>
      <c r="AV10" s="860"/>
      <c r="AW10" s="860"/>
      <c r="AX10" s="860"/>
      <c r="AY10" s="860"/>
      <c r="AZ10" s="860"/>
      <c r="BA10" s="972"/>
    </row>
    <row r="11" spans="1:171">
      <c r="B11" s="557">
        <f t="shared" si="2"/>
        <v>6</v>
      </c>
      <c r="C11" s="580">
        <v>40664</v>
      </c>
      <c r="D11" s="590">
        <f t="shared" si="0"/>
        <v>40694</v>
      </c>
      <c r="E11" s="595">
        <v>3891</v>
      </c>
      <c r="F11" s="326">
        <v>0</v>
      </c>
      <c r="G11" s="326">
        <f t="shared" si="1"/>
        <v>0</v>
      </c>
      <c r="H11" s="327">
        <f>SUM($E$6:E10)-SUM($F$6:G10)</f>
        <v>12210</v>
      </c>
      <c r="I11" s="617"/>
      <c r="J11" s="618"/>
      <c r="K11" s="330"/>
      <c r="L11" s="326"/>
      <c r="M11" s="326"/>
      <c r="N11" s="604"/>
      <c r="O11" s="860"/>
      <c r="P11" s="860"/>
      <c r="Q11" s="860"/>
      <c r="R11" s="860"/>
      <c r="S11" s="860"/>
      <c r="T11" s="860"/>
      <c r="U11" s="860"/>
      <c r="V11" s="860"/>
      <c r="W11" s="860"/>
      <c r="X11" s="860"/>
      <c r="Y11" s="860"/>
      <c r="Z11" s="860"/>
      <c r="AA11" s="860"/>
      <c r="AB11" s="860"/>
      <c r="AC11" s="860"/>
      <c r="AD11" s="860"/>
      <c r="AE11" s="860"/>
      <c r="AF11" s="860"/>
      <c r="AG11" s="860"/>
      <c r="AH11" s="860"/>
      <c r="AI11" s="860"/>
      <c r="AJ11" s="860"/>
      <c r="AK11" s="860"/>
      <c r="AL11" s="860"/>
      <c r="AM11" s="860"/>
      <c r="AN11" s="860"/>
      <c r="AO11" s="860"/>
      <c r="AP11" s="860"/>
      <c r="AQ11" s="860"/>
      <c r="AR11" s="860"/>
      <c r="AS11" s="860"/>
      <c r="AT11" s="860"/>
      <c r="AU11" s="860"/>
      <c r="AV11" s="860"/>
      <c r="AW11" s="860"/>
      <c r="AX11" s="860"/>
      <c r="AY11" s="860"/>
      <c r="AZ11" s="860"/>
      <c r="BA11" s="972"/>
    </row>
    <row r="12" spans="1:171">
      <c r="B12" s="557">
        <f t="shared" si="2"/>
        <v>7</v>
      </c>
      <c r="C12" s="580">
        <v>40695</v>
      </c>
      <c r="D12" s="590">
        <f t="shared" si="0"/>
        <v>40724</v>
      </c>
      <c r="E12" s="595">
        <v>7153</v>
      </c>
      <c r="F12" s="326">
        <v>0</v>
      </c>
      <c r="G12" s="326">
        <f t="shared" si="1"/>
        <v>0</v>
      </c>
      <c r="H12" s="327">
        <f>SUM($E$6:E11)-SUM($F$6:G11)</f>
        <v>16101</v>
      </c>
      <c r="I12" s="617"/>
      <c r="J12" s="618"/>
      <c r="K12" s="330"/>
      <c r="L12" s="326"/>
      <c r="M12" s="326"/>
      <c r="N12" s="604"/>
      <c r="O12" s="860"/>
      <c r="P12" s="860"/>
      <c r="Q12" s="860"/>
      <c r="R12" s="860"/>
      <c r="S12" s="860"/>
      <c r="T12" s="860"/>
      <c r="U12" s="860"/>
      <c r="V12" s="860"/>
      <c r="W12" s="860"/>
      <c r="X12" s="860"/>
      <c r="Y12" s="860"/>
      <c r="Z12" s="860"/>
      <c r="AA12" s="860"/>
      <c r="AB12" s="860"/>
      <c r="AC12" s="860"/>
      <c r="AD12" s="860"/>
      <c r="AE12" s="860"/>
      <c r="AF12" s="860"/>
      <c r="AG12" s="860"/>
      <c r="AH12" s="860"/>
      <c r="AI12" s="860"/>
      <c r="AJ12" s="860"/>
      <c r="AK12" s="860"/>
      <c r="AL12" s="860"/>
      <c r="AM12" s="860"/>
      <c r="AN12" s="860"/>
      <c r="AO12" s="860"/>
      <c r="AP12" s="860"/>
      <c r="AQ12" s="860"/>
      <c r="AR12" s="860"/>
      <c r="AS12" s="860"/>
      <c r="AT12" s="860"/>
      <c r="AU12" s="860"/>
      <c r="AV12" s="860"/>
      <c r="AW12" s="860"/>
      <c r="AX12" s="860"/>
      <c r="AY12" s="860"/>
      <c r="AZ12" s="860"/>
      <c r="BA12" s="972"/>
    </row>
    <row r="13" spans="1:171">
      <c r="B13" s="557">
        <f t="shared" si="2"/>
        <v>8</v>
      </c>
      <c r="C13" s="580">
        <v>40725</v>
      </c>
      <c r="D13" s="590">
        <f t="shared" si="0"/>
        <v>40755</v>
      </c>
      <c r="E13" s="595">
        <v>5070</v>
      </c>
      <c r="F13" s="326">
        <v>0</v>
      </c>
      <c r="G13" s="326">
        <f t="shared" si="1"/>
        <v>0</v>
      </c>
      <c r="H13" s="327">
        <f>SUM($E$6:E12)-SUM($F$6:G12)</f>
        <v>23254</v>
      </c>
      <c r="I13" s="617"/>
      <c r="J13" s="618"/>
      <c r="K13" s="330"/>
      <c r="L13" s="326"/>
      <c r="M13" s="326"/>
      <c r="N13" s="604"/>
      <c r="O13" s="860"/>
      <c r="P13" s="860"/>
      <c r="Q13" s="860"/>
      <c r="R13" s="860"/>
      <c r="S13" s="860"/>
      <c r="T13" s="860"/>
      <c r="U13" s="860"/>
      <c r="V13" s="860"/>
      <c r="W13" s="860"/>
      <c r="X13" s="860"/>
      <c r="Y13" s="860"/>
      <c r="Z13" s="860"/>
      <c r="AA13" s="860"/>
      <c r="AB13" s="860"/>
      <c r="AC13" s="860"/>
      <c r="AD13" s="860"/>
      <c r="AE13" s="860"/>
      <c r="AF13" s="860"/>
      <c r="AG13" s="860"/>
      <c r="AH13" s="860"/>
      <c r="AI13" s="860"/>
      <c r="AJ13" s="860"/>
      <c r="AK13" s="860"/>
      <c r="AL13" s="860"/>
      <c r="AM13" s="860"/>
      <c r="AN13" s="860"/>
      <c r="AO13" s="860"/>
      <c r="AP13" s="860"/>
      <c r="AQ13" s="860"/>
      <c r="AR13" s="860"/>
      <c r="AS13" s="860"/>
      <c r="AT13" s="860"/>
      <c r="AU13" s="860"/>
      <c r="AV13" s="860"/>
      <c r="AW13" s="860"/>
      <c r="AX13" s="860"/>
      <c r="AY13" s="860"/>
      <c r="AZ13" s="860"/>
      <c r="BA13" s="972"/>
    </row>
    <row r="14" spans="1:171">
      <c r="B14" s="557">
        <f t="shared" si="2"/>
        <v>9</v>
      </c>
      <c r="C14" s="580">
        <v>40756</v>
      </c>
      <c r="D14" s="590">
        <f t="shared" si="0"/>
        <v>40786</v>
      </c>
      <c r="E14" s="595">
        <v>4679</v>
      </c>
      <c r="F14" s="326">
        <v>0</v>
      </c>
      <c r="G14" s="326">
        <f t="shared" si="1"/>
        <v>0</v>
      </c>
      <c r="H14" s="327">
        <f>SUM($E$6:E13)-SUM($F$6:G13)</f>
        <v>28324</v>
      </c>
      <c r="I14" s="617"/>
      <c r="J14" s="618"/>
      <c r="K14" s="330"/>
      <c r="L14" s="326"/>
      <c r="M14" s="326"/>
      <c r="N14" s="604"/>
      <c r="O14" s="860"/>
      <c r="P14" s="860"/>
      <c r="Q14" s="860"/>
      <c r="R14" s="860"/>
      <c r="S14" s="860"/>
      <c r="T14" s="860"/>
      <c r="U14" s="860"/>
      <c r="V14" s="860"/>
      <c r="W14" s="860"/>
      <c r="X14" s="860"/>
      <c r="Y14" s="860"/>
      <c r="Z14" s="860"/>
      <c r="AA14" s="860"/>
      <c r="AB14" s="860"/>
      <c r="AC14" s="860"/>
      <c r="AD14" s="860"/>
      <c r="AE14" s="860"/>
      <c r="AF14" s="860"/>
      <c r="AG14" s="860"/>
      <c r="AH14" s="860"/>
      <c r="AI14" s="860"/>
      <c r="AJ14" s="860"/>
      <c r="AK14" s="860"/>
      <c r="AL14" s="860"/>
      <c r="AM14" s="860"/>
      <c r="AN14" s="860"/>
      <c r="AO14" s="860"/>
      <c r="AP14" s="860"/>
      <c r="AQ14" s="860"/>
      <c r="AR14" s="860"/>
      <c r="AS14" s="860"/>
      <c r="AT14" s="860"/>
      <c r="AU14" s="860"/>
      <c r="AV14" s="860"/>
      <c r="AW14" s="860"/>
      <c r="AX14" s="860"/>
      <c r="AY14" s="860"/>
      <c r="AZ14" s="860"/>
      <c r="BA14" s="972"/>
    </row>
    <row r="15" spans="1:171">
      <c r="B15" s="557">
        <f t="shared" si="2"/>
        <v>10</v>
      </c>
      <c r="C15" s="580">
        <v>40787</v>
      </c>
      <c r="D15" s="590">
        <f t="shared" si="0"/>
        <v>40816</v>
      </c>
      <c r="E15" s="595">
        <v>2587</v>
      </c>
      <c r="F15" s="326">
        <v>0</v>
      </c>
      <c r="G15" s="326">
        <f t="shared" si="1"/>
        <v>0</v>
      </c>
      <c r="H15" s="327">
        <f>SUM($E$6:E14)-SUM($F$6:G14)</f>
        <v>33003</v>
      </c>
      <c r="I15" s="617"/>
      <c r="J15" s="618"/>
      <c r="K15" s="330"/>
      <c r="L15" s="326"/>
      <c r="M15" s="326"/>
      <c r="N15" s="604"/>
      <c r="O15" s="860"/>
      <c r="P15" s="860"/>
      <c r="Q15" s="860"/>
      <c r="R15" s="860"/>
      <c r="S15" s="860"/>
      <c r="T15" s="860"/>
      <c r="U15" s="860"/>
      <c r="V15" s="860"/>
      <c r="W15" s="860"/>
      <c r="X15" s="860"/>
      <c r="Y15" s="860"/>
      <c r="Z15" s="860"/>
      <c r="AA15" s="860"/>
      <c r="AB15" s="860"/>
      <c r="AC15" s="860"/>
      <c r="AD15" s="860"/>
      <c r="AE15" s="860"/>
      <c r="AF15" s="860"/>
      <c r="AG15" s="860"/>
      <c r="AH15" s="860"/>
      <c r="AI15" s="860"/>
      <c r="AJ15" s="860"/>
      <c r="AK15" s="860"/>
      <c r="AL15" s="860"/>
      <c r="AM15" s="860"/>
      <c r="AN15" s="860"/>
      <c r="AO15" s="860"/>
      <c r="AP15" s="860"/>
      <c r="AQ15" s="860"/>
      <c r="AR15" s="860"/>
      <c r="AS15" s="860"/>
      <c r="AT15" s="860"/>
      <c r="AU15" s="860"/>
      <c r="AV15" s="860"/>
      <c r="AW15" s="860"/>
      <c r="AX15" s="860"/>
      <c r="AY15" s="860"/>
      <c r="AZ15" s="860"/>
      <c r="BA15" s="972"/>
    </row>
    <row r="16" spans="1:171">
      <c r="B16" s="557">
        <f t="shared" si="2"/>
        <v>11</v>
      </c>
      <c r="C16" s="580">
        <v>40817</v>
      </c>
      <c r="D16" s="590">
        <f t="shared" si="0"/>
        <v>40847</v>
      </c>
      <c r="E16" s="595">
        <v>5773</v>
      </c>
      <c r="F16" s="326">
        <v>0</v>
      </c>
      <c r="G16" s="326">
        <f t="shared" si="1"/>
        <v>0</v>
      </c>
      <c r="H16" s="327">
        <f>SUM($E$6:E15)-SUM($F$6:G15)</f>
        <v>35590</v>
      </c>
      <c r="I16" s="617"/>
      <c r="J16" s="618"/>
      <c r="K16" s="330"/>
      <c r="L16" s="326"/>
      <c r="M16" s="326"/>
      <c r="N16" s="604"/>
      <c r="O16" s="860"/>
      <c r="P16" s="860"/>
      <c r="Q16" s="860"/>
      <c r="R16" s="860"/>
      <c r="S16" s="860"/>
      <c r="T16" s="860"/>
      <c r="U16" s="860"/>
      <c r="V16" s="860"/>
      <c r="W16" s="860"/>
      <c r="X16" s="860"/>
      <c r="Y16" s="860"/>
      <c r="Z16" s="860"/>
      <c r="AA16" s="860"/>
      <c r="AB16" s="860"/>
      <c r="AC16" s="860"/>
      <c r="AD16" s="860"/>
      <c r="AE16" s="860"/>
      <c r="AF16" s="860"/>
      <c r="AG16" s="860"/>
      <c r="AH16" s="860"/>
      <c r="AI16" s="860"/>
      <c r="AJ16" s="860"/>
      <c r="AK16" s="860"/>
      <c r="AL16" s="860"/>
      <c r="AM16" s="860"/>
      <c r="AN16" s="860"/>
      <c r="AO16" s="860"/>
      <c r="AP16" s="860"/>
      <c r="AQ16" s="860"/>
      <c r="AR16" s="860"/>
      <c r="AS16" s="860"/>
      <c r="AT16" s="860"/>
      <c r="AU16" s="860"/>
      <c r="AV16" s="860"/>
      <c r="AW16" s="860"/>
      <c r="AX16" s="860"/>
      <c r="AY16" s="860"/>
      <c r="AZ16" s="860"/>
      <c r="BA16" s="972"/>
    </row>
    <row r="17" spans="1:171">
      <c r="B17" s="557">
        <f t="shared" si="2"/>
        <v>12</v>
      </c>
      <c r="C17" s="580">
        <v>40848</v>
      </c>
      <c r="D17" s="590">
        <f t="shared" si="0"/>
        <v>40877</v>
      </c>
      <c r="E17" s="595">
        <v>3876</v>
      </c>
      <c r="F17" s="326">
        <v>0</v>
      </c>
      <c r="G17" s="326">
        <f t="shared" si="1"/>
        <v>0</v>
      </c>
      <c r="H17" s="327">
        <f>SUM($E$6:E16)-SUM($F$6:G16)</f>
        <v>41363</v>
      </c>
      <c r="I17" s="617"/>
      <c r="J17" s="618"/>
      <c r="K17" s="330"/>
      <c r="L17" s="326"/>
      <c r="M17" s="326"/>
      <c r="N17" s="604"/>
      <c r="O17" s="860"/>
      <c r="P17" s="860"/>
      <c r="Q17" s="860"/>
      <c r="R17" s="860"/>
      <c r="S17" s="860"/>
      <c r="T17" s="860"/>
      <c r="U17" s="860"/>
      <c r="V17" s="860"/>
      <c r="W17" s="860"/>
      <c r="X17" s="860"/>
      <c r="Y17" s="860"/>
      <c r="Z17" s="860"/>
      <c r="AA17" s="860"/>
      <c r="AB17" s="860"/>
      <c r="AC17" s="860"/>
      <c r="AD17" s="860"/>
      <c r="AE17" s="860"/>
      <c r="AF17" s="860"/>
      <c r="AG17" s="860"/>
      <c r="AH17" s="860"/>
      <c r="AI17" s="860"/>
      <c r="AJ17" s="860"/>
      <c r="AK17" s="860"/>
      <c r="AL17" s="860"/>
      <c r="AM17" s="860"/>
      <c r="AN17" s="860"/>
      <c r="AO17" s="860"/>
      <c r="AP17" s="860"/>
      <c r="AQ17" s="860"/>
      <c r="AR17" s="860"/>
      <c r="AS17" s="860"/>
      <c r="AT17" s="860"/>
      <c r="AU17" s="860"/>
      <c r="AV17" s="860"/>
      <c r="AW17" s="860"/>
      <c r="AX17" s="860"/>
      <c r="AY17" s="860"/>
      <c r="AZ17" s="860"/>
      <c r="BA17" s="972"/>
    </row>
    <row r="18" spans="1:171">
      <c r="B18" s="557">
        <f t="shared" si="2"/>
        <v>13</v>
      </c>
      <c r="C18" s="580">
        <v>40878</v>
      </c>
      <c r="D18" s="590">
        <f t="shared" si="0"/>
        <v>40908</v>
      </c>
      <c r="E18" s="595">
        <v>5108</v>
      </c>
      <c r="F18" s="326">
        <v>0</v>
      </c>
      <c r="G18" s="326">
        <f t="shared" si="1"/>
        <v>0</v>
      </c>
      <c r="H18" s="327">
        <f>SUM($E$6:E17)-SUM($F$6:G17)</f>
        <v>45239</v>
      </c>
      <c r="I18" s="617"/>
      <c r="J18" s="618"/>
      <c r="K18" s="330"/>
      <c r="L18" s="326"/>
      <c r="M18" s="326"/>
      <c r="N18" s="604"/>
      <c r="O18" s="860"/>
      <c r="P18" s="860"/>
      <c r="Q18" s="860"/>
      <c r="R18" s="860"/>
      <c r="S18" s="860"/>
      <c r="T18" s="860"/>
      <c r="U18" s="860"/>
      <c r="V18" s="860"/>
      <c r="W18" s="860"/>
      <c r="X18" s="860"/>
      <c r="Y18" s="860"/>
      <c r="Z18" s="860"/>
      <c r="AA18" s="860"/>
      <c r="AB18" s="860"/>
      <c r="AC18" s="860"/>
      <c r="AD18" s="860"/>
      <c r="AE18" s="860"/>
      <c r="AF18" s="860"/>
      <c r="AG18" s="860"/>
      <c r="AH18" s="860"/>
      <c r="AI18" s="860"/>
      <c r="AJ18" s="860"/>
      <c r="AK18" s="860"/>
      <c r="AL18" s="860"/>
      <c r="AM18" s="860"/>
      <c r="AN18" s="860"/>
      <c r="AO18" s="860"/>
      <c r="AP18" s="860"/>
      <c r="AQ18" s="860"/>
      <c r="AR18" s="860"/>
      <c r="AS18" s="860"/>
      <c r="AT18" s="860"/>
      <c r="AU18" s="860"/>
      <c r="AV18" s="860"/>
      <c r="AW18" s="860"/>
      <c r="AX18" s="860"/>
      <c r="AY18" s="860"/>
      <c r="AZ18" s="860"/>
      <c r="BA18" s="972"/>
    </row>
    <row r="19" spans="1:171">
      <c r="B19" s="557">
        <f t="shared" si="2"/>
        <v>14</v>
      </c>
      <c r="C19" s="580">
        <v>40909</v>
      </c>
      <c r="D19" s="590">
        <f t="shared" si="0"/>
        <v>40939</v>
      </c>
      <c r="E19" s="595">
        <v>3079</v>
      </c>
      <c r="F19" s="326">
        <v>0</v>
      </c>
      <c r="G19" s="326">
        <f t="shared" si="1"/>
        <v>0</v>
      </c>
      <c r="H19" s="327">
        <f>SUM($E$6:E18)-SUM($F$6:G18)</f>
        <v>50347</v>
      </c>
      <c r="I19" s="617"/>
      <c r="J19" s="618"/>
      <c r="K19" s="330"/>
      <c r="L19" s="326"/>
      <c r="M19" s="326"/>
      <c r="N19" s="604"/>
      <c r="O19" s="860"/>
      <c r="P19" s="860"/>
      <c r="Q19" s="860"/>
      <c r="R19" s="860"/>
      <c r="S19" s="860"/>
      <c r="T19" s="860"/>
      <c r="U19" s="860"/>
      <c r="V19" s="860"/>
      <c r="W19" s="860"/>
      <c r="X19" s="860"/>
      <c r="Y19" s="860"/>
      <c r="Z19" s="860"/>
      <c r="AA19" s="860"/>
      <c r="AB19" s="860"/>
      <c r="AC19" s="860"/>
      <c r="AD19" s="860"/>
      <c r="AE19" s="860"/>
      <c r="AF19" s="860"/>
      <c r="AG19" s="860"/>
      <c r="AH19" s="860"/>
      <c r="AI19" s="860"/>
      <c r="AJ19" s="860"/>
      <c r="AK19" s="860"/>
      <c r="AL19" s="860"/>
      <c r="AM19" s="860"/>
      <c r="AN19" s="860"/>
      <c r="AO19" s="860"/>
      <c r="AP19" s="860"/>
      <c r="AQ19" s="860"/>
      <c r="AR19" s="860"/>
      <c r="AS19" s="860"/>
      <c r="AT19" s="860"/>
      <c r="AU19" s="860"/>
      <c r="AV19" s="860"/>
      <c r="AW19" s="860"/>
      <c r="AX19" s="860"/>
      <c r="AY19" s="860"/>
      <c r="AZ19" s="860"/>
      <c r="BA19" s="972"/>
    </row>
    <row r="20" spans="1:171">
      <c r="B20" s="557">
        <f t="shared" si="2"/>
        <v>15</v>
      </c>
      <c r="C20" s="580">
        <v>40940</v>
      </c>
      <c r="D20" s="590">
        <f t="shared" si="0"/>
        <v>40968</v>
      </c>
      <c r="E20" s="595">
        <v>3401</v>
      </c>
      <c r="F20" s="326">
        <v>0</v>
      </c>
      <c r="G20" s="326">
        <f t="shared" si="1"/>
        <v>0</v>
      </c>
      <c r="H20" s="327">
        <f>SUM($E$6:E19)-SUM($F$6:G19)</f>
        <v>53426</v>
      </c>
      <c r="I20" s="617"/>
      <c r="J20" s="618"/>
      <c r="K20" s="330"/>
      <c r="L20" s="326"/>
      <c r="M20" s="326"/>
      <c r="N20" s="604"/>
      <c r="O20" s="860"/>
      <c r="P20" s="860"/>
      <c r="Q20" s="860"/>
      <c r="R20" s="860"/>
      <c r="S20" s="860"/>
      <c r="T20" s="860"/>
      <c r="U20" s="860"/>
      <c r="V20" s="860"/>
      <c r="W20" s="860"/>
      <c r="X20" s="860"/>
      <c r="Y20" s="860"/>
      <c r="Z20" s="860"/>
      <c r="AA20" s="860"/>
      <c r="AB20" s="860"/>
      <c r="AC20" s="860"/>
      <c r="AD20" s="860"/>
      <c r="AE20" s="860"/>
      <c r="AF20" s="860"/>
      <c r="AG20" s="860"/>
      <c r="AH20" s="860"/>
      <c r="AI20" s="860"/>
      <c r="AJ20" s="860"/>
      <c r="AK20" s="860"/>
      <c r="AL20" s="860"/>
      <c r="AM20" s="860"/>
      <c r="AN20" s="860"/>
      <c r="AO20" s="860"/>
      <c r="AP20" s="860"/>
      <c r="AQ20" s="860"/>
      <c r="AR20" s="860"/>
      <c r="AS20" s="860"/>
      <c r="AT20" s="860"/>
      <c r="AU20" s="860"/>
      <c r="AV20" s="860"/>
      <c r="AW20" s="860"/>
      <c r="AX20" s="860"/>
      <c r="AY20" s="860"/>
      <c r="AZ20" s="860"/>
      <c r="BA20" s="972"/>
    </row>
    <row r="21" spans="1:171">
      <c r="B21" s="557">
        <f t="shared" si="2"/>
        <v>16</v>
      </c>
      <c r="C21" s="580">
        <v>40969</v>
      </c>
      <c r="D21" s="590">
        <f t="shared" si="0"/>
        <v>40999</v>
      </c>
      <c r="E21" s="595">
        <v>3124</v>
      </c>
      <c r="F21" s="326">
        <v>0</v>
      </c>
      <c r="G21" s="326">
        <f t="shared" si="1"/>
        <v>0</v>
      </c>
      <c r="H21" s="327">
        <f>SUM($E$6:E20)-SUM($F$6:G20)</f>
        <v>56827</v>
      </c>
      <c r="I21" s="617"/>
      <c r="J21" s="618"/>
      <c r="K21" s="330"/>
      <c r="L21" s="326"/>
      <c r="M21" s="326"/>
      <c r="N21" s="604"/>
      <c r="O21" s="860"/>
      <c r="P21" s="860"/>
      <c r="Q21" s="860"/>
      <c r="R21" s="860"/>
      <c r="S21" s="860"/>
      <c r="T21" s="860"/>
      <c r="U21" s="860"/>
      <c r="V21" s="860"/>
      <c r="W21" s="860"/>
      <c r="X21" s="860"/>
      <c r="Y21" s="860"/>
      <c r="Z21" s="860"/>
      <c r="AA21" s="860"/>
      <c r="AB21" s="860"/>
      <c r="AC21" s="860"/>
      <c r="AD21" s="860"/>
      <c r="AE21" s="860"/>
      <c r="AF21" s="860"/>
      <c r="AG21" s="860"/>
      <c r="AH21" s="860"/>
      <c r="AI21" s="860"/>
      <c r="AJ21" s="860"/>
      <c r="AK21" s="860"/>
      <c r="AL21" s="860"/>
      <c r="AM21" s="860"/>
      <c r="AN21" s="860"/>
      <c r="AO21" s="860"/>
      <c r="AP21" s="860"/>
      <c r="AQ21" s="860"/>
      <c r="AR21" s="860"/>
      <c r="AS21" s="860"/>
      <c r="AT21" s="860"/>
      <c r="AU21" s="860"/>
      <c r="AV21" s="860"/>
      <c r="AW21" s="860"/>
      <c r="AX21" s="860"/>
      <c r="AY21" s="860"/>
      <c r="AZ21" s="860"/>
      <c r="BA21" s="972"/>
    </row>
    <row r="22" spans="1:171">
      <c r="B22" s="557">
        <f t="shared" si="2"/>
        <v>17</v>
      </c>
      <c r="C22" s="580">
        <v>41000</v>
      </c>
      <c r="D22" s="590">
        <f t="shared" si="0"/>
        <v>41029</v>
      </c>
      <c r="E22" s="595">
        <v>2959</v>
      </c>
      <c r="F22" s="326">
        <v>0</v>
      </c>
      <c r="G22" s="326">
        <f t="shared" si="1"/>
        <v>0</v>
      </c>
      <c r="H22" s="327">
        <f>SUM($E$6:E21)-SUM($F$6:G21)</f>
        <v>59951</v>
      </c>
      <c r="I22" s="617"/>
      <c r="J22" s="618"/>
      <c r="K22" s="330"/>
      <c r="L22" s="326"/>
      <c r="M22" s="326"/>
      <c r="N22" s="604"/>
      <c r="O22" s="860"/>
      <c r="P22" s="860"/>
      <c r="Q22" s="860"/>
      <c r="R22" s="860"/>
      <c r="S22" s="860"/>
      <c r="T22" s="860"/>
      <c r="U22" s="860"/>
      <c r="V22" s="860"/>
      <c r="W22" s="860"/>
      <c r="X22" s="860"/>
      <c r="Y22" s="860"/>
      <c r="Z22" s="860"/>
      <c r="AA22" s="860"/>
      <c r="AB22" s="860"/>
      <c r="AC22" s="860"/>
      <c r="AD22" s="860"/>
      <c r="AE22" s="860"/>
      <c r="AF22" s="860"/>
      <c r="AG22" s="860"/>
      <c r="AH22" s="860"/>
      <c r="AI22" s="860"/>
      <c r="AJ22" s="860"/>
      <c r="AK22" s="860"/>
      <c r="AL22" s="860"/>
      <c r="AM22" s="860"/>
      <c r="AN22" s="860"/>
      <c r="AO22" s="860"/>
      <c r="AP22" s="860"/>
      <c r="AQ22" s="860"/>
      <c r="AR22" s="860"/>
      <c r="AS22" s="860"/>
      <c r="AT22" s="860"/>
      <c r="AU22" s="860"/>
      <c r="AV22" s="860"/>
      <c r="AW22" s="860"/>
      <c r="AX22" s="860"/>
      <c r="AY22" s="860"/>
      <c r="AZ22" s="860"/>
      <c r="BA22" s="972"/>
    </row>
    <row r="23" spans="1:171" s="492" customFormat="1">
      <c r="A23" s="538"/>
      <c r="B23" s="557">
        <f t="shared" si="2"/>
        <v>18</v>
      </c>
      <c r="C23" s="580">
        <v>41030</v>
      </c>
      <c r="D23" s="590">
        <f t="shared" si="0"/>
        <v>41060</v>
      </c>
      <c r="E23" s="595">
        <v>3655</v>
      </c>
      <c r="F23" s="326">
        <v>0</v>
      </c>
      <c r="G23" s="326">
        <f t="shared" si="1"/>
        <v>0</v>
      </c>
      <c r="H23" s="327">
        <f>SUM($E$6:E22)-SUM($F$6:G22)</f>
        <v>62910</v>
      </c>
      <c r="I23" s="617"/>
      <c r="J23" s="618"/>
      <c r="K23" s="330"/>
      <c r="L23" s="326"/>
      <c r="M23" s="326"/>
      <c r="N23" s="604"/>
      <c r="O23" s="860"/>
      <c r="P23" s="860"/>
      <c r="Q23" s="860"/>
      <c r="R23" s="860"/>
      <c r="S23" s="860"/>
      <c r="T23" s="860"/>
      <c r="U23" s="860"/>
      <c r="V23" s="860"/>
      <c r="W23" s="860"/>
      <c r="X23" s="860"/>
      <c r="Y23" s="860"/>
      <c r="Z23" s="860"/>
      <c r="AA23" s="860"/>
      <c r="AB23" s="860"/>
      <c r="AC23" s="860"/>
      <c r="AD23" s="860"/>
      <c r="AE23" s="860"/>
      <c r="AF23" s="860"/>
      <c r="AG23" s="860"/>
      <c r="AH23" s="860"/>
      <c r="AI23" s="860"/>
      <c r="AJ23" s="860"/>
      <c r="AK23" s="860"/>
      <c r="AL23" s="860"/>
      <c r="AM23" s="860"/>
      <c r="AN23" s="860"/>
      <c r="AO23" s="860"/>
      <c r="AP23" s="860"/>
      <c r="AQ23" s="860"/>
      <c r="AR23" s="860"/>
      <c r="AS23" s="860"/>
      <c r="AT23" s="860"/>
      <c r="AU23" s="860"/>
      <c r="AV23" s="860"/>
      <c r="AW23" s="860"/>
      <c r="AX23" s="860"/>
      <c r="AY23" s="860"/>
      <c r="AZ23" s="860"/>
      <c r="BA23" s="972"/>
      <c r="BB23" s="538"/>
      <c r="BC23" s="538"/>
      <c r="BD23" s="538"/>
      <c r="BE23" s="538"/>
      <c r="BF23" s="538"/>
      <c r="BG23" s="538"/>
      <c r="BH23" s="538"/>
      <c r="BI23" s="538"/>
      <c r="BJ23" s="538"/>
      <c r="BK23" s="538"/>
      <c r="BL23" s="538"/>
      <c r="BM23" s="538"/>
      <c r="BN23" s="538"/>
      <c r="BO23" s="538"/>
      <c r="BP23" s="863"/>
      <c r="BQ23" s="863"/>
      <c r="BR23" s="863"/>
      <c r="BS23" s="863"/>
      <c r="BT23" s="863"/>
      <c r="BU23" s="863"/>
      <c r="BV23" s="863"/>
      <c r="BW23" s="863"/>
      <c r="BX23" s="863"/>
      <c r="BY23" s="863"/>
      <c r="BZ23" s="863"/>
      <c r="CA23" s="863"/>
      <c r="CB23" s="863"/>
      <c r="CC23" s="863"/>
      <c r="CD23" s="863"/>
      <c r="CE23" s="863"/>
      <c r="CF23" s="863"/>
      <c r="CG23" s="863"/>
      <c r="CH23" s="863"/>
      <c r="CI23" s="863"/>
      <c r="CJ23" s="863"/>
      <c r="CK23" s="863"/>
      <c r="CL23" s="863"/>
      <c r="CM23" s="863"/>
      <c r="CN23" s="863"/>
      <c r="CO23" s="863"/>
      <c r="CP23" s="863"/>
      <c r="CQ23" s="863"/>
      <c r="CR23" s="863"/>
      <c r="CS23" s="863"/>
      <c r="CT23" s="863"/>
      <c r="CU23" s="863"/>
      <c r="CV23" s="863"/>
      <c r="CW23" s="863"/>
      <c r="CX23" s="863"/>
      <c r="CY23" s="863"/>
      <c r="CZ23" s="863"/>
      <c r="DA23" s="863"/>
      <c r="DB23" s="863"/>
      <c r="DC23" s="863"/>
      <c r="DD23" s="863"/>
      <c r="DE23" s="863"/>
      <c r="DF23" s="863"/>
      <c r="DG23" s="863"/>
      <c r="DH23" s="863"/>
      <c r="DI23" s="863"/>
      <c r="DJ23" s="863"/>
      <c r="DK23" s="863"/>
      <c r="DL23" s="863"/>
      <c r="DM23" s="863"/>
      <c r="DN23" s="863"/>
      <c r="DO23" s="863"/>
      <c r="DP23" s="863"/>
      <c r="DQ23" s="863"/>
      <c r="DR23" s="863"/>
      <c r="DS23" s="863"/>
      <c r="DT23" s="863"/>
      <c r="DU23" s="863"/>
      <c r="DV23" s="863"/>
      <c r="DW23" s="863"/>
      <c r="DX23" s="863"/>
      <c r="DY23" s="863"/>
      <c r="DZ23" s="863"/>
      <c r="EA23" s="863"/>
      <c r="EB23" s="863"/>
      <c r="EC23" s="863"/>
      <c r="ED23" s="863"/>
      <c r="EE23" s="863"/>
      <c r="EF23" s="863"/>
      <c r="EG23" s="863"/>
      <c r="EH23" s="863"/>
      <c r="EI23" s="863"/>
      <c r="EJ23" s="863"/>
      <c r="EK23" s="863"/>
      <c r="EL23" s="863"/>
      <c r="EM23" s="863"/>
      <c r="EN23" s="863"/>
      <c r="EO23" s="863"/>
      <c r="EP23" s="863"/>
      <c r="EQ23" s="863"/>
      <c r="ER23" s="863"/>
      <c r="ES23" s="863"/>
      <c r="ET23" s="863"/>
      <c r="EU23" s="863"/>
      <c r="EV23" s="863"/>
      <c r="EW23" s="863"/>
      <c r="EX23" s="863"/>
      <c r="EY23" s="863"/>
      <c r="EZ23" s="863"/>
      <c r="FA23" s="863"/>
      <c r="FB23" s="863"/>
      <c r="FC23" s="863"/>
      <c r="FD23" s="863"/>
      <c r="FE23" s="863"/>
      <c r="FF23" s="863"/>
      <c r="FG23" s="863"/>
      <c r="FH23" s="863"/>
      <c r="FI23" s="863"/>
      <c r="FJ23" s="863"/>
      <c r="FK23" s="863"/>
      <c r="FL23" s="863"/>
      <c r="FM23" s="863"/>
      <c r="FN23" s="863"/>
      <c r="FO23" s="863"/>
    </row>
    <row r="24" spans="1:171">
      <c r="B24" s="557">
        <f t="shared" si="2"/>
        <v>19</v>
      </c>
      <c r="C24" s="580">
        <v>41061</v>
      </c>
      <c r="D24" s="590">
        <f t="shared" si="0"/>
        <v>41090</v>
      </c>
      <c r="E24" s="595">
        <v>5655</v>
      </c>
      <c r="F24" s="326">
        <v>0</v>
      </c>
      <c r="G24" s="326">
        <f t="shared" si="1"/>
        <v>0</v>
      </c>
      <c r="H24" s="327">
        <f>SUM($E$6:E23)-SUM($F$6:G23)</f>
        <v>66565</v>
      </c>
      <c r="I24" s="617"/>
      <c r="J24" s="618"/>
      <c r="K24" s="330"/>
      <c r="L24" s="326"/>
      <c r="M24" s="326"/>
      <c r="N24" s="604"/>
      <c r="O24" s="860"/>
      <c r="P24" s="860"/>
      <c r="Q24" s="860"/>
      <c r="R24" s="860"/>
      <c r="S24" s="860"/>
      <c r="T24" s="860"/>
      <c r="U24" s="860"/>
      <c r="V24" s="860"/>
      <c r="W24" s="860"/>
      <c r="X24" s="860"/>
      <c r="Y24" s="860"/>
      <c r="Z24" s="860"/>
      <c r="AA24" s="860"/>
      <c r="AB24" s="860"/>
      <c r="AC24" s="860"/>
      <c r="AD24" s="860"/>
      <c r="AE24" s="860"/>
      <c r="AF24" s="860"/>
      <c r="AG24" s="860"/>
      <c r="AH24" s="860"/>
      <c r="AI24" s="860"/>
      <c r="AJ24" s="860"/>
      <c r="AK24" s="860"/>
      <c r="AL24" s="860"/>
      <c r="AM24" s="860"/>
      <c r="AN24" s="860"/>
      <c r="AO24" s="860"/>
      <c r="AP24" s="860"/>
      <c r="AQ24" s="860"/>
      <c r="AR24" s="860"/>
      <c r="AS24" s="860"/>
      <c r="AT24" s="860"/>
      <c r="AU24" s="860"/>
      <c r="AV24" s="860"/>
      <c r="AW24" s="860"/>
      <c r="AX24" s="860"/>
      <c r="AY24" s="860"/>
      <c r="AZ24" s="860"/>
      <c r="BA24" s="972"/>
    </row>
    <row r="25" spans="1:171">
      <c r="B25" s="557">
        <f t="shared" si="2"/>
        <v>20</v>
      </c>
      <c r="C25" s="580">
        <v>41091</v>
      </c>
      <c r="D25" s="590">
        <f t="shared" si="0"/>
        <v>41121</v>
      </c>
      <c r="E25" s="595">
        <v>2069</v>
      </c>
      <c r="F25" s="326">
        <v>0</v>
      </c>
      <c r="G25" s="326">
        <f t="shared" si="1"/>
        <v>0</v>
      </c>
      <c r="H25" s="327">
        <f>SUM($E$6:E24)-SUM($F$6:G24)</f>
        <v>72220</v>
      </c>
      <c r="I25" s="617"/>
      <c r="J25" s="618"/>
      <c r="K25" s="330"/>
      <c r="L25" s="326"/>
      <c r="M25" s="326"/>
      <c r="N25" s="604"/>
      <c r="O25" s="860"/>
      <c r="P25" s="860"/>
      <c r="Q25" s="860"/>
      <c r="R25" s="860"/>
      <c r="S25" s="860"/>
      <c r="T25" s="860"/>
      <c r="U25" s="860"/>
      <c r="V25" s="860"/>
      <c r="W25" s="860"/>
      <c r="X25" s="860"/>
      <c r="Y25" s="860"/>
      <c r="Z25" s="860"/>
      <c r="AA25" s="860"/>
      <c r="AB25" s="860"/>
      <c r="AC25" s="860"/>
      <c r="AD25" s="860"/>
      <c r="AE25" s="860"/>
      <c r="AF25" s="860"/>
      <c r="AG25" s="860"/>
      <c r="AH25" s="860"/>
      <c r="AI25" s="860"/>
      <c r="AJ25" s="860"/>
      <c r="AK25" s="860"/>
      <c r="AL25" s="860"/>
      <c r="AM25" s="860"/>
      <c r="AN25" s="860"/>
      <c r="AO25" s="860"/>
      <c r="AP25" s="860"/>
      <c r="AQ25" s="860"/>
      <c r="AR25" s="860"/>
      <c r="AS25" s="860"/>
      <c r="AT25" s="860"/>
      <c r="AU25" s="860"/>
      <c r="AV25" s="860"/>
      <c r="AW25" s="860"/>
      <c r="AX25" s="860"/>
      <c r="AY25" s="860"/>
      <c r="AZ25" s="860"/>
      <c r="BA25" s="972"/>
    </row>
    <row r="26" spans="1:171">
      <c r="B26" s="557">
        <f t="shared" si="2"/>
        <v>21</v>
      </c>
      <c r="C26" s="580">
        <v>41122</v>
      </c>
      <c r="D26" s="590">
        <f t="shared" si="0"/>
        <v>41152</v>
      </c>
      <c r="E26" s="595">
        <v>3996</v>
      </c>
      <c r="F26" s="326">
        <v>0</v>
      </c>
      <c r="G26" s="326">
        <f t="shared" si="1"/>
        <v>0</v>
      </c>
      <c r="H26" s="327">
        <f>SUM($E$6:E25)-SUM($F$6:G25)</f>
        <v>74289</v>
      </c>
      <c r="I26" s="617"/>
      <c r="J26" s="618"/>
      <c r="K26" s="330"/>
      <c r="L26" s="326"/>
      <c r="M26" s="326"/>
      <c r="N26" s="604"/>
      <c r="O26" s="860"/>
      <c r="P26" s="860"/>
      <c r="Q26" s="860"/>
      <c r="R26" s="860"/>
      <c r="S26" s="860"/>
      <c r="T26" s="860"/>
      <c r="U26" s="860"/>
      <c r="V26" s="860"/>
      <c r="W26" s="860"/>
      <c r="X26" s="860"/>
      <c r="Y26" s="860"/>
      <c r="Z26" s="860"/>
      <c r="AA26" s="860"/>
      <c r="AB26" s="860"/>
      <c r="AC26" s="860"/>
      <c r="AD26" s="860"/>
      <c r="AE26" s="860"/>
      <c r="AF26" s="860"/>
      <c r="AG26" s="860"/>
      <c r="AH26" s="860"/>
      <c r="AI26" s="860"/>
      <c r="AJ26" s="860"/>
      <c r="AK26" s="860"/>
      <c r="AL26" s="860"/>
      <c r="AM26" s="860"/>
      <c r="AN26" s="860"/>
      <c r="AO26" s="860"/>
      <c r="AP26" s="860"/>
      <c r="AQ26" s="860"/>
      <c r="AR26" s="860"/>
      <c r="AS26" s="860"/>
      <c r="AT26" s="860"/>
      <c r="AU26" s="860"/>
      <c r="AV26" s="860"/>
      <c r="AW26" s="860"/>
      <c r="AX26" s="860"/>
      <c r="AY26" s="860"/>
      <c r="AZ26" s="860"/>
      <c r="BA26" s="972"/>
    </row>
    <row r="27" spans="1:171">
      <c r="B27" s="557">
        <f t="shared" si="2"/>
        <v>22</v>
      </c>
      <c r="C27" s="580">
        <v>41153</v>
      </c>
      <c r="D27" s="590">
        <f t="shared" si="0"/>
        <v>41182</v>
      </c>
      <c r="E27" s="595">
        <v>3328</v>
      </c>
      <c r="F27" s="326">
        <v>0</v>
      </c>
      <c r="G27" s="326">
        <f t="shared" si="1"/>
        <v>0</v>
      </c>
      <c r="H27" s="327">
        <f>SUM($E$6:E26)-SUM($F$6:G26)</f>
        <v>78285</v>
      </c>
      <c r="I27" s="617"/>
      <c r="J27" s="618"/>
      <c r="K27" s="330"/>
      <c r="L27" s="326"/>
      <c r="M27" s="326"/>
      <c r="N27" s="604"/>
      <c r="O27" s="860"/>
      <c r="P27" s="860"/>
      <c r="Q27" s="860"/>
      <c r="R27" s="860"/>
      <c r="S27" s="860"/>
      <c r="T27" s="860"/>
      <c r="U27" s="860"/>
      <c r="V27" s="860"/>
      <c r="W27" s="860"/>
      <c r="X27" s="860"/>
      <c r="Y27" s="860"/>
      <c r="Z27" s="860"/>
      <c r="AA27" s="860"/>
      <c r="AB27" s="860"/>
      <c r="AC27" s="860"/>
      <c r="AD27" s="860"/>
      <c r="AE27" s="860"/>
      <c r="AF27" s="860"/>
      <c r="AG27" s="860"/>
      <c r="AH27" s="860"/>
      <c r="AI27" s="860"/>
      <c r="AJ27" s="860"/>
      <c r="AK27" s="860"/>
      <c r="AL27" s="860"/>
      <c r="AM27" s="860"/>
      <c r="AN27" s="860"/>
      <c r="AO27" s="860"/>
      <c r="AP27" s="860"/>
      <c r="AQ27" s="860"/>
      <c r="AR27" s="860"/>
      <c r="AS27" s="860"/>
      <c r="AT27" s="860"/>
      <c r="AU27" s="860"/>
      <c r="AV27" s="860"/>
      <c r="AW27" s="860"/>
      <c r="AX27" s="860"/>
      <c r="AY27" s="860"/>
      <c r="AZ27" s="860"/>
      <c r="BA27" s="972"/>
    </row>
    <row r="28" spans="1:171">
      <c r="B28" s="557">
        <f t="shared" si="2"/>
        <v>23</v>
      </c>
      <c r="C28" s="580">
        <v>41183</v>
      </c>
      <c r="D28" s="590">
        <f t="shared" si="0"/>
        <v>41213</v>
      </c>
      <c r="E28" s="595">
        <v>7729</v>
      </c>
      <c r="F28" s="326">
        <v>0</v>
      </c>
      <c r="G28" s="326">
        <f t="shared" si="1"/>
        <v>0</v>
      </c>
      <c r="H28" s="327">
        <f>SUM($E$6:E27)-SUM($F$6:G27)</f>
        <v>81613</v>
      </c>
      <c r="I28" s="617"/>
      <c r="J28" s="618"/>
      <c r="K28" s="330"/>
      <c r="L28" s="326"/>
      <c r="M28" s="326"/>
      <c r="N28" s="604"/>
      <c r="O28" s="860"/>
      <c r="P28" s="860"/>
      <c r="Q28" s="860"/>
      <c r="R28" s="860"/>
      <c r="S28" s="860"/>
      <c r="T28" s="860"/>
      <c r="U28" s="860"/>
      <c r="V28" s="860"/>
      <c r="W28" s="860"/>
      <c r="X28" s="860"/>
      <c r="Y28" s="860"/>
      <c r="Z28" s="860"/>
      <c r="AA28" s="860"/>
      <c r="AB28" s="860"/>
      <c r="AC28" s="860"/>
      <c r="AD28" s="860"/>
      <c r="AE28" s="860"/>
      <c r="AF28" s="860"/>
      <c r="AG28" s="860"/>
      <c r="AH28" s="860"/>
      <c r="AI28" s="860"/>
      <c r="AJ28" s="860"/>
      <c r="AK28" s="860"/>
      <c r="AL28" s="860"/>
      <c r="AM28" s="860"/>
      <c r="AN28" s="860"/>
      <c r="AO28" s="860"/>
      <c r="AP28" s="860"/>
      <c r="AQ28" s="860"/>
      <c r="AR28" s="860"/>
      <c r="AS28" s="860"/>
      <c r="AT28" s="860"/>
      <c r="AU28" s="860"/>
      <c r="AV28" s="860"/>
      <c r="AW28" s="860"/>
      <c r="AX28" s="860"/>
      <c r="AY28" s="860"/>
      <c r="AZ28" s="860"/>
      <c r="BA28" s="972"/>
    </row>
    <row r="29" spans="1:171">
      <c r="B29" s="557">
        <f t="shared" si="2"/>
        <v>24</v>
      </c>
      <c r="C29" s="580">
        <v>41214</v>
      </c>
      <c r="D29" s="590">
        <f t="shared" si="0"/>
        <v>41243</v>
      </c>
      <c r="E29" s="595">
        <v>4556</v>
      </c>
      <c r="F29" s="326">
        <v>0</v>
      </c>
      <c r="G29" s="326">
        <f t="shared" si="1"/>
        <v>0</v>
      </c>
      <c r="H29" s="327">
        <f>SUM($E$6:E28)-SUM($F$6:G28)</f>
        <v>89342</v>
      </c>
      <c r="I29" s="617"/>
      <c r="J29" s="618"/>
      <c r="K29" s="330"/>
      <c r="L29" s="326"/>
      <c r="M29" s="326"/>
      <c r="N29" s="604"/>
      <c r="O29" s="860"/>
      <c r="P29" s="860"/>
      <c r="Q29" s="860"/>
      <c r="R29" s="860"/>
      <c r="S29" s="860"/>
      <c r="T29" s="860"/>
      <c r="U29" s="860"/>
      <c r="V29" s="860"/>
      <c r="W29" s="860"/>
      <c r="X29" s="860"/>
      <c r="Y29" s="860"/>
      <c r="Z29" s="860"/>
      <c r="AA29" s="860"/>
      <c r="AB29" s="860"/>
      <c r="AC29" s="860"/>
      <c r="AD29" s="860"/>
      <c r="AE29" s="860"/>
      <c r="AF29" s="860"/>
      <c r="AG29" s="860"/>
      <c r="AH29" s="860"/>
      <c r="AI29" s="860"/>
      <c r="AJ29" s="860"/>
      <c r="AK29" s="860"/>
      <c r="AL29" s="860"/>
      <c r="AM29" s="860"/>
      <c r="AN29" s="860"/>
      <c r="AO29" s="860"/>
      <c r="AP29" s="860"/>
      <c r="AQ29" s="860"/>
      <c r="AR29" s="860"/>
      <c r="AS29" s="860"/>
      <c r="AT29" s="860"/>
      <c r="AU29" s="860"/>
      <c r="AV29" s="860"/>
      <c r="AW29" s="860"/>
      <c r="AX29" s="860"/>
      <c r="AY29" s="860"/>
      <c r="AZ29" s="860"/>
      <c r="BA29" s="972"/>
    </row>
    <row r="30" spans="1:171">
      <c r="B30" s="557">
        <f t="shared" si="2"/>
        <v>25</v>
      </c>
      <c r="C30" s="580">
        <v>41244</v>
      </c>
      <c r="D30" s="590">
        <f t="shared" si="0"/>
        <v>41274</v>
      </c>
      <c r="E30" s="595">
        <v>2901</v>
      </c>
      <c r="F30" s="326">
        <v>0</v>
      </c>
      <c r="G30" s="326">
        <f t="shared" si="1"/>
        <v>0</v>
      </c>
      <c r="H30" s="327">
        <f>SUM($E$6:E29)-SUM($F$6:G29)</f>
        <v>93898</v>
      </c>
      <c r="I30" s="617"/>
      <c r="J30" s="618"/>
      <c r="K30" s="330"/>
      <c r="L30" s="326"/>
      <c r="M30" s="326"/>
      <c r="N30" s="604"/>
      <c r="O30" s="860"/>
      <c r="P30" s="860"/>
      <c r="Q30" s="860"/>
      <c r="R30" s="860"/>
      <c r="S30" s="860"/>
      <c r="T30" s="860"/>
      <c r="U30" s="860"/>
      <c r="V30" s="860"/>
      <c r="W30" s="860"/>
      <c r="X30" s="860"/>
      <c r="Y30" s="860"/>
      <c r="Z30" s="860"/>
      <c r="AA30" s="860"/>
      <c r="AB30" s="860"/>
      <c r="AC30" s="860"/>
      <c r="AD30" s="860"/>
      <c r="AE30" s="860"/>
      <c r="AF30" s="860"/>
      <c r="AG30" s="860"/>
      <c r="AH30" s="860"/>
      <c r="AI30" s="860"/>
      <c r="AJ30" s="860"/>
      <c r="AK30" s="860"/>
      <c r="AL30" s="860"/>
      <c r="AM30" s="860"/>
      <c r="AN30" s="860"/>
      <c r="AO30" s="860"/>
      <c r="AP30" s="860"/>
      <c r="AQ30" s="860"/>
      <c r="AR30" s="860"/>
      <c r="AS30" s="860"/>
      <c r="AT30" s="860"/>
      <c r="AU30" s="860"/>
      <c r="AV30" s="860"/>
      <c r="AW30" s="860"/>
      <c r="AX30" s="860"/>
      <c r="AY30" s="860"/>
      <c r="AZ30" s="860"/>
      <c r="BA30" s="972"/>
    </row>
    <row r="31" spans="1:171">
      <c r="B31" s="557">
        <f t="shared" si="2"/>
        <v>26</v>
      </c>
      <c r="C31" s="580">
        <v>41275</v>
      </c>
      <c r="D31" s="590">
        <f t="shared" si="0"/>
        <v>41305</v>
      </c>
      <c r="E31" s="595">
        <v>2707</v>
      </c>
      <c r="F31" s="326">
        <v>3929</v>
      </c>
      <c r="G31" s="326">
        <f t="shared" si="1"/>
        <v>0</v>
      </c>
      <c r="H31" s="327">
        <f>SUM($E$6:E30)-SUM($F$6:G30)</f>
        <v>96799</v>
      </c>
      <c r="I31" s="617"/>
      <c r="J31" s="618"/>
      <c r="K31" s="330"/>
      <c r="L31" s="326"/>
      <c r="M31" s="326"/>
      <c r="N31" s="604"/>
      <c r="O31" s="860"/>
      <c r="P31" s="860"/>
      <c r="Q31" s="860"/>
      <c r="R31" s="860"/>
      <c r="S31" s="860"/>
      <c r="T31" s="860"/>
      <c r="U31" s="860"/>
      <c r="V31" s="860"/>
      <c r="W31" s="860"/>
      <c r="X31" s="860"/>
      <c r="Y31" s="860"/>
      <c r="Z31" s="860"/>
      <c r="AA31" s="860"/>
      <c r="AB31" s="860"/>
      <c r="AC31" s="860"/>
      <c r="AD31" s="860"/>
      <c r="AE31" s="860"/>
      <c r="AF31" s="860"/>
      <c r="AG31" s="860"/>
      <c r="AH31" s="860"/>
      <c r="AI31" s="860"/>
      <c r="AJ31" s="860"/>
      <c r="AK31" s="860"/>
      <c r="AL31" s="860"/>
      <c r="AM31" s="860"/>
      <c r="AN31" s="860"/>
      <c r="AO31" s="860"/>
      <c r="AP31" s="860"/>
      <c r="AQ31" s="860"/>
      <c r="AR31" s="860"/>
      <c r="AS31" s="860"/>
      <c r="AT31" s="860"/>
      <c r="AU31" s="860"/>
      <c r="AV31" s="860"/>
      <c r="AW31" s="860"/>
      <c r="AX31" s="860"/>
      <c r="AY31" s="860"/>
      <c r="AZ31" s="860"/>
      <c r="BA31" s="972"/>
    </row>
    <row r="32" spans="1:171">
      <c r="B32" s="557">
        <f t="shared" si="2"/>
        <v>27</v>
      </c>
      <c r="C32" s="580">
        <v>41306</v>
      </c>
      <c r="D32" s="590">
        <f t="shared" si="0"/>
        <v>41333</v>
      </c>
      <c r="E32" s="595">
        <v>3447</v>
      </c>
      <c r="F32" s="326">
        <v>1219</v>
      </c>
      <c r="G32" s="326">
        <f t="shared" si="1"/>
        <v>0</v>
      </c>
      <c r="H32" s="327">
        <f>SUM($E$6:E31)-SUM($F$6:G31)</f>
        <v>95577</v>
      </c>
      <c r="I32" s="617"/>
      <c r="J32" s="618"/>
      <c r="K32" s="330"/>
      <c r="L32" s="326"/>
      <c r="M32" s="326"/>
      <c r="N32" s="604"/>
      <c r="O32" s="860"/>
      <c r="P32" s="860"/>
      <c r="Q32" s="860"/>
      <c r="R32" s="860"/>
      <c r="S32" s="860"/>
      <c r="T32" s="860"/>
      <c r="U32" s="860"/>
      <c r="V32" s="860"/>
      <c r="W32" s="860"/>
      <c r="X32" s="860"/>
      <c r="Y32" s="860"/>
      <c r="Z32" s="860"/>
      <c r="AA32" s="860"/>
      <c r="AB32" s="860"/>
      <c r="AC32" s="860"/>
      <c r="AD32" s="860"/>
      <c r="AE32" s="860"/>
      <c r="AF32" s="860"/>
      <c r="AG32" s="860"/>
      <c r="AH32" s="860"/>
      <c r="AI32" s="860"/>
      <c r="AJ32" s="860"/>
      <c r="AK32" s="860"/>
      <c r="AL32" s="860"/>
      <c r="AM32" s="860"/>
      <c r="AN32" s="860"/>
      <c r="AO32" s="860"/>
      <c r="AP32" s="860"/>
      <c r="AQ32" s="860"/>
      <c r="AR32" s="860"/>
      <c r="AS32" s="860"/>
      <c r="AT32" s="860"/>
      <c r="AU32" s="860"/>
      <c r="AV32" s="860"/>
      <c r="AW32" s="860"/>
      <c r="AX32" s="860"/>
      <c r="AY32" s="860"/>
      <c r="AZ32" s="860"/>
      <c r="BA32" s="972"/>
    </row>
    <row r="33" spans="1:171">
      <c r="B33" s="557">
        <f t="shared" si="2"/>
        <v>28</v>
      </c>
      <c r="C33" s="580">
        <v>41334</v>
      </c>
      <c r="D33" s="590">
        <f t="shared" si="0"/>
        <v>41364</v>
      </c>
      <c r="E33" s="595">
        <v>4511</v>
      </c>
      <c r="F33" s="326">
        <v>4260</v>
      </c>
      <c r="G33" s="326">
        <f t="shared" si="1"/>
        <v>0</v>
      </c>
      <c r="H33" s="327">
        <f>SUM($E$6:E32)-SUM($F$6:G32)</f>
        <v>97805</v>
      </c>
      <c r="I33" s="617"/>
      <c r="J33" s="618"/>
      <c r="K33" s="330"/>
      <c r="L33" s="326"/>
      <c r="M33" s="326"/>
      <c r="N33" s="604"/>
      <c r="O33" s="860"/>
      <c r="P33" s="860"/>
      <c r="Q33" s="860"/>
      <c r="R33" s="860"/>
      <c r="S33" s="860"/>
      <c r="T33" s="860"/>
      <c r="U33" s="860"/>
      <c r="V33" s="860"/>
      <c r="W33" s="860"/>
      <c r="X33" s="860"/>
      <c r="Y33" s="860"/>
      <c r="Z33" s="860"/>
      <c r="AA33" s="860"/>
      <c r="AB33" s="860"/>
      <c r="AC33" s="860"/>
      <c r="AD33" s="860"/>
      <c r="AE33" s="860"/>
      <c r="AF33" s="860"/>
      <c r="AG33" s="860"/>
      <c r="AH33" s="860"/>
      <c r="AI33" s="860"/>
      <c r="AJ33" s="860"/>
      <c r="AK33" s="860"/>
      <c r="AL33" s="860"/>
      <c r="AM33" s="860"/>
      <c r="AN33" s="860"/>
      <c r="AO33" s="860"/>
      <c r="AP33" s="860"/>
      <c r="AQ33" s="860"/>
      <c r="AR33" s="860"/>
      <c r="AS33" s="860"/>
      <c r="AT33" s="860"/>
      <c r="AU33" s="860"/>
      <c r="AV33" s="860"/>
      <c r="AW33" s="860"/>
      <c r="AX33" s="860"/>
      <c r="AY33" s="860"/>
      <c r="AZ33" s="860"/>
      <c r="BA33" s="972"/>
    </row>
    <row r="34" spans="1:171" s="492" customFormat="1">
      <c r="A34" s="538"/>
      <c r="B34" s="557">
        <f t="shared" si="2"/>
        <v>29</v>
      </c>
      <c r="C34" s="580">
        <v>41365</v>
      </c>
      <c r="D34" s="590">
        <f t="shared" si="0"/>
        <v>41394</v>
      </c>
      <c r="E34" s="595">
        <v>4295</v>
      </c>
      <c r="F34" s="326">
        <v>1667</v>
      </c>
      <c r="G34" s="326">
        <f t="shared" si="1"/>
        <v>0</v>
      </c>
      <c r="H34" s="327">
        <f>SUM($E$6:E33)-SUM($F$6:G33)</f>
        <v>98056</v>
      </c>
      <c r="I34" s="617"/>
      <c r="J34" s="618"/>
      <c r="K34" s="330"/>
      <c r="L34" s="326"/>
      <c r="M34" s="326"/>
      <c r="N34" s="604"/>
      <c r="O34" s="860"/>
      <c r="P34" s="860"/>
      <c r="Q34" s="860"/>
      <c r="R34" s="860"/>
      <c r="S34" s="860"/>
      <c r="T34" s="860"/>
      <c r="U34" s="860"/>
      <c r="V34" s="860"/>
      <c r="W34" s="860"/>
      <c r="X34" s="860"/>
      <c r="Y34" s="860"/>
      <c r="Z34" s="860"/>
      <c r="AA34" s="860"/>
      <c r="AB34" s="860"/>
      <c r="AC34" s="860"/>
      <c r="AD34" s="860"/>
      <c r="AE34" s="860"/>
      <c r="AF34" s="860"/>
      <c r="AG34" s="860"/>
      <c r="AH34" s="860"/>
      <c r="AI34" s="860"/>
      <c r="AJ34" s="860"/>
      <c r="AK34" s="860"/>
      <c r="AL34" s="860"/>
      <c r="AM34" s="860"/>
      <c r="AN34" s="860"/>
      <c r="AO34" s="860"/>
      <c r="AP34" s="860"/>
      <c r="AQ34" s="860"/>
      <c r="AR34" s="860"/>
      <c r="AS34" s="860"/>
      <c r="AT34" s="860"/>
      <c r="AU34" s="860"/>
      <c r="AV34" s="860"/>
      <c r="AW34" s="860"/>
      <c r="AX34" s="860"/>
      <c r="AY34" s="860"/>
      <c r="AZ34" s="860"/>
      <c r="BA34" s="972"/>
      <c r="BB34" s="538"/>
      <c r="BC34" s="538"/>
      <c r="BD34" s="538"/>
      <c r="BE34" s="538"/>
      <c r="BF34" s="538"/>
      <c r="BG34" s="538"/>
      <c r="BH34" s="538"/>
      <c r="BI34" s="538"/>
      <c r="BJ34" s="538"/>
      <c r="BK34" s="538"/>
      <c r="BL34" s="538"/>
      <c r="BM34" s="538"/>
      <c r="BN34" s="538"/>
      <c r="BO34" s="538"/>
      <c r="BP34" s="863"/>
      <c r="BQ34" s="863"/>
      <c r="BR34" s="863"/>
      <c r="BS34" s="863"/>
      <c r="BT34" s="863"/>
      <c r="BU34" s="863"/>
      <c r="BV34" s="863"/>
      <c r="BW34" s="863"/>
      <c r="BX34" s="863"/>
      <c r="BY34" s="863"/>
      <c r="BZ34" s="863"/>
      <c r="CA34" s="863"/>
      <c r="CB34" s="863"/>
      <c r="CC34" s="863"/>
      <c r="CD34" s="863"/>
      <c r="CE34" s="863"/>
      <c r="CF34" s="863"/>
      <c r="CG34" s="863"/>
      <c r="CH34" s="863"/>
      <c r="CI34" s="863"/>
      <c r="CJ34" s="863"/>
      <c r="CK34" s="863"/>
      <c r="CL34" s="863"/>
      <c r="CM34" s="863"/>
      <c r="CN34" s="863"/>
      <c r="CO34" s="863"/>
      <c r="CP34" s="863"/>
      <c r="CQ34" s="863"/>
      <c r="CR34" s="863"/>
      <c r="CS34" s="863"/>
      <c r="CT34" s="863"/>
      <c r="CU34" s="863"/>
      <c r="CV34" s="863"/>
      <c r="CW34" s="863"/>
      <c r="CX34" s="863"/>
      <c r="CY34" s="863"/>
      <c r="CZ34" s="863"/>
      <c r="DA34" s="863"/>
      <c r="DB34" s="863"/>
      <c r="DC34" s="863"/>
      <c r="DD34" s="863"/>
      <c r="DE34" s="863"/>
      <c r="DF34" s="863"/>
      <c r="DG34" s="863"/>
      <c r="DH34" s="863"/>
      <c r="DI34" s="863"/>
      <c r="DJ34" s="863"/>
      <c r="DK34" s="863"/>
      <c r="DL34" s="863"/>
      <c r="DM34" s="863"/>
      <c r="DN34" s="863"/>
      <c r="DO34" s="863"/>
      <c r="DP34" s="863"/>
      <c r="DQ34" s="863"/>
      <c r="DR34" s="863"/>
      <c r="DS34" s="863"/>
      <c r="DT34" s="863"/>
      <c r="DU34" s="863"/>
      <c r="DV34" s="863"/>
      <c r="DW34" s="863"/>
      <c r="DX34" s="863"/>
      <c r="DY34" s="863"/>
      <c r="DZ34" s="863"/>
      <c r="EA34" s="863"/>
      <c r="EB34" s="863"/>
      <c r="EC34" s="863"/>
      <c r="ED34" s="863"/>
      <c r="EE34" s="863"/>
      <c r="EF34" s="863"/>
      <c r="EG34" s="863"/>
      <c r="EH34" s="863"/>
      <c r="EI34" s="863"/>
      <c r="EJ34" s="863"/>
      <c r="EK34" s="863"/>
      <c r="EL34" s="863"/>
      <c r="EM34" s="863"/>
      <c r="EN34" s="863"/>
      <c r="EO34" s="863"/>
      <c r="EP34" s="863"/>
      <c r="EQ34" s="863"/>
      <c r="ER34" s="863"/>
      <c r="ES34" s="863"/>
      <c r="ET34" s="863"/>
      <c r="EU34" s="863"/>
      <c r="EV34" s="863"/>
      <c r="EW34" s="863"/>
      <c r="EX34" s="863"/>
      <c r="EY34" s="863"/>
      <c r="EZ34" s="863"/>
      <c r="FA34" s="863"/>
      <c r="FB34" s="863"/>
      <c r="FC34" s="863"/>
      <c r="FD34" s="863"/>
      <c r="FE34" s="863"/>
      <c r="FF34" s="863"/>
      <c r="FG34" s="863"/>
      <c r="FH34" s="863"/>
      <c r="FI34" s="863"/>
      <c r="FJ34" s="863"/>
      <c r="FK34" s="863"/>
      <c r="FL34" s="863"/>
      <c r="FM34" s="863"/>
      <c r="FN34" s="863"/>
      <c r="FO34" s="863"/>
    </row>
    <row r="35" spans="1:171">
      <c r="B35" s="557">
        <f t="shared" si="2"/>
        <v>30</v>
      </c>
      <c r="C35" s="580">
        <v>41395</v>
      </c>
      <c r="D35" s="590">
        <f t="shared" si="0"/>
        <v>41425</v>
      </c>
      <c r="E35" s="595">
        <v>4978</v>
      </c>
      <c r="F35" s="326">
        <v>0</v>
      </c>
      <c r="G35" s="326">
        <f t="shared" si="1"/>
        <v>0</v>
      </c>
      <c r="H35" s="327">
        <f>SUM($E$6:E34)-SUM($F$6:G34)</f>
        <v>100684</v>
      </c>
      <c r="I35" s="617"/>
      <c r="J35" s="618"/>
      <c r="K35" s="613"/>
      <c r="L35" s="581"/>
      <c r="M35" s="326"/>
      <c r="N35" s="605"/>
      <c r="O35" s="861"/>
      <c r="P35" s="861"/>
      <c r="Q35" s="861"/>
      <c r="R35" s="861"/>
      <c r="S35" s="861"/>
      <c r="T35" s="861"/>
      <c r="U35" s="861"/>
      <c r="V35" s="861"/>
      <c r="W35" s="861"/>
      <c r="X35" s="861"/>
      <c r="Y35" s="861"/>
      <c r="Z35" s="861"/>
      <c r="AA35" s="861"/>
      <c r="AB35" s="861"/>
      <c r="AC35" s="861"/>
      <c r="AD35" s="861"/>
      <c r="AE35" s="861"/>
      <c r="AF35" s="861"/>
      <c r="AG35" s="861"/>
      <c r="AH35" s="861"/>
      <c r="AI35" s="861"/>
      <c r="AJ35" s="861"/>
      <c r="AK35" s="861"/>
      <c r="AL35" s="861"/>
      <c r="AM35" s="861"/>
      <c r="AN35" s="861"/>
      <c r="AO35" s="861"/>
      <c r="AP35" s="861"/>
      <c r="AQ35" s="861"/>
      <c r="AR35" s="861"/>
      <c r="AS35" s="861"/>
      <c r="AT35" s="861"/>
      <c r="AU35" s="861"/>
      <c r="AV35" s="861"/>
      <c r="AW35" s="861"/>
      <c r="AX35" s="861"/>
      <c r="AY35" s="861"/>
      <c r="AZ35" s="861"/>
      <c r="BA35" s="973"/>
    </row>
    <row r="36" spans="1:171">
      <c r="B36" s="557">
        <f t="shared" si="2"/>
        <v>31</v>
      </c>
      <c r="C36" s="580">
        <v>41426</v>
      </c>
      <c r="D36" s="590">
        <f t="shared" si="0"/>
        <v>41455</v>
      </c>
      <c r="E36" s="595">
        <v>4195</v>
      </c>
      <c r="F36" s="326">
        <v>0</v>
      </c>
      <c r="G36" s="326">
        <f t="shared" si="1"/>
        <v>0</v>
      </c>
      <c r="H36" s="327">
        <f>SUM($E$6:E35)-SUM($F$6:G35)</f>
        <v>105662</v>
      </c>
      <c r="I36" s="617"/>
      <c r="J36" s="618"/>
      <c r="K36" s="330"/>
      <c r="L36" s="326"/>
      <c r="M36" s="326"/>
      <c r="N36" s="605"/>
      <c r="O36" s="861"/>
      <c r="P36" s="861"/>
      <c r="Q36" s="861"/>
      <c r="R36" s="861"/>
      <c r="S36" s="861"/>
      <c r="T36" s="861"/>
      <c r="U36" s="861"/>
      <c r="V36" s="861"/>
      <c r="W36" s="861"/>
      <c r="X36" s="861"/>
      <c r="Y36" s="861"/>
      <c r="Z36" s="861"/>
      <c r="AA36" s="861"/>
      <c r="AB36" s="861"/>
      <c r="AC36" s="861"/>
      <c r="AD36" s="861"/>
      <c r="AE36" s="861"/>
      <c r="AF36" s="861"/>
      <c r="AG36" s="861"/>
      <c r="AH36" s="861"/>
      <c r="AI36" s="861"/>
      <c r="AJ36" s="861"/>
      <c r="AK36" s="861"/>
      <c r="AL36" s="861"/>
      <c r="AM36" s="861"/>
      <c r="AN36" s="861"/>
      <c r="AO36" s="861"/>
      <c r="AP36" s="861"/>
      <c r="AQ36" s="861"/>
      <c r="AR36" s="861"/>
      <c r="AS36" s="861"/>
      <c r="AT36" s="861"/>
      <c r="AU36" s="861"/>
      <c r="AV36" s="861"/>
      <c r="AW36" s="861"/>
      <c r="AX36" s="861"/>
      <c r="AY36" s="861"/>
      <c r="AZ36" s="861"/>
      <c r="BA36" s="973"/>
    </row>
    <row r="37" spans="1:171">
      <c r="B37" s="557">
        <f t="shared" si="2"/>
        <v>32</v>
      </c>
      <c r="C37" s="580">
        <v>41456</v>
      </c>
      <c r="D37" s="590">
        <f t="shared" si="0"/>
        <v>41486</v>
      </c>
      <c r="E37" s="595">
        <v>3522</v>
      </c>
      <c r="F37" s="326">
        <v>0</v>
      </c>
      <c r="G37" s="326">
        <f t="shared" si="1"/>
        <v>0</v>
      </c>
      <c r="H37" s="327">
        <f>SUM($E$6:E36)-SUM($F$6:G36)</f>
        <v>109857</v>
      </c>
      <c r="I37" s="617"/>
      <c r="J37" s="618"/>
      <c r="K37" s="330"/>
      <c r="L37" s="326"/>
      <c r="M37" s="326"/>
      <c r="N37" s="605"/>
      <c r="O37" s="861"/>
      <c r="P37" s="861"/>
      <c r="Q37" s="861"/>
      <c r="R37" s="861"/>
      <c r="S37" s="861"/>
      <c r="T37" s="861"/>
      <c r="U37" s="861"/>
      <c r="V37" s="861"/>
      <c r="W37" s="861"/>
      <c r="X37" s="861"/>
      <c r="Y37" s="861"/>
      <c r="Z37" s="861"/>
      <c r="AA37" s="861"/>
      <c r="AB37" s="861"/>
      <c r="AC37" s="861"/>
      <c r="AD37" s="861"/>
      <c r="AE37" s="861"/>
      <c r="AF37" s="861"/>
      <c r="AG37" s="861"/>
      <c r="AH37" s="861"/>
      <c r="AI37" s="861"/>
      <c r="AJ37" s="861"/>
      <c r="AK37" s="861"/>
      <c r="AL37" s="861"/>
      <c r="AM37" s="861"/>
      <c r="AN37" s="861"/>
      <c r="AO37" s="861"/>
      <c r="AP37" s="861"/>
      <c r="AQ37" s="861"/>
      <c r="AR37" s="861"/>
      <c r="AS37" s="861"/>
      <c r="AT37" s="861"/>
      <c r="AU37" s="861"/>
      <c r="AV37" s="861"/>
      <c r="AW37" s="861"/>
      <c r="AX37" s="861"/>
      <c r="AY37" s="861"/>
      <c r="AZ37" s="861"/>
      <c r="BA37" s="973"/>
    </row>
    <row r="38" spans="1:171">
      <c r="B38" s="557">
        <f t="shared" si="2"/>
        <v>33</v>
      </c>
      <c r="C38" s="580">
        <v>41487</v>
      </c>
      <c r="D38" s="590">
        <f t="shared" si="0"/>
        <v>41517</v>
      </c>
      <c r="E38" s="595">
        <v>7567</v>
      </c>
      <c r="F38" s="326">
        <v>0</v>
      </c>
      <c r="G38" s="326">
        <f t="shared" si="1"/>
        <v>0</v>
      </c>
      <c r="H38" s="327">
        <f>SUM($E$6:E37)-SUM($F$6:G37)</f>
        <v>113379</v>
      </c>
      <c r="I38" s="617"/>
      <c r="J38" s="618"/>
      <c r="K38" s="330"/>
      <c r="L38" s="326"/>
      <c r="M38" s="581"/>
      <c r="N38" s="605"/>
      <c r="O38" s="861"/>
      <c r="P38" s="861"/>
      <c r="Q38" s="861"/>
      <c r="R38" s="861"/>
      <c r="S38" s="861"/>
      <c r="T38" s="861"/>
      <c r="U38" s="861"/>
      <c r="V38" s="861"/>
      <c r="W38" s="861"/>
      <c r="X38" s="861"/>
      <c r="Y38" s="861"/>
      <c r="Z38" s="861"/>
      <c r="AA38" s="861"/>
      <c r="AB38" s="861"/>
      <c r="AC38" s="861"/>
      <c r="AD38" s="861"/>
      <c r="AE38" s="861"/>
      <c r="AF38" s="861"/>
      <c r="AG38" s="861"/>
      <c r="AH38" s="861"/>
      <c r="AI38" s="861"/>
      <c r="AJ38" s="861"/>
      <c r="AK38" s="861"/>
      <c r="AL38" s="861"/>
      <c r="AM38" s="861"/>
      <c r="AN38" s="861"/>
      <c r="AO38" s="861"/>
      <c r="AP38" s="861"/>
      <c r="AQ38" s="861"/>
      <c r="AR38" s="861"/>
      <c r="AS38" s="861"/>
      <c r="AT38" s="861"/>
      <c r="AU38" s="861"/>
      <c r="AV38" s="861"/>
      <c r="AW38" s="861"/>
      <c r="AX38" s="861"/>
      <c r="AY38" s="861"/>
      <c r="AZ38" s="861"/>
      <c r="BA38" s="973"/>
    </row>
    <row r="39" spans="1:171">
      <c r="B39" s="557">
        <f t="shared" si="2"/>
        <v>34</v>
      </c>
      <c r="C39" s="580">
        <v>41518</v>
      </c>
      <c r="D39" s="590">
        <f t="shared" si="0"/>
        <v>41547</v>
      </c>
      <c r="E39" s="595">
        <v>4135</v>
      </c>
      <c r="F39" s="326">
        <v>0</v>
      </c>
      <c r="G39" s="326">
        <f t="shared" si="1"/>
        <v>0</v>
      </c>
      <c r="H39" s="327">
        <f>SUM($E$6:E38)-SUM($F$6:G38)</f>
        <v>120946</v>
      </c>
      <c r="I39" s="617"/>
      <c r="J39" s="618"/>
      <c r="K39" s="330"/>
      <c r="L39" s="326"/>
      <c r="M39" s="326"/>
      <c r="N39" s="605"/>
      <c r="O39" s="861"/>
      <c r="P39" s="861"/>
      <c r="Q39" s="861"/>
      <c r="R39" s="861"/>
      <c r="S39" s="861"/>
      <c r="T39" s="861"/>
      <c r="U39" s="861"/>
      <c r="V39" s="861"/>
      <c r="W39" s="861"/>
      <c r="X39" s="861"/>
      <c r="Y39" s="861"/>
      <c r="Z39" s="861"/>
      <c r="AA39" s="861"/>
      <c r="AB39" s="861"/>
      <c r="AC39" s="861"/>
      <c r="AD39" s="861"/>
      <c r="AE39" s="861"/>
      <c r="AF39" s="861"/>
      <c r="AG39" s="861"/>
      <c r="AH39" s="861"/>
      <c r="AI39" s="861"/>
      <c r="AJ39" s="861"/>
      <c r="AK39" s="861"/>
      <c r="AL39" s="861"/>
      <c r="AM39" s="861"/>
      <c r="AN39" s="861"/>
      <c r="AO39" s="861"/>
      <c r="AP39" s="861"/>
      <c r="AQ39" s="861"/>
      <c r="AR39" s="861"/>
      <c r="AS39" s="861"/>
      <c r="AT39" s="861"/>
      <c r="AU39" s="861"/>
      <c r="AV39" s="861"/>
      <c r="AW39" s="861"/>
      <c r="AX39" s="861"/>
      <c r="AY39" s="861"/>
      <c r="AZ39" s="861"/>
      <c r="BA39" s="973"/>
    </row>
    <row r="40" spans="1:171">
      <c r="B40" s="557">
        <f t="shared" si="2"/>
        <v>35</v>
      </c>
      <c r="C40" s="580">
        <v>41548</v>
      </c>
      <c r="D40" s="590">
        <f t="shared" si="0"/>
        <v>41578</v>
      </c>
      <c r="E40" s="595">
        <v>4322</v>
      </c>
      <c r="F40" s="326">
        <v>0</v>
      </c>
      <c r="G40" s="326">
        <f t="shared" si="1"/>
        <v>0</v>
      </c>
      <c r="H40" s="327">
        <f>SUM($E$6:E39)-SUM($F$6:G39)</f>
        <v>125081</v>
      </c>
      <c r="I40" s="617"/>
      <c r="J40" s="618"/>
      <c r="K40" s="330"/>
      <c r="L40" s="326"/>
      <c r="M40" s="326"/>
      <c r="N40" s="605"/>
      <c r="O40" s="861"/>
      <c r="P40" s="861"/>
      <c r="Q40" s="861"/>
      <c r="R40" s="861"/>
      <c r="S40" s="861"/>
      <c r="T40" s="861"/>
      <c r="U40" s="861"/>
      <c r="V40" s="861"/>
      <c r="W40" s="861"/>
      <c r="X40" s="861"/>
      <c r="Y40" s="861"/>
      <c r="Z40" s="861"/>
      <c r="AA40" s="861"/>
      <c r="AB40" s="861"/>
      <c r="AC40" s="861"/>
      <c r="AD40" s="861"/>
      <c r="AE40" s="861"/>
      <c r="AF40" s="861"/>
      <c r="AG40" s="861"/>
      <c r="AH40" s="861"/>
      <c r="AI40" s="861"/>
      <c r="AJ40" s="861"/>
      <c r="AK40" s="861"/>
      <c r="AL40" s="861"/>
      <c r="AM40" s="861"/>
      <c r="AN40" s="861"/>
      <c r="AO40" s="861"/>
      <c r="AP40" s="861"/>
      <c r="AQ40" s="861"/>
      <c r="AR40" s="861"/>
      <c r="AS40" s="861"/>
      <c r="AT40" s="861"/>
      <c r="AU40" s="861"/>
      <c r="AV40" s="861"/>
      <c r="AW40" s="861"/>
      <c r="AX40" s="861"/>
      <c r="AY40" s="861"/>
      <c r="AZ40" s="861"/>
      <c r="BA40" s="973"/>
    </row>
    <row r="41" spans="1:171">
      <c r="B41" s="557">
        <f t="shared" si="2"/>
        <v>36</v>
      </c>
      <c r="C41" s="580">
        <v>41579</v>
      </c>
      <c r="D41" s="590">
        <f t="shared" si="0"/>
        <v>41608</v>
      </c>
      <c r="E41" s="595">
        <v>10373</v>
      </c>
      <c r="F41" s="326">
        <v>0</v>
      </c>
      <c r="G41" s="326">
        <f t="shared" si="1"/>
        <v>0</v>
      </c>
      <c r="H41" s="327">
        <f>SUM($E$6:E40)-SUM($F$6:G40)</f>
        <v>129403</v>
      </c>
      <c r="I41" s="617"/>
      <c r="J41" s="618"/>
      <c r="K41" s="330"/>
      <c r="L41" s="326"/>
      <c r="M41" s="326"/>
      <c r="N41" s="605"/>
      <c r="O41" s="861"/>
      <c r="P41" s="861"/>
      <c r="Q41" s="861"/>
      <c r="R41" s="861"/>
      <c r="S41" s="861"/>
      <c r="T41" s="861"/>
      <c r="U41" s="861"/>
      <c r="V41" s="861"/>
      <c r="W41" s="861"/>
      <c r="X41" s="861"/>
      <c r="Y41" s="861"/>
      <c r="Z41" s="861"/>
      <c r="AA41" s="861"/>
      <c r="AB41" s="861"/>
      <c r="AC41" s="861"/>
      <c r="AD41" s="861"/>
      <c r="AE41" s="861"/>
      <c r="AF41" s="861"/>
      <c r="AG41" s="861"/>
      <c r="AH41" s="861"/>
      <c r="AI41" s="861"/>
      <c r="AJ41" s="861"/>
      <c r="AK41" s="861"/>
      <c r="AL41" s="861"/>
      <c r="AM41" s="861"/>
      <c r="AN41" s="861"/>
      <c r="AO41" s="861"/>
      <c r="AP41" s="861"/>
      <c r="AQ41" s="861"/>
      <c r="AR41" s="861"/>
      <c r="AS41" s="861"/>
      <c r="AT41" s="861"/>
      <c r="AU41" s="861"/>
      <c r="AV41" s="861"/>
      <c r="AW41" s="861"/>
      <c r="AX41" s="861"/>
      <c r="AY41" s="861"/>
      <c r="AZ41" s="861"/>
      <c r="BA41" s="973"/>
    </row>
    <row r="42" spans="1:171">
      <c r="B42" s="557">
        <f t="shared" si="2"/>
        <v>37</v>
      </c>
      <c r="C42" s="580">
        <v>41609</v>
      </c>
      <c r="D42" s="590">
        <f t="shared" si="0"/>
        <v>41639</v>
      </c>
      <c r="E42" s="595">
        <v>7484</v>
      </c>
      <c r="F42" s="326">
        <v>0</v>
      </c>
      <c r="G42" s="326">
        <f t="shared" si="1"/>
        <v>0</v>
      </c>
      <c r="H42" s="327">
        <f>SUM($E$6:E41)-SUM($F$6:G41)</f>
        <v>139776</v>
      </c>
      <c r="I42" s="617"/>
      <c r="J42" s="618"/>
      <c r="K42" s="330"/>
      <c r="L42" s="326"/>
      <c r="M42" s="326"/>
      <c r="N42" s="605"/>
      <c r="O42" s="861"/>
      <c r="P42" s="861"/>
      <c r="Q42" s="861"/>
      <c r="R42" s="861"/>
      <c r="S42" s="861"/>
      <c r="T42" s="861"/>
      <c r="U42" s="861"/>
      <c r="V42" s="861"/>
      <c r="W42" s="861"/>
      <c r="X42" s="861"/>
      <c r="Y42" s="861"/>
      <c r="Z42" s="861"/>
      <c r="AA42" s="861"/>
      <c r="AB42" s="861"/>
      <c r="AC42" s="861"/>
      <c r="AD42" s="861"/>
      <c r="AE42" s="861"/>
      <c r="AF42" s="861"/>
      <c r="AG42" s="861"/>
      <c r="AH42" s="861"/>
      <c r="AI42" s="861"/>
      <c r="AJ42" s="861"/>
      <c r="AK42" s="861"/>
      <c r="AL42" s="861"/>
      <c r="AM42" s="861"/>
      <c r="AN42" s="861"/>
      <c r="AO42" s="861"/>
      <c r="AP42" s="861"/>
      <c r="AQ42" s="861"/>
      <c r="AR42" s="861"/>
      <c r="AS42" s="861"/>
      <c r="AT42" s="861"/>
      <c r="AU42" s="861"/>
      <c r="AV42" s="861"/>
      <c r="AW42" s="861"/>
      <c r="AX42" s="861"/>
      <c r="AY42" s="861"/>
      <c r="AZ42" s="861"/>
      <c r="BA42" s="973"/>
    </row>
    <row r="43" spans="1:171">
      <c r="B43" s="557">
        <f t="shared" si="2"/>
        <v>38</v>
      </c>
      <c r="C43" s="580">
        <v>41640</v>
      </c>
      <c r="D43" s="590">
        <f t="shared" si="0"/>
        <v>41670</v>
      </c>
      <c r="E43" s="595">
        <v>4151</v>
      </c>
      <c r="F43" s="326">
        <v>0</v>
      </c>
      <c r="G43" s="326">
        <f t="shared" si="1"/>
        <v>0</v>
      </c>
      <c r="H43" s="327">
        <f>SUM($E$6:E42)-SUM($F$6:G42)</f>
        <v>147260</v>
      </c>
      <c r="I43" s="617"/>
      <c r="J43" s="618"/>
      <c r="K43" s="330"/>
      <c r="L43" s="326"/>
      <c r="M43" s="326"/>
      <c r="N43" s="605"/>
      <c r="O43" s="861"/>
      <c r="P43" s="861"/>
      <c r="Q43" s="861"/>
      <c r="R43" s="861"/>
      <c r="S43" s="861"/>
      <c r="T43" s="861"/>
      <c r="U43" s="861"/>
      <c r="V43" s="861"/>
      <c r="W43" s="861"/>
      <c r="X43" s="861"/>
      <c r="Y43" s="861"/>
      <c r="Z43" s="861"/>
      <c r="AA43" s="861"/>
      <c r="AB43" s="861"/>
      <c r="AC43" s="861"/>
      <c r="AD43" s="861"/>
      <c r="AE43" s="861"/>
      <c r="AF43" s="861"/>
      <c r="AG43" s="861"/>
      <c r="AH43" s="861"/>
      <c r="AI43" s="861"/>
      <c r="AJ43" s="861"/>
      <c r="AK43" s="861"/>
      <c r="AL43" s="861"/>
      <c r="AM43" s="861"/>
      <c r="AN43" s="861"/>
      <c r="AO43" s="861"/>
      <c r="AP43" s="861"/>
      <c r="AQ43" s="861"/>
      <c r="AR43" s="861"/>
      <c r="AS43" s="861"/>
      <c r="AT43" s="861"/>
      <c r="AU43" s="861"/>
      <c r="AV43" s="861"/>
      <c r="AW43" s="861"/>
      <c r="AX43" s="861"/>
      <c r="AY43" s="861"/>
      <c r="AZ43" s="861"/>
      <c r="BA43" s="973"/>
    </row>
    <row r="44" spans="1:171">
      <c r="B44" s="557">
        <f t="shared" si="2"/>
        <v>39</v>
      </c>
      <c r="C44" s="580">
        <v>41671</v>
      </c>
      <c r="D44" s="590">
        <f t="shared" si="0"/>
        <v>41698</v>
      </c>
      <c r="E44" s="595">
        <v>5186</v>
      </c>
      <c r="F44" s="326">
        <v>0</v>
      </c>
      <c r="G44" s="326">
        <f t="shared" si="1"/>
        <v>0</v>
      </c>
      <c r="H44" s="327">
        <f>SUM($E$6:E43)-SUM($F$6:G43)</f>
        <v>151411</v>
      </c>
      <c r="I44" s="617"/>
      <c r="J44" s="618"/>
      <c r="K44" s="330"/>
      <c r="L44" s="326"/>
      <c r="M44" s="326"/>
      <c r="N44" s="605"/>
      <c r="O44" s="861"/>
      <c r="P44" s="861"/>
      <c r="Q44" s="861"/>
      <c r="R44" s="861"/>
      <c r="S44" s="861"/>
      <c r="T44" s="861"/>
      <c r="U44" s="861"/>
      <c r="V44" s="861"/>
      <c r="W44" s="861"/>
      <c r="X44" s="861"/>
      <c r="Y44" s="861"/>
      <c r="Z44" s="861"/>
      <c r="AA44" s="861"/>
      <c r="AB44" s="861"/>
      <c r="AC44" s="861"/>
      <c r="AD44" s="861"/>
      <c r="AE44" s="861"/>
      <c r="AF44" s="861"/>
      <c r="AG44" s="861"/>
      <c r="AH44" s="861"/>
      <c r="AI44" s="861"/>
      <c r="AJ44" s="861"/>
      <c r="AK44" s="861"/>
      <c r="AL44" s="861"/>
      <c r="AM44" s="861"/>
      <c r="AN44" s="861"/>
      <c r="AO44" s="861"/>
      <c r="AP44" s="861"/>
      <c r="AQ44" s="861"/>
      <c r="AR44" s="861"/>
      <c r="AS44" s="861"/>
      <c r="AT44" s="861"/>
      <c r="AU44" s="861"/>
      <c r="AV44" s="861"/>
      <c r="AW44" s="861"/>
      <c r="AX44" s="861"/>
      <c r="AY44" s="861"/>
      <c r="AZ44" s="861"/>
      <c r="BA44" s="973"/>
    </row>
    <row r="45" spans="1:171">
      <c r="B45" s="557">
        <f t="shared" si="2"/>
        <v>40</v>
      </c>
      <c r="C45" s="580">
        <v>41699</v>
      </c>
      <c r="D45" s="590">
        <f t="shared" si="0"/>
        <v>41729</v>
      </c>
      <c r="E45" s="595">
        <v>4709</v>
      </c>
      <c r="F45" s="326">
        <v>0</v>
      </c>
      <c r="G45" s="326">
        <f t="shared" si="1"/>
        <v>0</v>
      </c>
      <c r="H45" s="327">
        <f>SUM($E$6:E44)-SUM($F$6:G44)</f>
        <v>156597</v>
      </c>
      <c r="I45" s="617"/>
      <c r="J45" s="618"/>
      <c r="K45" s="330"/>
      <c r="L45" s="326"/>
      <c r="M45" s="326"/>
      <c r="N45" s="605"/>
      <c r="O45" s="861"/>
      <c r="P45" s="861"/>
      <c r="Q45" s="861"/>
      <c r="R45" s="861"/>
      <c r="S45" s="861"/>
      <c r="T45" s="861"/>
      <c r="U45" s="861"/>
      <c r="V45" s="861"/>
      <c r="W45" s="861"/>
      <c r="X45" s="861"/>
      <c r="Y45" s="861"/>
      <c r="Z45" s="861"/>
      <c r="AA45" s="861"/>
      <c r="AB45" s="861"/>
      <c r="AC45" s="861"/>
      <c r="AD45" s="861"/>
      <c r="AE45" s="861"/>
      <c r="AF45" s="861"/>
      <c r="AG45" s="861"/>
      <c r="AH45" s="861"/>
      <c r="AI45" s="861"/>
      <c r="AJ45" s="861"/>
      <c r="AK45" s="861"/>
      <c r="AL45" s="861"/>
      <c r="AM45" s="861"/>
      <c r="AN45" s="861"/>
      <c r="AO45" s="861"/>
      <c r="AP45" s="861"/>
      <c r="AQ45" s="861"/>
      <c r="AR45" s="861"/>
      <c r="AS45" s="861"/>
      <c r="AT45" s="861"/>
      <c r="AU45" s="861"/>
      <c r="AV45" s="861"/>
      <c r="AW45" s="861"/>
      <c r="AX45" s="861"/>
      <c r="AY45" s="861"/>
      <c r="AZ45" s="861"/>
      <c r="BA45" s="973"/>
    </row>
    <row r="46" spans="1:171" s="492" customFormat="1">
      <c r="A46" s="538"/>
      <c r="B46" s="557">
        <f t="shared" si="2"/>
        <v>41</v>
      </c>
      <c r="C46" s="580">
        <v>41730</v>
      </c>
      <c r="D46" s="590">
        <f t="shared" si="0"/>
        <v>41759</v>
      </c>
      <c r="E46" s="595">
        <v>3521</v>
      </c>
      <c r="F46" s="326">
        <v>0</v>
      </c>
      <c r="G46" s="326">
        <f t="shared" si="1"/>
        <v>0</v>
      </c>
      <c r="H46" s="327">
        <f>SUM($E$6:E45)-SUM($F$6:G45)</f>
        <v>161306</v>
      </c>
      <c r="I46" s="617"/>
      <c r="J46" s="618"/>
      <c r="K46" s="330"/>
      <c r="L46" s="326"/>
      <c r="M46" s="326"/>
      <c r="N46" s="604"/>
      <c r="O46" s="860"/>
      <c r="P46" s="860"/>
      <c r="Q46" s="860"/>
      <c r="R46" s="860"/>
      <c r="S46" s="860"/>
      <c r="T46" s="860"/>
      <c r="U46" s="860"/>
      <c r="V46" s="860"/>
      <c r="W46" s="860"/>
      <c r="X46" s="860"/>
      <c r="Y46" s="860"/>
      <c r="Z46" s="860"/>
      <c r="AA46" s="860"/>
      <c r="AB46" s="860"/>
      <c r="AC46" s="860"/>
      <c r="AD46" s="860"/>
      <c r="AE46" s="860"/>
      <c r="AF46" s="860"/>
      <c r="AG46" s="860"/>
      <c r="AH46" s="860"/>
      <c r="AI46" s="860"/>
      <c r="AJ46" s="860"/>
      <c r="AK46" s="860"/>
      <c r="AL46" s="860"/>
      <c r="AM46" s="860"/>
      <c r="AN46" s="860"/>
      <c r="AO46" s="860"/>
      <c r="AP46" s="860"/>
      <c r="AQ46" s="860"/>
      <c r="AR46" s="860"/>
      <c r="AS46" s="860"/>
      <c r="AT46" s="860"/>
      <c r="AU46" s="860"/>
      <c r="AV46" s="860"/>
      <c r="AW46" s="860"/>
      <c r="AX46" s="860"/>
      <c r="AY46" s="860"/>
      <c r="AZ46" s="860"/>
      <c r="BA46" s="972"/>
      <c r="BB46" s="538"/>
      <c r="BC46" s="538"/>
      <c r="BD46" s="538"/>
      <c r="BE46" s="538"/>
      <c r="BF46" s="538"/>
      <c r="BG46" s="538"/>
      <c r="BH46" s="538"/>
      <c r="BI46" s="538"/>
      <c r="BJ46" s="538"/>
      <c r="BK46" s="538"/>
      <c r="BL46" s="538"/>
      <c r="BM46" s="538"/>
      <c r="BN46" s="538"/>
      <c r="BO46" s="538"/>
      <c r="BP46" s="863"/>
      <c r="BQ46" s="863"/>
      <c r="BR46" s="863"/>
      <c r="BS46" s="863"/>
      <c r="BT46" s="863"/>
      <c r="BU46" s="863"/>
      <c r="BV46" s="863"/>
      <c r="BW46" s="863"/>
      <c r="BX46" s="863"/>
      <c r="BY46" s="863"/>
      <c r="BZ46" s="863"/>
      <c r="CA46" s="863"/>
      <c r="CB46" s="863"/>
      <c r="CC46" s="863"/>
      <c r="CD46" s="863"/>
      <c r="CE46" s="863"/>
      <c r="CF46" s="863"/>
      <c r="CG46" s="863"/>
      <c r="CH46" s="863"/>
      <c r="CI46" s="863"/>
      <c r="CJ46" s="863"/>
      <c r="CK46" s="863"/>
      <c r="CL46" s="863"/>
      <c r="CM46" s="863"/>
      <c r="CN46" s="863"/>
      <c r="CO46" s="863"/>
      <c r="CP46" s="863"/>
      <c r="CQ46" s="863"/>
      <c r="CR46" s="863"/>
      <c r="CS46" s="863"/>
      <c r="CT46" s="863"/>
      <c r="CU46" s="863"/>
      <c r="CV46" s="863"/>
      <c r="CW46" s="863"/>
      <c r="CX46" s="863"/>
      <c r="CY46" s="863"/>
      <c r="CZ46" s="863"/>
      <c r="DA46" s="863"/>
      <c r="DB46" s="863"/>
      <c r="DC46" s="863"/>
      <c r="DD46" s="863"/>
      <c r="DE46" s="863"/>
      <c r="DF46" s="863"/>
      <c r="DG46" s="863"/>
      <c r="DH46" s="863"/>
      <c r="DI46" s="863"/>
      <c r="DJ46" s="863"/>
      <c r="DK46" s="863"/>
      <c r="DL46" s="863"/>
      <c r="DM46" s="863"/>
      <c r="DN46" s="863"/>
      <c r="DO46" s="863"/>
      <c r="DP46" s="863"/>
      <c r="DQ46" s="863"/>
      <c r="DR46" s="863"/>
      <c r="DS46" s="863"/>
      <c r="DT46" s="863"/>
      <c r="DU46" s="863"/>
      <c r="DV46" s="863"/>
      <c r="DW46" s="863"/>
      <c r="DX46" s="863"/>
      <c r="DY46" s="863"/>
      <c r="DZ46" s="863"/>
      <c r="EA46" s="863"/>
      <c r="EB46" s="863"/>
      <c r="EC46" s="863"/>
      <c r="ED46" s="863"/>
      <c r="EE46" s="863"/>
      <c r="EF46" s="863"/>
      <c r="EG46" s="863"/>
      <c r="EH46" s="863"/>
      <c r="EI46" s="863"/>
      <c r="EJ46" s="863"/>
      <c r="EK46" s="863"/>
      <c r="EL46" s="863"/>
      <c r="EM46" s="863"/>
      <c r="EN46" s="863"/>
      <c r="EO46" s="863"/>
      <c r="EP46" s="863"/>
      <c r="EQ46" s="863"/>
      <c r="ER46" s="863"/>
      <c r="ES46" s="863"/>
      <c r="ET46" s="863"/>
      <c r="EU46" s="863"/>
      <c r="EV46" s="863"/>
      <c r="EW46" s="863"/>
      <c r="EX46" s="863"/>
      <c r="EY46" s="863"/>
      <c r="EZ46" s="863"/>
      <c r="FA46" s="863"/>
      <c r="FB46" s="863"/>
      <c r="FC46" s="863"/>
      <c r="FD46" s="863"/>
      <c r="FE46" s="863"/>
      <c r="FF46" s="863"/>
      <c r="FG46" s="863"/>
      <c r="FH46" s="863"/>
      <c r="FI46" s="863"/>
      <c r="FJ46" s="863"/>
      <c r="FK46" s="863"/>
      <c r="FL46" s="863"/>
      <c r="FM46" s="863"/>
      <c r="FN46" s="863"/>
      <c r="FO46" s="863"/>
    </row>
    <row r="47" spans="1:171">
      <c r="B47" s="557">
        <f t="shared" si="2"/>
        <v>42</v>
      </c>
      <c r="C47" s="580">
        <v>41760</v>
      </c>
      <c r="D47" s="590">
        <f t="shared" si="0"/>
        <v>41790</v>
      </c>
      <c r="E47" s="595">
        <v>2337</v>
      </c>
      <c r="F47" s="326">
        <v>0</v>
      </c>
      <c r="G47" s="326">
        <f t="shared" si="1"/>
        <v>0</v>
      </c>
      <c r="H47" s="327">
        <f>SUM($E$6:E46)-SUM($F$6:G46)</f>
        <v>164827</v>
      </c>
      <c r="I47" s="617"/>
      <c r="J47" s="618"/>
      <c r="K47" s="330"/>
      <c r="L47" s="326"/>
      <c r="M47" s="326"/>
      <c r="N47" s="604"/>
      <c r="O47" s="860"/>
      <c r="P47" s="860"/>
      <c r="Q47" s="860"/>
      <c r="R47" s="860"/>
      <c r="S47" s="860"/>
      <c r="T47" s="860"/>
      <c r="U47" s="860"/>
      <c r="V47" s="860"/>
      <c r="W47" s="860"/>
      <c r="X47" s="860"/>
      <c r="Y47" s="860"/>
      <c r="Z47" s="860"/>
      <c r="AA47" s="860"/>
      <c r="AB47" s="860"/>
      <c r="AC47" s="860"/>
      <c r="AD47" s="860"/>
      <c r="AE47" s="860"/>
      <c r="AF47" s="860"/>
      <c r="AG47" s="860"/>
      <c r="AH47" s="860"/>
      <c r="AI47" s="860"/>
      <c r="AJ47" s="860"/>
      <c r="AK47" s="860"/>
      <c r="AL47" s="860"/>
      <c r="AM47" s="860"/>
      <c r="AN47" s="860"/>
      <c r="AO47" s="860"/>
      <c r="AP47" s="860"/>
      <c r="AQ47" s="860"/>
      <c r="AR47" s="860"/>
      <c r="AS47" s="860"/>
      <c r="AT47" s="860"/>
      <c r="AU47" s="860"/>
      <c r="AV47" s="860"/>
      <c r="AW47" s="860"/>
      <c r="AX47" s="860"/>
      <c r="AY47" s="860"/>
      <c r="AZ47" s="860"/>
      <c r="BA47" s="972"/>
    </row>
    <row r="48" spans="1:171">
      <c r="B48" s="557">
        <f t="shared" si="2"/>
        <v>43</v>
      </c>
      <c r="C48" s="580">
        <v>41791</v>
      </c>
      <c r="D48" s="590">
        <f t="shared" si="0"/>
        <v>41820</v>
      </c>
      <c r="E48" s="595">
        <v>4702</v>
      </c>
      <c r="F48" s="326">
        <v>0</v>
      </c>
      <c r="G48" s="326">
        <f t="shared" si="1"/>
        <v>0</v>
      </c>
      <c r="H48" s="327">
        <f>SUM($E$6:E47)-SUM($F$6:G47)</f>
        <v>167164</v>
      </c>
      <c r="I48" s="617"/>
      <c r="J48" s="618"/>
      <c r="K48" s="330"/>
      <c r="L48" s="326"/>
      <c r="M48" s="326"/>
      <c r="N48" s="604"/>
      <c r="O48" s="860"/>
      <c r="P48" s="860"/>
      <c r="Q48" s="860"/>
      <c r="R48" s="860"/>
      <c r="S48" s="860"/>
      <c r="T48" s="860"/>
      <c r="U48" s="860"/>
      <c r="V48" s="860"/>
      <c r="W48" s="860"/>
      <c r="X48" s="860"/>
      <c r="Y48" s="860"/>
      <c r="Z48" s="860"/>
      <c r="AA48" s="860"/>
      <c r="AB48" s="860"/>
      <c r="AC48" s="860"/>
      <c r="AD48" s="860"/>
      <c r="AE48" s="860"/>
      <c r="AF48" s="860"/>
      <c r="AG48" s="860"/>
      <c r="AH48" s="860"/>
      <c r="AI48" s="860"/>
      <c r="AJ48" s="860"/>
      <c r="AK48" s="860"/>
      <c r="AL48" s="860"/>
      <c r="AM48" s="860"/>
      <c r="AN48" s="860"/>
      <c r="AO48" s="860"/>
      <c r="AP48" s="860"/>
      <c r="AQ48" s="860"/>
      <c r="AR48" s="860"/>
      <c r="AS48" s="860"/>
      <c r="AT48" s="860"/>
      <c r="AU48" s="860"/>
      <c r="AV48" s="860"/>
      <c r="AW48" s="860"/>
      <c r="AX48" s="860"/>
      <c r="AY48" s="860"/>
      <c r="AZ48" s="860"/>
      <c r="BA48" s="972"/>
    </row>
    <row r="49" spans="1:171">
      <c r="B49" s="557">
        <f t="shared" si="2"/>
        <v>44</v>
      </c>
      <c r="C49" s="580">
        <v>41821</v>
      </c>
      <c r="D49" s="590">
        <f t="shared" si="0"/>
        <v>41851</v>
      </c>
      <c r="E49" s="595">
        <v>5145</v>
      </c>
      <c r="F49" s="326">
        <v>0</v>
      </c>
      <c r="G49" s="326">
        <f t="shared" si="1"/>
        <v>0</v>
      </c>
      <c r="H49" s="327">
        <f>SUM($E$6:E48)-SUM($F$6:G48)</f>
        <v>171866</v>
      </c>
      <c r="I49" s="617"/>
      <c r="J49" s="618"/>
      <c r="K49" s="330"/>
      <c r="L49" s="326"/>
      <c r="M49" s="326"/>
      <c r="N49" s="604"/>
      <c r="O49" s="860"/>
      <c r="P49" s="860"/>
      <c r="Q49" s="860"/>
      <c r="R49" s="860"/>
      <c r="S49" s="860"/>
      <c r="T49" s="860"/>
      <c r="U49" s="860"/>
      <c r="V49" s="860"/>
      <c r="W49" s="860"/>
      <c r="X49" s="860"/>
      <c r="Y49" s="860"/>
      <c r="Z49" s="860"/>
      <c r="AA49" s="860"/>
      <c r="AB49" s="860"/>
      <c r="AC49" s="860"/>
      <c r="AD49" s="860"/>
      <c r="AE49" s="860"/>
      <c r="AF49" s="860"/>
      <c r="AG49" s="860"/>
      <c r="AH49" s="860"/>
      <c r="AI49" s="860"/>
      <c r="AJ49" s="860"/>
      <c r="AK49" s="860"/>
      <c r="AL49" s="860"/>
      <c r="AM49" s="860"/>
      <c r="AN49" s="860"/>
      <c r="AO49" s="860"/>
      <c r="AP49" s="860"/>
      <c r="AQ49" s="860"/>
      <c r="AR49" s="860"/>
      <c r="AS49" s="860"/>
      <c r="AT49" s="860"/>
      <c r="AU49" s="860"/>
      <c r="AV49" s="860"/>
      <c r="AW49" s="860"/>
      <c r="AX49" s="860"/>
      <c r="AY49" s="860"/>
      <c r="AZ49" s="860"/>
      <c r="BA49" s="972"/>
    </row>
    <row r="50" spans="1:171">
      <c r="B50" s="557">
        <f t="shared" si="2"/>
        <v>45</v>
      </c>
      <c r="C50" s="580">
        <v>41852</v>
      </c>
      <c r="D50" s="590">
        <f t="shared" si="0"/>
        <v>41882</v>
      </c>
      <c r="E50" s="595">
        <v>6848</v>
      </c>
      <c r="F50" s="326">
        <v>0</v>
      </c>
      <c r="G50" s="326">
        <f t="shared" si="1"/>
        <v>0</v>
      </c>
      <c r="H50" s="327">
        <f>SUM($E$6:E49)-SUM($F$6:G49)</f>
        <v>177011</v>
      </c>
      <c r="I50" s="617"/>
      <c r="J50" s="618"/>
      <c r="K50" s="330"/>
      <c r="L50" s="326"/>
      <c r="M50" s="326"/>
      <c r="N50" s="604"/>
      <c r="O50" s="860"/>
      <c r="P50" s="860"/>
      <c r="Q50" s="860"/>
      <c r="R50" s="860"/>
      <c r="S50" s="860"/>
      <c r="T50" s="860"/>
      <c r="U50" s="860"/>
      <c r="V50" s="860"/>
      <c r="W50" s="860"/>
      <c r="X50" s="860"/>
      <c r="Y50" s="860"/>
      <c r="Z50" s="860"/>
      <c r="AA50" s="860"/>
      <c r="AB50" s="860"/>
      <c r="AC50" s="860"/>
      <c r="AD50" s="860"/>
      <c r="AE50" s="860"/>
      <c r="AF50" s="860"/>
      <c r="AG50" s="860"/>
      <c r="AH50" s="860"/>
      <c r="AI50" s="860"/>
      <c r="AJ50" s="860"/>
      <c r="AK50" s="860"/>
      <c r="AL50" s="860"/>
      <c r="AM50" s="860"/>
      <c r="AN50" s="860"/>
      <c r="AO50" s="860"/>
      <c r="AP50" s="860"/>
      <c r="AQ50" s="860"/>
      <c r="AR50" s="860"/>
      <c r="AS50" s="860"/>
      <c r="AT50" s="860"/>
      <c r="AU50" s="860"/>
      <c r="AV50" s="860"/>
      <c r="AW50" s="860"/>
      <c r="AX50" s="860"/>
      <c r="AY50" s="860"/>
      <c r="AZ50" s="860"/>
      <c r="BA50" s="972"/>
    </row>
    <row r="51" spans="1:171">
      <c r="B51" s="557">
        <f t="shared" si="2"/>
        <v>46</v>
      </c>
      <c r="C51" s="580">
        <v>41883</v>
      </c>
      <c r="D51" s="590">
        <f t="shared" si="0"/>
        <v>41912</v>
      </c>
      <c r="E51" s="595">
        <v>2469</v>
      </c>
      <c r="F51" s="326">
        <v>0</v>
      </c>
      <c r="G51" s="326">
        <f t="shared" si="1"/>
        <v>0</v>
      </c>
      <c r="H51" s="327">
        <f>SUM($E$6:E50)-SUM($F$6:G50)</f>
        <v>183859</v>
      </c>
      <c r="I51" s="617"/>
      <c r="J51" s="618"/>
      <c r="K51" s="330"/>
      <c r="L51" s="326"/>
      <c r="M51" s="326"/>
      <c r="N51" s="604"/>
      <c r="O51" s="860"/>
      <c r="P51" s="860"/>
      <c r="Q51" s="860"/>
      <c r="R51" s="860"/>
      <c r="S51" s="860"/>
      <c r="T51" s="860"/>
      <c r="U51" s="860"/>
      <c r="V51" s="860"/>
      <c r="W51" s="860"/>
      <c r="X51" s="860"/>
      <c r="Y51" s="860"/>
      <c r="Z51" s="860"/>
      <c r="AA51" s="860"/>
      <c r="AB51" s="860"/>
      <c r="AC51" s="860"/>
      <c r="AD51" s="860"/>
      <c r="AE51" s="860"/>
      <c r="AF51" s="860"/>
      <c r="AG51" s="860"/>
      <c r="AH51" s="860"/>
      <c r="AI51" s="860"/>
      <c r="AJ51" s="860"/>
      <c r="AK51" s="860"/>
      <c r="AL51" s="860"/>
      <c r="AM51" s="860"/>
      <c r="AN51" s="860"/>
      <c r="AO51" s="860"/>
      <c r="AP51" s="860"/>
      <c r="AQ51" s="860"/>
      <c r="AR51" s="860"/>
      <c r="AS51" s="860"/>
      <c r="AT51" s="860"/>
      <c r="AU51" s="860"/>
      <c r="AV51" s="860"/>
      <c r="AW51" s="860"/>
      <c r="AX51" s="860"/>
      <c r="AY51" s="860"/>
      <c r="AZ51" s="860"/>
      <c r="BA51" s="972"/>
    </row>
    <row r="52" spans="1:171">
      <c r="B52" s="557">
        <f t="shared" si="2"/>
        <v>47</v>
      </c>
      <c r="C52" s="580">
        <v>41913</v>
      </c>
      <c r="D52" s="590">
        <f t="shared" si="0"/>
        <v>41943</v>
      </c>
      <c r="E52" s="595">
        <v>2777</v>
      </c>
      <c r="F52" s="326">
        <v>0</v>
      </c>
      <c r="G52" s="326">
        <f t="shared" si="1"/>
        <v>0</v>
      </c>
      <c r="H52" s="327">
        <f>SUM($E$6:E51)-SUM($F$6:G51)</f>
        <v>186328</v>
      </c>
      <c r="I52" s="617"/>
      <c r="J52" s="618"/>
      <c r="K52" s="330"/>
      <c r="L52" s="326"/>
      <c r="M52" s="326"/>
      <c r="N52" s="604"/>
      <c r="O52" s="860"/>
      <c r="P52" s="860"/>
      <c r="Q52" s="860"/>
      <c r="R52" s="860"/>
      <c r="S52" s="860"/>
      <c r="T52" s="860"/>
      <c r="U52" s="860"/>
      <c r="V52" s="860"/>
      <c r="W52" s="860"/>
      <c r="X52" s="860"/>
      <c r="Y52" s="860"/>
      <c r="Z52" s="860"/>
      <c r="AA52" s="860"/>
      <c r="AB52" s="860"/>
      <c r="AC52" s="860"/>
      <c r="AD52" s="860"/>
      <c r="AE52" s="860"/>
      <c r="AF52" s="860"/>
      <c r="AG52" s="860"/>
      <c r="AH52" s="860"/>
      <c r="AI52" s="860"/>
      <c r="AJ52" s="860"/>
      <c r="AK52" s="860"/>
      <c r="AL52" s="860"/>
      <c r="AM52" s="860"/>
      <c r="AN52" s="860"/>
      <c r="AO52" s="860"/>
      <c r="AP52" s="860"/>
      <c r="AQ52" s="860"/>
      <c r="AR52" s="860"/>
      <c r="AS52" s="860"/>
      <c r="AT52" s="860"/>
      <c r="AU52" s="860"/>
      <c r="AV52" s="860"/>
      <c r="AW52" s="860"/>
      <c r="AX52" s="860"/>
      <c r="AY52" s="860"/>
      <c r="AZ52" s="860"/>
      <c r="BA52" s="972"/>
    </row>
    <row r="53" spans="1:171">
      <c r="B53" s="557">
        <f t="shared" si="2"/>
        <v>48</v>
      </c>
      <c r="C53" s="580">
        <v>41944</v>
      </c>
      <c r="D53" s="590">
        <f t="shared" si="0"/>
        <v>41973</v>
      </c>
      <c r="E53" s="595">
        <v>2216</v>
      </c>
      <c r="F53" s="326">
        <v>0</v>
      </c>
      <c r="G53" s="326">
        <f t="shared" si="1"/>
        <v>0</v>
      </c>
      <c r="H53" s="327">
        <f>SUM($E$6:E52)-SUM($F$6:G52)</f>
        <v>189105</v>
      </c>
      <c r="I53" s="617"/>
      <c r="J53" s="618"/>
      <c r="K53" s="330"/>
      <c r="L53" s="326"/>
      <c r="M53" s="326"/>
      <c r="N53" s="604"/>
      <c r="O53" s="860"/>
      <c r="P53" s="860"/>
      <c r="Q53" s="860"/>
      <c r="R53" s="860"/>
      <c r="S53" s="860"/>
      <c r="T53" s="860"/>
      <c r="U53" s="860"/>
      <c r="V53" s="860"/>
      <c r="W53" s="860"/>
      <c r="X53" s="860"/>
      <c r="Y53" s="860"/>
      <c r="Z53" s="860"/>
      <c r="AA53" s="860"/>
      <c r="AB53" s="860"/>
      <c r="AC53" s="860"/>
      <c r="AD53" s="860"/>
      <c r="AE53" s="860"/>
      <c r="AF53" s="860"/>
      <c r="AG53" s="860"/>
      <c r="AH53" s="860"/>
      <c r="AI53" s="860"/>
      <c r="AJ53" s="860"/>
      <c r="AK53" s="860"/>
      <c r="AL53" s="860"/>
      <c r="AM53" s="860"/>
      <c r="AN53" s="860"/>
      <c r="AO53" s="860"/>
      <c r="AP53" s="860"/>
      <c r="AQ53" s="860"/>
      <c r="AR53" s="860"/>
      <c r="AS53" s="860"/>
      <c r="AT53" s="860"/>
      <c r="AU53" s="860"/>
      <c r="AV53" s="860"/>
      <c r="AW53" s="860"/>
      <c r="AX53" s="860"/>
      <c r="AY53" s="860"/>
      <c r="AZ53" s="860"/>
      <c r="BA53" s="972"/>
    </row>
    <row r="54" spans="1:171">
      <c r="B54" s="557">
        <f t="shared" si="2"/>
        <v>49</v>
      </c>
      <c r="C54" s="580">
        <v>41974</v>
      </c>
      <c r="D54" s="590">
        <f t="shared" si="0"/>
        <v>42004</v>
      </c>
      <c r="E54" s="595">
        <v>4413</v>
      </c>
      <c r="F54" s="326">
        <v>0</v>
      </c>
      <c r="G54" s="326">
        <f t="shared" si="1"/>
        <v>0</v>
      </c>
      <c r="H54" s="327">
        <f>SUM($E$6:E53)-SUM($F$6:G53)</f>
        <v>191321</v>
      </c>
      <c r="I54" s="617"/>
      <c r="J54" s="618"/>
      <c r="K54" s="330"/>
      <c r="L54" s="326"/>
      <c r="M54" s="326"/>
      <c r="N54" s="604"/>
      <c r="O54" s="860"/>
      <c r="P54" s="860"/>
      <c r="Q54" s="860"/>
      <c r="R54" s="860"/>
      <c r="S54" s="860"/>
      <c r="T54" s="860"/>
      <c r="U54" s="860"/>
      <c r="V54" s="860"/>
      <c r="W54" s="860"/>
      <c r="X54" s="860"/>
      <c r="Y54" s="860"/>
      <c r="Z54" s="860"/>
      <c r="AA54" s="860"/>
      <c r="AB54" s="860"/>
      <c r="AC54" s="860"/>
      <c r="AD54" s="860"/>
      <c r="AE54" s="860"/>
      <c r="AF54" s="860"/>
      <c r="AG54" s="860"/>
      <c r="AH54" s="860"/>
      <c r="AI54" s="860"/>
      <c r="AJ54" s="860"/>
      <c r="AK54" s="860"/>
      <c r="AL54" s="860"/>
      <c r="AM54" s="860"/>
      <c r="AN54" s="860"/>
      <c r="AO54" s="860"/>
      <c r="AP54" s="860"/>
      <c r="AQ54" s="860"/>
      <c r="AR54" s="860"/>
      <c r="AS54" s="860"/>
      <c r="AT54" s="860"/>
      <c r="AU54" s="860"/>
      <c r="AV54" s="860"/>
      <c r="AW54" s="860"/>
      <c r="AX54" s="860"/>
      <c r="AY54" s="860"/>
      <c r="AZ54" s="860"/>
      <c r="BA54" s="972"/>
    </row>
    <row r="55" spans="1:171">
      <c r="B55" s="557">
        <f t="shared" si="2"/>
        <v>50</v>
      </c>
      <c r="C55" s="580">
        <v>42005</v>
      </c>
      <c r="D55" s="590">
        <f t="shared" si="0"/>
        <v>42035</v>
      </c>
      <c r="E55" s="595">
        <v>3234</v>
      </c>
      <c r="F55" s="326">
        <v>0</v>
      </c>
      <c r="G55" s="326">
        <f t="shared" si="1"/>
        <v>0</v>
      </c>
      <c r="H55" s="327">
        <f>SUM($E$6:E54)-SUM($F$6:G54)</f>
        <v>195734</v>
      </c>
      <c r="I55" s="617"/>
      <c r="J55" s="618"/>
      <c r="K55" s="330"/>
      <c r="L55" s="326"/>
      <c r="M55" s="326"/>
      <c r="N55" s="604"/>
      <c r="O55" s="860"/>
      <c r="P55" s="860"/>
      <c r="Q55" s="860"/>
      <c r="R55" s="860"/>
      <c r="S55" s="860"/>
      <c r="T55" s="860"/>
      <c r="U55" s="860"/>
      <c r="V55" s="860"/>
      <c r="W55" s="860"/>
      <c r="X55" s="860"/>
      <c r="Y55" s="860"/>
      <c r="Z55" s="860"/>
      <c r="AA55" s="860"/>
      <c r="AB55" s="860"/>
      <c r="AC55" s="860"/>
      <c r="AD55" s="860"/>
      <c r="AE55" s="860"/>
      <c r="AF55" s="860"/>
      <c r="AG55" s="860"/>
      <c r="AH55" s="860"/>
      <c r="AI55" s="860"/>
      <c r="AJ55" s="860"/>
      <c r="AK55" s="860"/>
      <c r="AL55" s="860"/>
      <c r="AM55" s="860"/>
      <c r="AN55" s="860"/>
      <c r="AO55" s="860"/>
      <c r="AP55" s="860"/>
      <c r="AQ55" s="860"/>
      <c r="AR55" s="860"/>
      <c r="AS55" s="860"/>
      <c r="AT55" s="860"/>
      <c r="AU55" s="860"/>
      <c r="AV55" s="860"/>
      <c r="AW55" s="860"/>
      <c r="AX55" s="860"/>
      <c r="AY55" s="860"/>
      <c r="AZ55" s="860"/>
      <c r="BA55" s="972"/>
    </row>
    <row r="56" spans="1:171">
      <c r="B56" s="557">
        <f t="shared" si="2"/>
        <v>51</v>
      </c>
      <c r="C56" s="580">
        <v>42036</v>
      </c>
      <c r="D56" s="590">
        <f t="shared" si="0"/>
        <v>42063</v>
      </c>
      <c r="E56" s="595">
        <v>4178</v>
      </c>
      <c r="F56" s="326">
        <v>0</v>
      </c>
      <c r="G56" s="326">
        <f t="shared" si="1"/>
        <v>0</v>
      </c>
      <c r="H56" s="327">
        <f>SUM($E$6:E55)-SUM($F$6:G55)</f>
        <v>198968</v>
      </c>
      <c r="I56" s="617"/>
      <c r="J56" s="618"/>
      <c r="K56" s="330"/>
      <c r="L56" s="326"/>
      <c r="M56" s="326"/>
      <c r="N56" s="604"/>
      <c r="O56" s="860"/>
      <c r="P56" s="860"/>
      <c r="Q56" s="860"/>
      <c r="R56" s="860"/>
      <c r="S56" s="860"/>
      <c r="T56" s="860"/>
      <c r="U56" s="860"/>
      <c r="V56" s="860"/>
      <c r="W56" s="860"/>
      <c r="X56" s="860"/>
      <c r="Y56" s="860"/>
      <c r="Z56" s="860"/>
      <c r="AA56" s="860"/>
      <c r="AB56" s="860"/>
      <c r="AC56" s="860"/>
      <c r="AD56" s="860"/>
      <c r="AE56" s="860"/>
      <c r="AF56" s="860"/>
      <c r="AG56" s="860"/>
      <c r="AH56" s="860"/>
      <c r="AI56" s="860"/>
      <c r="AJ56" s="860"/>
      <c r="AK56" s="860"/>
      <c r="AL56" s="860"/>
      <c r="AM56" s="860"/>
      <c r="AN56" s="860"/>
      <c r="AO56" s="860"/>
      <c r="AP56" s="860"/>
      <c r="AQ56" s="860"/>
      <c r="AR56" s="860"/>
      <c r="AS56" s="860"/>
      <c r="AT56" s="860"/>
      <c r="AU56" s="860"/>
      <c r="AV56" s="860"/>
      <c r="AW56" s="860"/>
      <c r="AX56" s="860"/>
      <c r="AY56" s="860"/>
      <c r="AZ56" s="860"/>
      <c r="BA56" s="972"/>
    </row>
    <row r="57" spans="1:171">
      <c r="B57" s="557">
        <f t="shared" si="2"/>
        <v>52</v>
      </c>
      <c r="C57" s="580">
        <v>42064</v>
      </c>
      <c r="D57" s="590">
        <f t="shared" si="0"/>
        <v>42094</v>
      </c>
      <c r="E57" s="595">
        <v>3932</v>
      </c>
      <c r="F57" s="326">
        <v>0</v>
      </c>
      <c r="G57" s="326">
        <f t="shared" si="1"/>
        <v>0</v>
      </c>
      <c r="H57" s="327">
        <f>SUM($E$6:E56)-SUM($F$6:G56)</f>
        <v>203146</v>
      </c>
      <c r="I57" s="617"/>
      <c r="J57" s="618"/>
      <c r="K57" s="330"/>
      <c r="L57" s="326"/>
      <c r="M57" s="326"/>
      <c r="N57" s="604"/>
      <c r="O57" s="860"/>
      <c r="P57" s="860"/>
      <c r="Q57" s="860"/>
      <c r="R57" s="860"/>
      <c r="S57" s="860"/>
      <c r="T57" s="860"/>
      <c r="U57" s="860"/>
      <c r="V57" s="860"/>
      <c r="W57" s="860"/>
      <c r="X57" s="860"/>
      <c r="Y57" s="860"/>
      <c r="Z57" s="860"/>
      <c r="AA57" s="860"/>
      <c r="AB57" s="860"/>
      <c r="AC57" s="860"/>
      <c r="AD57" s="860"/>
      <c r="AE57" s="860"/>
      <c r="AF57" s="860"/>
      <c r="AG57" s="860"/>
      <c r="AH57" s="860"/>
      <c r="AI57" s="860"/>
      <c r="AJ57" s="860"/>
      <c r="AK57" s="860"/>
      <c r="AL57" s="860"/>
      <c r="AM57" s="860"/>
      <c r="AN57" s="860"/>
      <c r="AO57" s="860"/>
      <c r="AP57" s="860"/>
      <c r="AQ57" s="860"/>
      <c r="AR57" s="860"/>
      <c r="AS57" s="860"/>
      <c r="AT57" s="860"/>
      <c r="AU57" s="860"/>
      <c r="AV57" s="860"/>
      <c r="AW57" s="860"/>
      <c r="AX57" s="860"/>
      <c r="AY57" s="860"/>
      <c r="AZ57" s="860"/>
      <c r="BA57" s="972"/>
    </row>
    <row r="58" spans="1:171" s="492" customFormat="1">
      <c r="A58" s="538"/>
      <c r="B58" s="557">
        <f t="shared" si="2"/>
        <v>53</v>
      </c>
      <c r="C58" s="580">
        <v>42095</v>
      </c>
      <c r="D58" s="590">
        <f t="shared" si="0"/>
        <v>42124</v>
      </c>
      <c r="E58" s="595">
        <v>1735</v>
      </c>
      <c r="F58" s="326">
        <v>0</v>
      </c>
      <c r="G58" s="326">
        <f t="shared" si="1"/>
        <v>0</v>
      </c>
      <c r="H58" s="327">
        <f>SUM($E$6:E57)-SUM($F$6:G57)</f>
        <v>207078</v>
      </c>
      <c r="I58" s="617"/>
      <c r="J58" s="618"/>
      <c r="K58" s="330"/>
      <c r="L58" s="326"/>
      <c r="M58" s="326"/>
      <c r="N58" s="604"/>
      <c r="O58" s="860"/>
      <c r="P58" s="860"/>
      <c r="Q58" s="860"/>
      <c r="R58" s="860"/>
      <c r="S58" s="860"/>
      <c r="T58" s="860"/>
      <c r="U58" s="860"/>
      <c r="V58" s="860"/>
      <c r="W58" s="860"/>
      <c r="X58" s="860"/>
      <c r="Y58" s="860"/>
      <c r="Z58" s="860"/>
      <c r="AA58" s="860"/>
      <c r="AB58" s="860"/>
      <c r="AC58" s="860"/>
      <c r="AD58" s="860"/>
      <c r="AE58" s="860"/>
      <c r="AF58" s="860"/>
      <c r="AG58" s="860"/>
      <c r="AH58" s="860"/>
      <c r="AI58" s="860"/>
      <c r="AJ58" s="860"/>
      <c r="AK58" s="860"/>
      <c r="AL58" s="860"/>
      <c r="AM58" s="860"/>
      <c r="AN58" s="860"/>
      <c r="AO58" s="860"/>
      <c r="AP58" s="860"/>
      <c r="AQ58" s="860"/>
      <c r="AR58" s="860"/>
      <c r="AS58" s="860"/>
      <c r="AT58" s="860"/>
      <c r="AU58" s="860"/>
      <c r="AV58" s="860"/>
      <c r="AW58" s="860"/>
      <c r="AX58" s="860"/>
      <c r="AY58" s="860"/>
      <c r="AZ58" s="860"/>
      <c r="BA58" s="972"/>
      <c r="BB58" s="538"/>
      <c r="BC58" s="538"/>
      <c r="BD58" s="538"/>
      <c r="BE58" s="538"/>
      <c r="BF58" s="538"/>
      <c r="BG58" s="538"/>
      <c r="BH58" s="538"/>
      <c r="BI58" s="538"/>
      <c r="BJ58" s="538"/>
      <c r="BK58" s="538"/>
      <c r="BL58" s="538"/>
      <c r="BM58" s="538"/>
      <c r="BN58" s="538"/>
      <c r="BO58" s="538"/>
      <c r="BP58" s="863"/>
      <c r="BQ58" s="863"/>
      <c r="BR58" s="863"/>
      <c r="BS58" s="863"/>
      <c r="BT58" s="863"/>
      <c r="BU58" s="863"/>
      <c r="BV58" s="863"/>
      <c r="BW58" s="863"/>
      <c r="BX58" s="863"/>
      <c r="BY58" s="863"/>
      <c r="BZ58" s="863"/>
      <c r="CA58" s="863"/>
      <c r="CB58" s="863"/>
      <c r="CC58" s="863"/>
      <c r="CD58" s="863"/>
      <c r="CE58" s="863"/>
      <c r="CF58" s="863"/>
      <c r="CG58" s="863"/>
      <c r="CH58" s="863"/>
      <c r="CI58" s="863"/>
      <c r="CJ58" s="863"/>
      <c r="CK58" s="863"/>
      <c r="CL58" s="863"/>
      <c r="CM58" s="863"/>
      <c r="CN58" s="863"/>
      <c r="CO58" s="863"/>
      <c r="CP58" s="863"/>
      <c r="CQ58" s="863"/>
      <c r="CR58" s="863"/>
      <c r="CS58" s="863"/>
      <c r="CT58" s="863"/>
      <c r="CU58" s="863"/>
      <c r="CV58" s="863"/>
      <c r="CW58" s="863"/>
      <c r="CX58" s="863"/>
      <c r="CY58" s="863"/>
      <c r="CZ58" s="863"/>
      <c r="DA58" s="863"/>
      <c r="DB58" s="863"/>
      <c r="DC58" s="863"/>
      <c r="DD58" s="863"/>
      <c r="DE58" s="863"/>
      <c r="DF58" s="863"/>
      <c r="DG58" s="863"/>
      <c r="DH58" s="863"/>
      <c r="DI58" s="863"/>
      <c r="DJ58" s="863"/>
      <c r="DK58" s="863"/>
      <c r="DL58" s="863"/>
      <c r="DM58" s="863"/>
      <c r="DN58" s="863"/>
      <c r="DO58" s="863"/>
      <c r="DP58" s="863"/>
      <c r="DQ58" s="863"/>
      <c r="DR58" s="863"/>
      <c r="DS58" s="863"/>
      <c r="DT58" s="863"/>
      <c r="DU58" s="863"/>
      <c r="DV58" s="863"/>
      <c r="DW58" s="863"/>
      <c r="DX58" s="863"/>
      <c r="DY58" s="863"/>
      <c r="DZ58" s="863"/>
      <c r="EA58" s="863"/>
      <c r="EB58" s="863"/>
      <c r="EC58" s="863"/>
      <c r="ED58" s="863"/>
      <c r="EE58" s="863"/>
      <c r="EF58" s="863"/>
      <c r="EG58" s="863"/>
      <c r="EH58" s="863"/>
      <c r="EI58" s="863"/>
      <c r="EJ58" s="863"/>
      <c r="EK58" s="863"/>
      <c r="EL58" s="863"/>
      <c r="EM58" s="863"/>
      <c r="EN58" s="863"/>
      <c r="EO58" s="863"/>
      <c r="EP58" s="863"/>
      <c r="EQ58" s="863"/>
      <c r="ER58" s="863"/>
      <c r="ES58" s="863"/>
      <c r="ET58" s="863"/>
      <c r="EU58" s="863"/>
      <c r="EV58" s="863"/>
      <c r="EW58" s="863"/>
      <c r="EX58" s="863"/>
      <c r="EY58" s="863"/>
      <c r="EZ58" s="863"/>
      <c r="FA58" s="863"/>
      <c r="FB58" s="863"/>
      <c r="FC58" s="863"/>
      <c r="FD58" s="863"/>
      <c r="FE58" s="863"/>
      <c r="FF58" s="863"/>
      <c r="FG58" s="863"/>
      <c r="FH58" s="863"/>
      <c r="FI58" s="863"/>
      <c r="FJ58" s="863"/>
      <c r="FK58" s="863"/>
      <c r="FL58" s="863"/>
      <c r="FM58" s="863"/>
      <c r="FN58" s="863"/>
      <c r="FO58" s="863"/>
    </row>
    <row r="59" spans="1:171">
      <c r="B59" s="557">
        <f t="shared" si="2"/>
        <v>54</v>
      </c>
      <c r="C59" s="580">
        <v>42125</v>
      </c>
      <c r="D59" s="590">
        <f t="shared" si="0"/>
        <v>42155</v>
      </c>
      <c r="E59" s="595">
        <v>3697</v>
      </c>
      <c r="F59" s="326">
        <v>0</v>
      </c>
      <c r="G59" s="326">
        <f t="shared" si="1"/>
        <v>0</v>
      </c>
      <c r="H59" s="327">
        <f>SUM($E$6:E58)-SUM($F$6:G58)</f>
        <v>208813</v>
      </c>
      <c r="I59" s="617"/>
      <c r="J59" s="618"/>
      <c r="K59" s="330"/>
      <c r="L59" s="326"/>
      <c r="M59" s="326"/>
      <c r="N59" s="604"/>
      <c r="O59" s="860"/>
      <c r="P59" s="860"/>
      <c r="Q59" s="860"/>
      <c r="R59" s="860"/>
      <c r="S59" s="860"/>
      <c r="T59" s="860"/>
      <c r="U59" s="860"/>
      <c r="V59" s="860"/>
      <c r="W59" s="860"/>
      <c r="X59" s="860"/>
      <c r="Y59" s="860"/>
      <c r="Z59" s="860"/>
      <c r="AA59" s="860"/>
      <c r="AB59" s="860"/>
      <c r="AC59" s="860"/>
      <c r="AD59" s="860"/>
      <c r="AE59" s="860"/>
      <c r="AF59" s="860"/>
      <c r="AG59" s="860"/>
      <c r="AH59" s="860"/>
      <c r="AI59" s="860"/>
      <c r="AJ59" s="860"/>
      <c r="AK59" s="860"/>
      <c r="AL59" s="860"/>
      <c r="AM59" s="860"/>
      <c r="AN59" s="860"/>
      <c r="AO59" s="860"/>
      <c r="AP59" s="860"/>
      <c r="AQ59" s="860"/>
      <c r="AR59" s="860"/>
      <c r="AS59" s="860"/>
      <c r="AT59" s="860"/>
      <c r="AU59" s="860"/>
      <c r="AV59" s="860"/>
      <c r="AW59" s="860"/>
      <c r="AX59" s="860"/>
      <c r="AY59" s="860"/>
      <c r="AZ59" s="860"/>
      <c r="BA59" s="972"/>
    </row>
    <row r="60" spans="1:171">
      <c r="B60" s="557">
        <f t="shared" si="2"/>
        <v>55</v>
      </c>
      <c r="C60" s="580">
        <v>42156</v>
      </c>
      <c r="D60" s="590">
        <f t="shared" si="0"/>
        <v>42185</v>
      </c>
      <c r="E60" s="595">
        <v>5191</v>
      </c>
      <c r="F60" s="326">
        <v>0</v>
      </c>
      <c r="G60" s="326">
        <f t="shared" si="1"/>
        <v>0</v>
      </c>
      <c r="H60" s="327">
        <f>SUM($E$6:E59)-SUM($F$6:G59)</f>
        <v>212510</v>
      </c>
      <c r="I60" s="617"/>
      <c r="J60" s="618"/>
      <c r="K60" s="330"/>
      <c r="L60" s="326"/>
      <c r="M60" s="326"/>
      <c r="N60" s="604"/>
      <c r="O60" s="860"/>
      <c r="P60" s="860"/>
      <c r="Q60" s="860"/>
      <c r="R60" s="860"/>
      <c r="S60" s="860"/>
      <c r="T60" s="860"/>
      <c r="U60" s="860"/>
      <c r="V60" s="860"/>
      <c r="W60" s="860"/>
      <c r="X60" s="860"/>
      <c r="Y60" s="860"/>
      <c r="Z60" s="860"/>
      <c r="AA60" s="860"/>
      <c r="AB60" s="860"/>
      <c r="AC60" s="860"/>
      <c r="AD60" s="860"/>
      <c r="AE60" s="860"/>
      <c r="AF60" s="860"/>
      <c r="AG60" s="860"/>
      <c r="AH60" s="860"/>
      <c r="AI60" s="860"/>
      <c r="AJ60" s="860"/>
      <c r="AK60" s="860"/>
      <c r="AL60" s="860"/>
      <c r="AM60" s="860"/>
      <c r="AN60" s="860"/>
      <c r="AO60" s="860"/>
      <c r="AP60" s="860"/>
      <c r="AQ60" s="860"/>
      <c r="AR60" s="860"/>
      <c r="AS60" s="860"/>
      <c r="AT60" s="860"/>
      <c r="AU60" s="860"/>
      <c r="AV60" s="860"/>
      <c r="AW60" s="860"/>
      <c r="AX60" s="860"/>
      <c r="AY60" s="860"/>
      <c r="AZ60" s="860"/>
      <c r="BA60" s="972"/>
    </row>
    <row r="61" spans="1:171">
      <c r="B61" s="557">
        <f t="shared" si="2"/>
        <v>56</v>
      </c>
      <c r="C61" s="580">
        <v>42186</v>
      </c>
      <c r="D61" s="590">
        <f t="shared" si="0"/>
        <v>42216</v>
      </c>
      <c r="E61" s="595">
        <v>3398</v>
      </c>
      <c r="F61" s="326">
        <v>0</v>
      </c>
      <c r="G61" s="326">
        <f t="shared" si="1"/>
        <v>0</v>
      </c>
      <c r="H61" s="327">
        <f>SUM($E$6:E60)-SUM($F$6:G60)</f>
        <v>217701</v>
      </c>
      <c r="I61" s="617"/>
      <c r="J61" s="618"/>
      <c r="K61" s="330"/>
      <c r="L61" s="326"/>
      <c r="M61" s="326"/>
      <c r="N61" s="604"/>
      <c r="O61" s="860"/>
      <c r="P61" s="860"/>
      <c r="Q61" s="860"/>
      <c r="R61" s="860"/>
      <c r="S61" s="860"/>
      <c r="T61" s="860"/>
      <c r="U61" s="860"/>
      <c r="V61" s="860"/>
      <c r="W61" s="860"/>
      <c r="X61" s="860"/>
      <c r="Y61" s="860"/>
      <c r="Z61" s="860"/>
      <c r="AA61" s="860"/>
      <c r="AB61" s="860"/>
      <c r="AC61" s="860"/>
      <c r="AD61" s="860"/>
      <c r="AE61" s="860"/>
      <c r="AF61" s="860"/>
      <c r="AG61" s="860"/>
      <c r="AH61" s="860"/>
      <c r="AI61" s="860"/>
      <c r="AJ61" s="860"/>
      <c r="AK61" s="860"/>
      <c r="AL61" s="860"/>
      <c r="AM61" s="860"/>
      <c r="AN61" s="860"/>
      <c r="AO61" s="860"/>
      <c r="AP61" s="860"/>
      <c r="AQ61" s="860"/>
      <c r="AR61" s="860"/>
      <c r="AS61" s="860"/>
      <c r="AT61" s="860"/>
      <c r="AU61" s="860"/>
      <c r="AV61" s="860"/>
      <c r="AW61" s="860"/>
      <c r="AX61" s="860"/>
      <c r="AY61" s="860"/>
      <c r="AZ61" s="860"/>
      <c r="BA61" s="972"/>
    </row>
    <row r="62" spans="1:171">
      <c r="B62" s="557">
        <f t="shared" si="2"/>
        <v>57</v>
      </c>
      <c r="C62" s="580">
        <v>42217</v>
      </c>
      <c r="D62" s="590">
        <f t="shared" si="0"/>
        <v>42247</v>
      </c>
      <c r="E62" s="595">
        <v>2951</v>
      </c>
      <c r="F62" s="326">
        <v>0</v>
      </c>
      <c r="G62" s="326">
        <f t="shared" si="1"/>
        <v>0</v>
      </c>
      <c r="H62" s="327">
        <f>SUM($E$6:E61)-SUM($F$6:G61)</f>
        <v>221099</v>
      </c>
      <c r="I62" s="617"/>
      <c r="J62" s="618"/>
      <c r="K62" s="330"/>
      <c r="L62" s="326"/>
      <c r="M62" s="326"/>
      <c r="N62" s="604"/>
      <c r="O62" s="860"/>
      <c r="P62" s="860"/>
      <c r="Q62" s="860"/>
      <c r="R62" s="860"/>
      <c r="S62" s="860"/>
      <c r="T62" s="860"/>
      <c r="U62" s="860"/>
      <c r="V62" s="860"/>
      <c r="W62" s="860"/>
      <c r="X62" s="860"/>
      <c r="Y62" s="860"/>
      <c r="Z62" s="860"/>
      <c r="AA62" s="860"/>
      <c r="AB62" s="860"/>
      <c r="AC62" s="860"/>
      <c r="AD62" s="860"/>
      <c r="AE62" s="860"/>
      <c r="AF62" s="860"/>
      <c r="AG62" s="860"/>
      <c r="AH62" s="860"/>
      <c r="AI62" s="860"/>
      <c r="AJ62" s="860"/>
      <c r="AK62" s="860"/>
      <c r="AL62" s="860"/>
      <c r="AM62" s="860"/>
      <c r="AN62" s="860"/>
      <c r="AO62" s="860"/>
      <c r="AP62" s="860"/>
      <c r="AQ62" s="860"/>
      <c r="AR62" s="860"/>
      <c r="AS62" s="860"/>
      <c r="AT62" s="860"/>
      <c r="AU62" s="860"/>
      <c r="AV62" s="860"/>
      <c r="AW62" s="860"/>
      <c r="AX62" s="860"/>
      <c r="AY62" s="860"/>
      <c r="AZ62" s="860"/>
      <c r="BA62" s="972"/>
    </row>
    <row r="63" spans="1:171">
      <c r="B63" s="557">
        <f t="shared" si="2"/>
        <v>58</v>
      </c>
      <c r="C63" s="580">
        <v>42248</v>
      </c>
      <c r="D63" s="590">
        <f t="shared" si="0"/>
        <v>42277</v>
      </c>
      <c r="E63" s="595">
        <v>3906</v>
      </c>
      <c r="F63" s="326">
        <v>0</v>
      </c>
      <c r="G63" s="326">
        <f>IF(B63&gt;=60,INDEX($B$6:$E$173,(B63-59),4),0)</f>
        <v>0</v>
      </c>
      <c r="H63" s="327">
        <f>SUM($E$6:E62)-SUM($F$6:G62)</f>
        <v>224050</v>
      </c>
      <c r="I63" s="617"/>
      <c r="J63" s="618"/>
      <c r="K63" s="330"/>
      <c r="L63" s="326"/>
      <c r="M63" s="326"/>
      <c r="N63" s="604"/>
      <c r="O63" s="860"/>
      <c r="P63" s="860"/>
      <c r="Q63" s="860"/>
      <c r="R63" s="860"/>
      <c r="S63" s="860"/>
      <c r="T63" s="860"/>
      <c r="U63" s="860"/>
      <c r="V63" s="860"/>
      <c r="W63" s="860"/>
      <c r="X63" s="860"/>
      <c r="Y63" s="860"/>
      <c r="Z63" s="860"/>
      <c r="AA63" s="860"/>
      <c r="AB63" s="860"/>
      <c r="AC63" s="860"/>
      <c r="AD63" s="860"/>
      <c r="AE63" s="860"/>
      <c r="AF63" s="860"/>
      <c r="AG63" s="860"/>
      <c r="AH63" s="860"/>
      <c r="AI63" s="860"/>
      <c r="AJ63" s="860"/>
      <c r="AK63" s="860"/>
      <c r="AL63" s="860"/>
      <c r="AM63" s="860"/>
      <c r="AN63" s="860"/>
      <c r="AO63" s="860"/>
      <c r="AP63" s="860"/>
      <c r="AQ63" s="860"/>
      <c r="AR63" s="860"/>
      <c r="AS63" s="860"/>
      <c r="AT63" s="860"/>
      <c r="AU63" s="860"/>
      <c r="AV63" s="860"/>
      <c r="AW63" s="860"/>
      <c r="AX63" s="860"/>
      <c r="AY63" s="860"/>
      <c r="AZ63" s="860"/>
      <c r="BA63" s="972"/>
    </row>
    <row r="64" spans="1:171">
      <c r="B64" s="557">
        <f t="shared" si="2"/>
        <v>59</v>
      </c>
      <c r="C64" s="580">
        <v>42278</v>
      </c>
      <c r="D64" s="590">
        <f t="shared" si="0"/>
        <v>42308</v>
      </c>
      <c r="E64" s="595">
        <v>2254</v>
      </c>
      <c r="F64" s="326">
        <v>0</v>
      </c>
      <c r="G64" s="326">
        <f t="shared" si="1"/>
        <v>0</v>
      </c>
      <c r="H64" s="327">
        <f>SUM($E$6:E63)-SUM($F$6:G63)</f>
        <v>227956</v>
      </c>
      <c r="I64" s="617"/>
      <c r="J64" s="618"/>
      <c r="K64" s="330"/>
      <c r="L64" s="326"/>
      <c r="M64" s="326"/>
      <c r="N64" s="604"/>
      <c r="O64" s="860"/>
      <c r="P64" s="860"/>
      <c r="Q64" s="860"/>
      <c r="R64" s="860"/>
      <c r="S64" s="860"/>
      <c r="T64" s="860"/>
      <c r="U64" s="860"/>
      <c r="V64" s="860"/>
      <c r="W64" s="860"/>
      <c r="X64" s="860"/>
      <c r="Y64" s="860"/>
      <c r="Z64" s="860"/>
      <c r="AA64" s="860"/>
      <c r="AB64" s="860"/>
      <c r="AC64" s="860"/>
      <c r="AD64" s="860"/>
      <c r="AE64" s="860"/>
      <c r="AF64" s="860"/>
      <c r="AG64" s="860"/>
      <c r="AH64" s="860"/>
      <c r="AI64" s="860"/>
      <c r="AJ64" s="860"/>
      <c r="AK64" s="860"/>
      <c r="AL64" s="860"/>
      <c r="AM64" s="860"/>
      <c r="AN64" s="860"/>
      <c r="AO64" s="860"/>
      <c r="AP64" s="860"/>
      <c r="AQ64" s="860"/>
      <c r="AR64" s="860"/>
      <c r="AS64" s="860"/>
      <c r="AT64" s="860"/>
      <c r="AU64" s="860"/>
      <c r="AV64" s="860"/>
      <c r="AW64" s="860"/>
      <c r="AX64" s="860"/>
      <c r="AY64" s="860"/>
      <c r="AZ64" s="860"/>
      <c r="BA64" s="972"/>
    </row>
    <row r="65" spans="1:171">
      <c r="B65" s="584">
        <f t="shared" si="2"/>
        <v>60</v>
      </c>
      <c r="C65" s="585">
        <v>42309</v>
      </c>
      <c r="D65" s="591">
        <f t="shared" si="0"/>
        <v>42338</v>
      </c>
      <c r="E65" s="596">
        <v>3795</v>
      </c>
      <c r="F65" s="586">
        <v>0</v>
      </c>
      <c r="G65" s="326">
        <f>IF(B65&gt;=60,INDEX($B$6:$E$173,(B65-59),4),0)</f>
        <v>3929</v>
      </c>
      <c r="H65" s="587">
        <f>SUM($E$6:E64)-SUM($F$6:G64)</f>
        <v>230210</v>
      </c>
      <c r="I65" s="619"/>
      <c r="J65" s="620"/>
      <c r="K65" s="592"/>
      <c r="L65" s="544"/>
      <c r="M65" s="544"/>
      <c r="N65" s="606"/>
      <c r="O65" s="860"/>
      <c r="P65" s="860"/>
      <c r="Q65" s="860"/>
      <c r="R65" s="860"/>
      <c r="S65" s="860"/>
      <c r="T65" s="860"/>
      <c r="U65" s="860"/>
      <c r="V65" s="860"/>
      <c r="W65" s="860"/>
      <c r="X65" s="860"/>
      <c r="Y65" s="860"/>
      <c r="Z65" s="860"/>
      <c r="AA65" s="860"/>
      <c r="AB65" s="860"/>
      <c r="AC65" s="860"/>
      <c r="AD65" s="860"/>
      <c r="AE65" s="860"/>
      <c r="AF65" s="860"/>
      <c r="AG65" s="860"/>
      <c r="AH65" s="860"/>
      <c r="AI65" s="860"/>
      <c r="AJ65" s="860"/>
      <c r="AK65" s="860"/>
      <c r="AL65" s="860"/>
      <c r="AM65" s="860"/>
      <c r="AN65" s="860"/>
      <c r="AO65" s="860"/>
      <c r="AP65" s="860"/>
      <c r="AQ65" s="860"/>
      <c r="AR65" s="860"/>
      <c r="AS65" s="860"/>
      <c r="AT65" s="860"/>
      <c r="AU65" s="860"/>
      <c r="AV65" s="860"/>
      <c r="AW65" s="860"/>
      <c r="AX65" s="860"/>
      <c r="AY65" s="860"/>
      <c r="AZ65" s="860"/>
      <c r="BA65" s="972"/>
    </row>
    <row r="66" spans="1:171">
      <c r="B66" s="557">
        <f t="shared" si="2"/>
        <v>61</v>
      </c>
      <c r="C66" s="580">
        <v>42339</v>
      </c>
      <c r="D66" s="590">
        <f t="shared" si="0"/>
        <v>42369</v>
      </c>
      <c r="E66" s="595">
        <v>5009</v>
      </c>
      <c r="F66" s="326">
        <v>0</v>
      </c>
      <c r="G66" s="326">
        <f>IF(B66&gt;=60,INDEX($B$6:$E$173,(B66-59),4),0)</f>
        <v>1219</v>
      </c>
      <c r="H66" s="327">
        <f>SUM($E$6:E65)-SUM($F$6:G65)</f>
        <v>230076</v>
      </c>
      <c r="I66" s="617"/>
      <c r="J66" s="618"/>
      <c r="K66" s="330"/>
      <c r="L66" s="326"/>
      <c r="M66" s="326"/>
      <c r="N66" s="604"/>
      <c r="O66" s="860"/>
      <c r="P66" s="860"/>
      <c r="Q66" s="860"/>
      <c r="R66" s="860"/>
      <c r="S66" s="860"/>
      <c r="T66" s="860"/>
      <c r="U66" s="860"/>
      <c r="V66" s="860"/>
      <c r="W66" s="860"/>
      <c r="X66" s="860"/>
      <c r="Y66" s="860"/>
      <c r="Z66" s="860"/>
      <c r="AA66" s="860"/>
      <c r="AB66" s="860"/>
      <c r="AC66" s="860"/>
      <c r="AD66" s="860"/>
      <c r="AE66" s="860"/>
      <c r="AF66" s="860"/>
      <c r="AG66" s="860"/>
      <c r="AH66" s="860"/>
      <c r="AI66" s="860"/>
      <c r="AJ66" s="860"/>
      <c r="AK66" s="860"/>
      <c r="AL66" s="860"/>
      <c r="AM66" s="860"/>
      <c r="AN66" s="860"/>
      <c r="AO66" s="860"/>
      <c r="AP66" s="860"/>
      <c r="AQ66" s="860"/>
      <c r="AR66" s="860"/>
      <c r="AS66" s="860"/>
      <c r="AT66" s="860"/>
      <c r="AU66" s="860"/>
      <c r="AV66" s="860"/>
      <c r="AW66" s="860"/>
      <c r="AX66" s="860"/>
      <c r="AY66" s="860"/>
      <c r="AZ66" s="860"/>
      <c r="BA66" s="972"/>
    </row>
    <row r="67" spans="1:171">
      <c r="A67" s="325"/>
      <c r="B67" s="557">
        <f t="shared" si="2"/>
        <v>62</v>
      </c>
      <c r="C67" s="580">
        <v>42370</v>
      </c>
      <c r="D67" s="590">
        <f t="shared" si="0"/>
        <v>42400</v>
      </c>
      <c r="E67" s="595">
        <v>3857</v>
      </c>
      <c r="F67" s="326">
        <v>0</v>
      </c>
      <c r="G67" s="326">
        <f>IF(B67&gt;=60,INDEX($B$6:$E$173,(B67-59),4),0)</f>
        <v>4260</v>
      </c>
      <c r="H67" s="327">
        <f>SUM($E$6:E66)-SUM($F$6:G66)</f>
        <v>233866</v>
      </c>
      <c r="I67" s="617"/>
      <c r="J67" s="618"/>
      <c r="K67" s="330"/>
      <c r="L67" s="326"/>
      <c r="M67" s="326"/>
      <c r="N67" s="604"/>
      <c r="O67" s="860"/>
      <c r="P67" s="860"/>
      <c r="Q67" s="860"/>
      <c r="R67" s="860"/>
      <c r="S67" s="860"/>
      <c r="T67" s="860"/>
      <c r="U67" s="860"/>
      <c r="V67" s="860"/>
      <c r="W67" s="860"/>
      <c r="X67" s="860"/>
      <c r="Y67" s="860"/>
      <c r="Z67" s="860"/>
      <c r="AA67" s="860"/>
      <c r="AB67" s="860"/>
      <c r="AC67" s="860"/>
      <c r="AD67" s="860"/>
      <c r="AE67" s="860"/>
      <c r="AF67" s="860"/>
      <c r="AG67" s="860"/>
      <c r="AH67" s="860"/>
      <c r="AI67" s="860"/>
      <c r="AJ67" s="860"/>
      <c r="AK67" s="860"/>
      <c r="AL67" s="860"/>
      <c r="AM67" s="860"/>
      <c r="AN67" s="860"/>
      <c r="AO67" s="860"/>
      <c r="AP67" s="860"/>
      <c r="AQ67" s="860"/>
      <c r="AR67" s="860"/>
      <c r="AS67" s="860"/>
      <c r="AT67" s="860"/>
      <c r="AU67" s="860"/>
      <c r="AV67" s="860"/>
      <c r="AW67" s="860"/>
      <c r="AX67" s="860"/>
      <c r="AY67" s="860"/>
      <c r="AZ67" s="860"/>
      <c r="BA67" s="972"/>
    </row>
    <row r="68" spans="1:171">
      <c r="A68" s="325"/>
      <c r="B68" s="557">
        <f t="shared" si="2"/>
        <v>63</v>
      </c>
      <c r="C68" s="580">
        <v>42401</v>
      </c>
      <c r="D68" s="590">
        <f t="shared" si="0"/>
        <v>42429</v>
      </c>
      <c r="E68" s="595">
        <v>4791</v>
      </c>
      <c r="F68" s="326">
        <v>0</v>
      </c>
      <c r="G68" s="326">
        <f t="shared" ref="G68:G131" si="3">IF(B68&gt;=60,INDEX($B$6:$E$173,(B68-59),4),0)</f>
        <v>1667</v>
      </c>
      <c r="H68" s="327">
        <f>SUM($E$6:E67)-SUM($F$6:G67)</f>
        <v>233463</v>
      </c>
      <c r="I68" s="617"/>
      <c r="J68" s="618"/>
      <c r="K68" s="330"/>
      <c r="L68" s="326"/>
      <c r="M68" s="326"/>
      <c r="N68" s="604"/>
      <c r="O68" s="860"/>
      <c r="P68" s="860"/>
      <c r="Q68" s="860"/>
      <c r="R68" s="860"/>
      <c r="S68" s="860"/>
      <c r="T68" s="860"/>
      <c r="U68" s="860"/>
      <c r="V68" s="860"/>
      <c r="W68" s="860"/>
      <c r="X68" s="860"/>
      <c r="Y68" s="860"/>
      <c r="Z68" s="860"/>
      <c r="AA68" s="860"/>
      <c r="AB68" s="860"/>
      <c r="AC68" s="860"/>
      <c r="AD68" s="860"/>
      <c r="AE68" s="860"/>
      <c r="AF68" s="860"/>
      <c r="AG68" s="860"/>
      <c r="AH68" s="860"/>
      <c r="AI68" s="860"/>
      <c r="AJ68" s="860"/>
      <c r="AK68" s="860"/>
      <c r="AL68" s="860"/>
      <c r="AM68" s="860"/>
      <c r="AN68" s="860"/>
      <c r="AO68" s="860"/>
      <c r="AP68" s="860"/>
      <c r="AQ68" s="860"/>
      <c r="AR68" s="860"/>
      <c r="AS68" s="860"/>
      <c r="AT68" s="860"/>
      <c r="AU68" s="860"/>
      <c r="AV68" s="860"/>
      <c r="AW68" s="860"/>
      <c r="AX68" s="860"/>
      <c r="AY68" s="860"/>
      <c r="AZ68" s="860"/>
      <c r="BA68" s="972"/>
    </row>
    <row r="69" spans="1:171">
      <c r="A69" s="325"/>
      <c r="B69" s="557">
        <f t="shared" si="2"/>
        <v>64</v>
      </c>
      <c r="C69" s="580">
        <v>42430</v>
      </c>
      <c r="D69" s="590">
        <f t="shared" si="0"/>
        <v>42460</v>
      </c>
      <c r="E69" s="595">
        <v>3840</v>
      </c>
      <c r="F69" s="326">
        <v>0</v>
      </c>
      <c r="G69" s="326">
        <f t="shared" si="3"/>
        <v>1135</v>
      </c>
      <c r="H69" s="327">
        <f>SUM($E$6:E68)-SUM($F$6:G68)</f>
        <v>236587</v>
      </c>
      <c r="I69" s="617"/>
      <c r="J69" s="618"/>
      <c r="K69" s="330"/>
      <c r="L69" s="326"/>
      <c r="M69" s="326"/>
      <c r="N69" s="604"/>
      <c r="O69" s="860"/>
      <c r="P69" s="860"/>
      <c r="Q69" s="860"/>
      <c r="R69" s="860"/>
      <c r="S69" s="860"/>
      <c r="T69" s="860"/>
      <c r="U69" s="860"/>
      <c r="V69" s="860"/>
      <c r="W69" s="860"/>
      <c r="X69" s="860"/>
      <c r="Y69" s="860"/>
      <c r="Z69" s="860"/>
      <c r="AA69" s="860"/>
      <c r="AB69" s="860"/>
      <c r="AC69" s="860"/>
      <c r="AD69" s="860"/>
      <c r="AE69" s="860"/>
      <c r="AF69" s="860"/>
      <c r="AG69" s="860"/>
      <c r="AH69" s="860"/>
      <c r="AI69" s="860"/>
      <c r="AJ69" s="860"/>
      <c r="AK69" s="860"/>
      <c r="AL69" s="860"/>
      <c r="AM69" s="860"/>
      <c r="AN69" s="860"/>
      <c r="AO69" s="860"/>
      <c r="AP69" s="860"/>
      <c r="AQ69" s="860"/>
      <c r="AR69" s="860"/>
      <c r="AS69" s="860"/>
      <c r="AT69" s="860"/>
      <c r="AU69" s="860"/>
      <c r="AV69" s="860"/>
      <c r="AW69" s="860"/>
      <c r="AX69" s="860"/>
      <c r="AY69" s="860"/>
      <c r="AZ69" s="860"/>
      <c r="BA69" s="972"/>
    </row>
    <row r="70" spans="1:171" s="492" customFormat="1">
      <c r="A70" s="574"/>
      <c r="B70" s="557">
        <f t="shared" si="2"/>
        <v>65</v>
      </c>
      <c r="C70" s="580">
        <v>42461</v>
      </c>
      <c r="D70" s="590">
        <f t="shared" si="0"/>
        <v>42490</v>
      </c>
      <c r="E70" s="595">
        <v>3079</v>
      </c>
      <c r="F70" s="326">
        <v>0</v>
      </c>
      <c r="G70" s="326">
        <f t="shared" si="3"/>
        <v>3891</v>
      </c>
      <c r="H70" s="327">
        <f>SUM($E$6:E69)-SUM($F$6:G69)</f>
        <v>239292</v>
      </c>
      <c r="I70" s="617"/>
      <c r="J70" s="618"/>
      <c r="K70" s="330"/>
      <c r="L70" s="326"/>
      <c r="M70" s="326"/>
      <c r="N70" s="604"/>
      <c r="O70" s="860"/>
      <c r="P70" s="860"/>
      <c r="Q70" s="860"/>
      <c r="R70" s="860"/>
      <c r="S70" s="860"/>
      <c r="T70" s="860"/>
      <c r="U70" s="860"/>
      <c r="V70" s="860"/>
      <c r="W70" s="860"/>
      <c r="X70" s="860"/>
      <c r="Y70" s="860"/>
      <c r="Z70" s="860"/>
      <c r="AA70" s="860"/>
      <c r="AB70" s="860"/>
      <c r="AC70" s="860"/>
      <c r="AD70" s="860"/>
      <c r="AE70" s="860"/>
      <c r="AF70" s="860"/>
      <c r="AG70" s="860"/>
      <c r="AH70" s="860"/>
      <c r="AI70" s="860"/>
      <c r="AJ70" s="860"/>
      <c r="AK70" s="860"/>
      <c r="AL70" s="860"/>
      <c r="AM70" s="860"/>
      <c r="AN70" s="860"/>
      <c r="AO70" s="860"/>
      <c r="AP70" s="860"/>
      <c r="AQ70" s="860"/>
      <c r="AR70" s="860"/>
      <c r="AS70" s="860"/>
      <c r="AT70" s="860"/>
      <c r="AU70" s="860"/>
      <c r="AV70" s="860"/>
      <c r="AW70" s="860"/>
      <c r="AX70" s="860"/>
      <c r="AY70" s="860"/>
      <c r="AZ70" s="860"/>
      <c r="BA70" s="972"/>
      <c r="BB70" s="538"/>
      <c r="BC70" s="538"/>
      <c r="BD70" s="538"/>
      <c r="BE70" s="538"/>
      <c r="BF70" s="538"/>
      <c r="BG70" s="538"/>
      <c r="BH70" s="538"/>
      <c r="BI70" s="538"/>
      <c r="BJ70" s="538"/>
      <c r="BK70" s="538"/>
      <c r="BL70" s="538"/>
      <c r="BM70" s="538"/>
      <c r="BN70" s="538"/>
      <c r="BO70" s="538"/>
      <c r="BP70" s="863"/>
      <c r="BQ70" s="863"/>
      <c r="BR70" s="863"/>
      <c r="BS70" s="863"/>
      <c r="BT70" s="863"/>
      <c r="BU70" s="863"/>
      <c r="BV70" s="863"/>
      <c r="BW70" s="863"/>
      <c r="BX70" s="863"/>
      <c r="BY70" s="863"/>
      <c r="BZ70" s="863"/>
      <c r="CA70" s="863"/>
      <c r="CB70" s="863"/>
      <c r="CC70" s="863"/>
      <c r="CD70" s="863"/>
      <c r="CE70" s="863"/>
      <c r="CF70" s="863"/>
      <c r="CG70" s="863"/>
      <c r="CH70" s="863"/>
      <c r="CI70" s="863"/>
      <c r="CJ70" s="863"/>
      <c r="CK70" s="863"/>
      <c r="CL70" s="863"/>
      <c r="CM70" s="863"/>
      <c r="CN70" s="863"/>
      <c r="CO70" s="863"/>
      <c r="CP70" s="863"/>
      <c r="CQ70" s="863"/>
      <c r="CR70" s="863"/>
      <c r="CS70" s="863"/>
      <c r="CT70" s="863"/>
      <c r="CU70" s="863"/>
      <c r="CV70" s="863"/>
      <c r="CW70" s="863"/>
      <c r="CX70" s="863"/>
      <c r="CY70" s="863"/>
      <c r="CZ70" s="863"/>
      <c r="DA70" s="863"/>
      <c r="DB70" s="863"/>
      <c r="DC70" s="863"/>
      <c r="DD70" s="863"/>
      <c r="DE70" s="863"/>
      <c r="DF70" s="863"/>
      <c r="DG70" s="863"/>
      <c r="DH70" s="863"/>
      <c r="DI70" s="863"/>
      <c r="DJ70" s="863"/>
      <c r="DK70" s="863"/>
      <c r="DL70" s="863"/>
      <c r="DM70" s="863"/>
      <c r="DN70" s="863"/>
      <c r="DO70" s="863"/>
      <c r="DP70" s="863"/>
      <c r="DQ70" s="863"/>
      <c r="DR70" s="863"/>
      <c r="DS70" s="863"/>
      <c r="DT70" s="863"/>
      <c r="DU70" s="863"/>
      <c r="DV70" s="863"/>
      <c r="DW70" s="863"/>
      <c r="DX70" s="863"/>
      <c r="DY70" s="863"/>
      <c r="DZ70" s="863"/>
      <c r="EA70" s="863"/>
      <c r="EB70" s="863"/>
      <c r="EC70" s="863"/>
      <c r="ED70" s="863"/>
      <c r="EE70" s="863"/>
      <c r="EF70" s="863"/>
      <c r="EG70" s="863"/>
      <c r="EH70" s="863"/>
      <c r="EI70" s="863"/>
      <c r="EJ70" s="863"/>
      <c r="EK70" s="863"/>
      <c r="EL70" s="863"/>
      <c r="EM70" s="863"/>
      <c r="EN70" s="863"/>
      <c r="EO70" s="863"/>
      <c r="EP70" s="863"/>
      <c r="EQ70" s="863"/>
      <c r="ER70" s="863"/>
      <c r="ES70" s="863"/>
      <c r="ET70" s="863"/>
      <c r="EU70" s="863"/>
      <c r="EV70" s="863"/>
      <c r="EW70" s="863"/>
      <c r="EX70" s="863"/>
      <c r="EY70" s="863"/>
      <c r="EZ70" s="863"/>
      <c r="FA70" s="863"/>
      <c r="FB70" s="863"/>
      <c r="FC70" s="863"/>
      <c r="FD70" s="863"/>
      <c r="FE70" s="863"/>
      <c r="FF70" s="863"/>
      <c r="FG70" s="863"/>
      <c r="FH70" s="863"/>
      <c r="FI70" s="863"/>
      <c r="FJ70" s="863"/>
      <c r="FK70" s="863"/>
      <c r="FL70" s="863"/>
      <c r="FM70" s="863"/>
      <c r="FN70" s="863"/>
      <c r="FO70" s="863"/>
    </row>
    <row r="71" spans="1:171">
      <c r="A71" s="325"/>
      <c r="B71" s="557">
        <f t="shared" si="2"/>
        <v>66</v>
      </c>
      <c r="C71" s="580">
        <v>42491</v>
      </c>
      <c r="D71" s="590">
        <f t="shared" ref="D71:D134" si="4">C72-1</f>
        <v>42521</v>
      </c>
      <c r="E71" s="595">
        <v>4861</v>
      </c>
      <c r="F71" s="326">
        <v>0</v>
      </c>
      <c r="G71" s="326">
        <f t="shared" si="3"/>
        <v>7153</v>
      </c>
      <c r="H71" s="327">
        <f>SUM($E$6:E70)-SUM($F$6:G70)</f>
        <v>238480</v>
      </c>
      <c r="I71" s="617"/>
      <c r="J71" s="618"/>
      <c r="K71" s="330"/>
      <c r="L71" s="326"/>
      <c r="M71" s="326"/>
      <c r="N71" s="604"/>
      <c r="O71" s="860"/>
      <c r="P71" s="860"/>
      <c r="Q71" s="860"/>
      <c r="R71" s="860"/>
      <c r="S71" s="860"/>
      <c r="T71" s="860"/>
      <c r="U71" s="860"/>
      <c r="V71" s="860"/>
      <c r="W71" s="860"/>
      <c r="X71" s="860"/>
      <c r="Y71" s="860"/>
      <c r="Z71" s="860"/>
      <c r="AA71" s="860"/>
      <c r="AB71" s="860"/>
      <c r="AC71" s="860"/>
      <c r="AD71" s="860"/>
      <c r="AE71" s="860"/>
      <c r="AF71" s="860"/>
      <c r="AG71" s="860"/>
      <c r="AH71" s="860"/>
      <c r="AI71" s="860"/>
      <c r="AJ71" s="860"/>
      <c r="AK71" s="860"/>
      <c r="AL71" s="860"/>
      <c r="AM71" s="860"/>
      <c r="AN71" s="860"/>
      <c r="AO71" s="860"/>
      <c r="AP71" s="860"/>
      <c r="AQ71" s="860"/>
      <c r="AR71" s="860"/>
      <c r="AS71" s="860"/>
      <c r="AT71" s="860"/>
      <c r="AU71" s="860"/>
      <c r="AV71" s="860"/>
      <c r="AW71" s="860"/>
      <c r="AX71" s="860"/>
      <c r="AY71" s="860"/>
      <c r="AZ71" s="860"/>
      <c r="BA71" s="972"/>
    </row>
    <row r="72" spans="1:171">
      <c r="A72" s="325"/>
      <c r="B72" s="557">
        <f t="shared" si="2"/>
        <v>67</v>
      </c>
      <c r="C72" s="580">
        <v>42522</v>
      </c>
      <c r="D72" s="590">
        <f t="shared" si="4"/>
        <v>42551</v>
      </c>
      <c r="E72" s="595">
        <v>6614</v>
      </c>
      <c r="F72" s="326">
        <v>0</v>
      </c>
      <c r="G72" s="326">
        <f t="shared" si="3"/>
        <v>5070</v>
      </c>
      <c r="H72" s="327">
        <f>SUM($E$6:E71)-SUM($F$6:G71)</f>
        <v>236188</v>
      </c>
      <c r="I72" s="617"/>
      <c r="J72" s="618"/>
      <c r="K72" s="330"/>
      <c r="L72" s="326"/>
      <c r="M72" s="326"/>
      <c r="N72" s="604"/>
      <c r="O72" s="860"/>
      <c r="P72" s="860"/>
      <c r="Q72" s="860"/>
      <c r="R72" s="860"/>
      <c r="S72" s="860"/>
      <c r="T72" s="860"/>
      <c r="U72" s="860"/>
      <c r="V72" s="860"/>
      <c r="W72" s="860"/>
      <c r="X72" s="860"/>
      <c r="Y72" s="860"/>
      <c r="Z72" s="860"/>
      <c r="AA72" s="860"/>
      <c r="AB72" s="860"/>
      <c r="AC72" s="860"/>
      <c r="AD72" s="860"/>
      <c r="AE72" s="860"/>
      <c r="AF72" s="860"/>
      <c r="AG72" s="860"/>
      <c r="AH72" s="860"/>
      <c r="AI72" s="860"/>
      <c r="AJ72" s="860"/>
      <c r="AK72" s="860"/>
      <c r="AL72" s="860"/>
      <c r="AM72" s="860"/>
      <c r="AN72" s="860"/>
      <c r="AO72" s="860"/>
      <c r="AP72" s="860"/>
      <c r="AQ72" s="860"/>
      <c r="AR72" s="860"/>
      <c r="AS72" s="860"/>
      <c r="AT72" s="860"/>
      <c r="AU72" s="860"/>
      <c r="AV72" s="860"/>
      <c r="AW72" s="860"/>
      <c r="AX72" s="860"/>
      <c r="AY72" s="860"/>
      <c r="AZ72" s="860"/>
      <c r="BA72" s="972"/>
    </row>
    <row r="73" spans="1:171">
      <c r="A73" s="325"/>
      <c r="B73" s="557">
        <f t="shared" si="2"/>
        <v>68</v>
      </c>
      <c r="C73" s="580">
        <v>42552</v>
      </c>
      <c r="D73" s="590">
        <f t="shared" si="4"/>
        <v>42582</v>
      </c>
      <c r="E73" s="595">
        <v>4050</v>
      </c>
      <c r="F73" s="326">
        <v>0</v>
      </c>
      <c r="G73" s="326">
        <f t="shared" si="3"/>
        <v>4679</v>
      </c>
      <c r="H73" s="327">
        <f>SUM($E$6:E72)-SUM($F$6:G72)</f>
        <v>237732</v>
      </c>
      <c r="I73" s="617"/>
      <c r="J73" s="618"/>
      <c r="K73" s="330"/>
      <c r="L73" s="326"/>
      <c r="M73" s="326"/>
      <c r="N73" s="604"/>
      <c r="O73" s="860"/>
      <c r="P73" s="860"/>
      <c r="Q73" s="860"/>
      <c r="R73" s="860"/>
      <c r="S73" s="860"/>
      <c r="T73" s="860"/>
      <c r="U73" s="860"/>
      <c r="V73" s="860"/>
      <c r="W73" s="860"/>
      <c r="X73" s="860"/>
      <c r="Y73" s="860"/>
      <c r="Z73" s="860"/>
      <c r="AA73" s="860"/>
      <c r="AB73" s="860"/>
      <c r="AC73" s="860"/>
      <c r="AD73" s="860"/>
      <c r="AE73" s="860"/>
      <c r="AF73" s="860"/>
      <c r="AG73" s="860"/>
      <c r="AH73" s="860"/>
      <c r="AI73" s="860"/>
      <c r="AJ73" s="860"/>
      <c r="AK73" s="860"/>
      <c r="AL73" s="860"/>
      <c r="AM73" s="860"/>
      <c r="AN73" s="860"/>
      <c r="AO73" s="860"/>
      <c r="AP73" s="860"/>
      <c r="AQ73" s="860"/>
      <c r="AR73" s="860"/>
      <c r="AS73" s="860"/>
      <c r="AT73" s="860"/>
      <c r="AU73" s="860"/>
      <c r="AV73" s="860"/>
      <c r="AW73" s="860"/>
      <c r="AX73" s="860"/>
      <c r="AY73" s="860"/>
      <c r="AZ73" s="860"/>
      <c r="BA73" s="972"/>
    </row>
    <row r="74" spans="1:171">
      <c r="A74" s="325"/>
      <c r="B74" s="557">
        <f t="shared" ref="B74:B137" si="5">B73+1</f>
        <v>69</v>
      </c>
      <c r="C74" s="580">
        <v>42583</v>
      </c>
      <c r="D74" s="590">
        <f t="shared" si="4"/>
        <v>42613</v>
      </c>
      <c r="E74" s="595">
        <v>3577</v>
      </c>
      <c r="F74" s="326">
        <v>0</v>
      </c>
      <c r="G74" s="326">
        <f t="shared" si="3"/>
        <v>2587</v>
      </c>
      <c r="H74" s="327">
        <f>SUM($E$6:E73)-SUM($F$6:G73)</f>
        <v>237103</v>
      </c>
      <c r="I74" s="617"/>
      <c r="J74" s="618"/>
      <c r="K74" s="330"/>
      <c r="L74" s="326"/>
      <c r="M74" s="326"/>
      <c r="N74" s="604"/>
      <c r="O74" s="860"/>
      <c r="P74" s="860"/>
      <c r="Q74" s="860"/>
      <c r="R74" s="860"/>
      <c r="S74" s="860"/>
      <c r="T74" s="860"/>
      <c r="U74" s="860"/>
      <c r="V74" s="860"/>
      <c r="W74" s="860"/>
      <c r="X74" s="860"/>
      <c r="Y74" s="860"/>
      <c r="Z74" s="860"/>
      <c r="AA74" s="860"/>
      <c r="AB74" s="860"/>
      <c r="AC74" s="860"/>
      <c r="AD74" s="860"/>
      <c r="AE74" s="860"/>
      <c r="AF74" s="860"/>
      <c r="AG74" s="860"/>
      <c r="AH74" s="860"/>
      <c r="AI74" s="860"/>
      <c r="AJ74" s="860"/>
      <c r="AK74" s="860"/>
      <c r="AL74" s="860"/>
      <c r="AM74" s="860"/>
      <c r="AN74" s="860"/>
      <c r="AO74" s="860"/>
      <c r="AP74" s="860"/>
      <c r="AQ74" s="860"/>
      <c r="AR74" s="860"/>
      <c r="AS74" s="860"/>
      <c r="AT74" s="860"/>
      <c r="AU74" s="860"/>
      <c r="AV74" s="860"/>
      <c r="AW74" s="860"/>
      <c r="AX74" s="860"/>
      <c r="AY74" s="860"/>
      <c r="AZ74" s="860"/>
      <c r="BA74" s="972"/>
    </row>
    <row r="75" spans="1:171">
      <c r="A75" s="325"/>
      <c r="B75" s="557">
        <f t="shared" si="5"/>
        <v>70</v>
      </c>
      <c r="C75" s="580">
        <v>42614</v>
      </c>
      <c r="D75" s="590">
        <f t="shared" si="4"/>
        <v>42643</v>
      </c>
      <c r="E75" s="595">
        <v>5804</v>
      </c>
      <c r="F75" s="326">
        <v>0</v>
      </c>
      <c r="G75" s="326">
        <f t="shared" si="3"/>
        <v>5773</v>
      </c>
      <c r="H75" s="327">
        <f>SUM($E$6:E74)-SUM($F$6:G74)</f>
        <v>238093</v>
      </c>
      <c r="I75" s="617"/>
      <c r="J75" s="618"/>
      <c r="K75" s="330"/>
      <c r="L75" s="326"/>
      <c r="M75" s="326"/>
      <c r="N75" s="604"/>
      <c r="O75" s="860"/>
      <c r="P75" s="860"/>
      <c r="Q75" s="860"/>
      <c r="R75" s="860"/>
      <c r="S75" s="860"/>
      <c r="T75" s="860"/>
      <c r="U75" s="860"/>
      <c r="V75" s="860"/>
      <c r="W75" s="860"/>
      <c r="X75" s="860"/>
      <c r="Y75" s="860"/>
      <c r="Z75" s="860"/>
      <c r="AA75" s="860"/>
      <c r="AB75" s="860"/>
      <c r="AC75" s="860"/>
      <c r="AD75" s="860"/>
      <c r="AE75" s="860"/>
      <c r="AF75" s="860"/>
      <c r="AG75" s="860"/>
      <c r="AH75" s="860"/>
      <c r="AI75" s="860"/>
      <c r="AJ75" s="860"/>
      <c r="AK75" s="860"/>
      <c r="AL75" s="860"/>
      <c r="AM75" s="860"/>
      <c r="AN75" s="860"/>
      <c r="AO75" s="860"/>
      <c r="AP75" s="860"/>
      <c r="AQ75" s="860"/>
      <c r="AR75" s="860"/>
      <c r="AS75" s="860"/>
      <c r="AT75" s="860"/>
      <c r="AU75" s="860"/>
      <c r="AV75" s="860"/>
      <c r="AW75" s="860"/>
      <c r="AX75" s="860"/>
      <c r="AY75" s="860"/>
      <c r="AZ75" s="860"/>
      <c r="BA75" s="972"/>
    </row>
    <row r="76" spans="1:171">
      <c r="A76" s="325"/>
      <c r="B76" s="557">
        <f t="shared" si="5"/>
        <v>71</v>
      </c>
      <c r="C76" s="580">
        <v>42644</v>
      </c>
      <c r="D76" s="590">
        <f t="shared" si="4"/>
        <v>42674</v>
      </c>
      <c r="E76" s="595">
        <v>3154</v>
      </c>
      <c r="F76" s="326">
        <v>0</v>
      </c>
      <c r="G76" s="326">
        <f t="shared" si="3"/>
        <v>3876</v>
      </c>
      <c r="H76" s="327">
        <f>SUM($E$6:E75)-SUM($F$6:G75)</f>
        <v>238124</v>
      </c>
      <c r="I76" s="617"/>
      <c r="J76" s="618"/>
      <c r="K76" s="330"/>
      <c r="L76" s="326"/>
      <c r="M76" s="326"/>
      <c r="N76" s="604"/>
      <c r="O76" s="860"/>
      <c r="P76" s="860"/>
      <c r="Q76" s="860"/>
      <c r="R76" s="860"/>
      <c r="S76" s="860"/>
      <c r="T76" s="860"/>
      <c r="U76" s="860"/>
      <c r="V76" s="860"/>
      <c r="W76" s="860"/>
      <c r="X76" s="860"/>
      <c r="Y76" s="860"/>
      <c r="Z76" s="860"/>
      <c r="AA76" s="860"/>
      <c r="AB76" s="860"/>
      <c r="AC76" s="860"/>
      <c r="AD76" s="860"/>
      <c r="AE76" s="860"/>
      <c r="AF76" s="860"/>
      <c r="AG76" s="860"/>
      <c r="AH76" s="860"/>
      <c r="AI76" s="860"/>
      <c r="AJ76" s="860"/>
      <c r="AK76" s="860"/>
      <c r="AL76" s="860"/>
      <c r="AM76" s="860"/>
      <c r="AN76" s="860"/>
      <c r="AO76" s="860"/>
      <c r="AP76" s="860"/>
      <c r="AQ76" s="860"/>
      <c r="AR76" s="860"/>
      <c r="AS76" s="860"/>
      <c r="AT76" s="860"/>
      <c r="AU76" s="860"/>
      <c r="AV76" s="860"/>
      <c r="AW76" s="860"/>
      <c r="AX76" s="860"/>
      <c r="AY76" s="860"/>
      <c r="AZ76" s="860"/>
      <c r="BA76" s="972"/>
    </row>
    <row r="77" spans="1:171">
      <c r="A77" s="325"/>
      <c r="B77" s="557">
        <f t="shared" si="5"/>
        <v>72</v>
      </c>
      <c r="C77" s="580">
        <v>42675</v>
      </c>
      <c r="D77" s="590">
        <f t="shared" si="4"/>
        <v>42704</v>
      </c>
      <c r="E77" s="595">
        <v>4090</v>
      </c>
      <c r="F77" s="326">
        <v>0</v>
      </c>
      <c r="G77" s="326">
        <f t="shared" si="3"/>
        <v>5108</v>
      </c>
      <c r="H77" s="327">
        <f>SUM($E$6:E76)-SUM($F$6:G76)</f>
        <v>237402</v>
      </c>
      <c r="I77" s="617"/>
      <c r="J77" s="618"/>
      <c r="K77" s="330"/>
      <c r="L77" s="326"/>
      <c r="M77" s="326"/>
      <c r="N77" s="604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  <c r="AT77" s="860"/>
      <c r="AU77" s="860"/>
      <c r="AV77" s="860"/>
      <c r="AW77" s="860"/>
      <c r="AX77" s="860"/>
      <c r="AY77" s="860"/>
      <c r="AZ77" s="860"/>
      <c r="BA77" s="972"/>
    </row>
    <row r="78" spans="1:171">
      <c r="A78" s="325"/>
      <c r="B78" s="557">
        <f t="shared" si="5"/>
        <v>73</v>
      </c>
      <c r="C78" s="580">
        <v>42705</v>
      </c>
      <c r="D78" s="590">
        <f t="shared" si="4"/>
        <v>42735</v>
      </c>
      <c r="E78" s="595">
        <v>5674</v>
      </c>
      <c r="F78" s="326">
        <v>0</v>
      </c>
      <c r="G78" s="326">
        <f t="shared" si="3"/>
        <v>3079</v>
      </c>
      <c r="H78" s="327">
        <f>SUM($E$6:E77)-SUM($F$6:G77)</f>
        <v>236384</v>
      </c>
      <c r="I78" s="617"/>
      <c r="J78" s="618"/>
      <c r="K78" s="330"/>
      <c r="L78" s="326"/>
      <c r="M78" s="326"/>
      <c r="N78" s="604"/>
      <c r="O78" s="860"/>
      <c r="P78" s="860"/>
      <c r="Q78" s="860"/>
      <c r="R78" s="860"/>
      <c r="S78" s="860"/>
      <c r="T78" s="860"/>
      <c r="U78" s="860"/>
      <c r="V78" s="860"/>
      <c r="W78" s="860"/>
      <c r="X78" s="860"/>
      <c r="Y78" s="860"/>
      <c r="Z78" s="860"/>
      <c r="AA78" s="860"/>
      <c r="AB78" s="860"/>
      <c r="AC78" s="860"/>
      <c r="AD78" s="860"/>
      <c r="AE78" s="860"/>
      <c r="AF78" s="860"/>
      <c r="AG78" s="860"/>
      <c r="AH78" s="860"/>
      <c r="AI78" s="860"/>
      <c r="AJ78" s="860"/>
      <c r="AK78" s="860"/>
      <c r="AL78" s="860"/>
      <c r="AM78" s="860"/>
      <c r="AN78" s="860"/>
      <c r="AO78" s="860"/>
      <c r="AP78" s="860"/>
      <c r="AQ78" s="860"/>
      <c r="AR78" s="860"/>
      <c r="AS78" s="860"/>
      <c r="AT78" s="860"/>
      <c r="AU78" s="860"/>
      <c r="AV78" s="860"/>
      <c r="AW78" s="860"/>
      <c r="AX78" s="860"/>
      <c r="AY78" s="860"/>
      <c r="AZ78" s="860"/>
      <c r="BA78" s="972"/>
    </row>
    <row r="79" spans="1:171">
      <c r="A79" s="325"/>
      <c r="B79" s="557">
        <f t="shared" si="5"/>
        <v>74</v>
      </c>
      <c r="C79" s="580">
        <v>42736</v>
      </c>
      <c r="D79" s="590">
        <f t="shared" si="4"/>
        <v>42766</v>
      </c>
      <c r="E79" s="595">
        <v>7198</v>
      </c>
      <c r="F79" s="326">
        <v>0</v>
      </c>
      <c r="G79" s="326">
        <f t="shared" si="3"/>
        <v>3401</v>
      </c>
      <c r="H79" s="327">
        <f>SUM($E$6:E78)-SUM($F$6:G78)</f>
        <v>238979</v>
      </c>
      <c r="I79" s="617"/>
      <c r="J79" s="618"/>
      <c r="K79" s="330"/>
      <c r="L79" s="326"/>
      <c r="M79" s="326"/>
      <c r="N79" s="604"/>
      <c r="O79" s="860"/>
      <c r="P79" s="860"/>
      <c r="Q79" s="860"/>
      <c r="R79" s="860"/>
      <c r="S79" s="860"/>
      <c r="T79" s="860"/>
      <c r="U79" s="860"/>
      <c r="V79" s="860"/>
      <c r="W79" s="860"/>
      <c r="X79" s="860"/>
      <c r="Y79" s="860"/>
      <c r="Z79" s="860"/>
      <c r="AA79" s="860"/>
      <c r="AB79" s="860"/>
      <c r="AC79" s="860"/>
      <c r="AD79" s="860"/>
      <c r="AE79" s="860"/>
      <c r="AF79" s="860"/>
      <c r="AG79" s="860"/>
      <c r="AH79" s="860"/>
      <c r="AI79" s="860"/>
      <c r="AJ79" s="860"/>
      <c r="AK79" s="860"/>
      <c r="AL79" s="860"/>
      <c r="AM79" s="860"/>
      <c r="AN79" s="860"/>
      <c r="AO79" s="860"/>
      <c r="AP79" s="860"/>
      <c r="AQ79" s="860"/>
      <c r="AR79" s="860"/>
      <c r="AS79" s="860"/>
      <c r="AT79" s="860"/>
      <c r="AU79" s="860"/>
      <c r="AV79" s="860"/>
      <c r="AW79" s="860"/>
      <c r="AX79" s="860"/>
      <c r="AY79" s="860"/>
      <c r="AZ79" s="860"/>
      <c r="BA79" s="972"/>
    </row>
    <row r="80" spans="1:171">
      <c r="A80" s="325"/>
      <c r="B80" s="557">
        <f t="shared" si="5"/>
        <v>75</v>
      </c>
      <c r="C80" s="580">
        <v>42767</v>
      </c>
      <c r="D80" s="590">
        <f t="shared" si="4"/>
        <v>42794</v>
      </c>
      <c r="E80" s="595">
        <v>4971</v>
      </c>
      <c r="F80" s="326">
        <v>0</v>
      </c>
      <c r="G80" s="326">
        <f t="shared" si="3"/>
        <v>3124</v>
      </c>
      <c r="H80" s="327">
        <f>SUM($E$6:E79)-SUM($F$6:G79)</f>
        <v>242776</v>
      </c>
      <c r="I80" s="617"/>
      <c r="J80" s="618"/>
      <c r="K80" s="330"/>
      <c r="L80" s="326"/>
      <c r="M80" s="326"/>
      <c r="N80" s="604"/>
      <c r="O80" s="860"/>
      <c r="P80" s="860"/>
      <c r="Q80" s="860"/>
      <c r="R80" s="860"/>
      <c r="S80" s="860"/>
      <c r="T80" s="860"/>
      <c r="U80" s="860"/>
      <c r="V80" s="860"/>
      <c r="W80" s="860"/>
      <c r="X80" s="860"/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  <c r="AJ80" s="860"/>
      <c r="AK80" s="860"/>
      <c r="AL80" s="860"/>
      <c r="AM80" s="860"/>
      <c r="AN80" s="860"/>
      <c r="AO80" s="860"/>
      <c r="AP80" s="860"/>
      <c r="AQ80" s="860"/>
      <c r="AR80" s="860"/>
      <c r="AS80" s="860"/>
      <c r="AT80" s="860"/>
      <c r="AU80" s="860"/>
      <c r="AV80" s="860"/>
      <c r="AW80" s="860"/>
      <c r="AX80" s="860"/>
      <c r="AY80" s="860"/>
      <c r="AZ80" s="860"/>
      <c r="BA80" s="972"/>
    </row>
    <row r="81" spans="1:171">
      <c r="A81" s="325"/>
      <c r="B81" s="557">
        <f t="shared" si="5"/>
        <v>76</v>
      </c>
      <c r="C81" s="580">
        <v>42795</v>
      </c>
      <c r="D81" s="590">
        <f t="shared" si="4"/>
        <v>42825</v>
      </c>
      <c r="E81" s="595">
        <v>4522</v>
      </c>
      <c r="F81" s="326">
        <v>0</v>
      </c>
      <c r="G81" s="326">
        <f t="shared" si="3"/>
        <v>2959</v>
      </c>
      <c r="H81" s="327">
        <f>SUM($E$6:E80)-SUM($F$6:G80)</f>
        <v>244623</v>
      </c>
      <c r="I81" s="617"/>
      <c r="J81" s="618"/>
      <c r="K81" s="330"/>
      <c r="L81" s="326"/>
      <c r="M81" s="326"/>
      <c r="N81" s="604"/>
      <c r="O81" s="860"/>
      <c r="P81" s="860"/>
      <c r="Q81" s="860"/>
      <c r="R81" s="860"/>
      <c r="S81" s="860"/>
      <c r="T81" s="860"/>
      <c r="U81" s="860"/>
      <c r="V81" s="860"/>
      <c r="W81" s="860"/>
      <c r="X81" s="860"/>
      <c r="Y81" s="860"/>
      <c r="Z81" s="860"/>
      <c r="AA81" s="860"/>
      <c r="AB81" s="860"/>
      <c r="AC81" s="860"/>
      <c r="AD81" s="860"/>
      <c r="AE81" s="860"/>
      <c r="AF81" s="860"/>
      <c r="AG81" s="860"/>
      <c r="AH81" s="860"/>
      <c r="AI81" s="860"/>
      <c r="AJ81" s="860"/>
      <c r="AK81" s="860"/>
      <c r="AL81" s="860"/>
      <c r="AM81" s="860"/>
      <c r="AN81" s="860"/>
      <c r="AO81" s="860"/>
      <c r="AP81" s="860"/>
      <c r="AQ81" s="860"/>
      <c r="AR81" s="860"/>
      <c r="AS81" s="860"/>
      <c r="AT81" s="860"/>
      <c r="AU81" s="860"/>
      <c r="AV81" s="860"/>
      <c r="AW81" s="860"/>
      <c r="AX81" s="860"/>
      <c r="AY81" s="860"/>
      <c r="AZ81" s="860"/>
      <c r="BA81" s="972"/>
    </row>
    <row r="82" spans="1:171">
      <c r="A82" s="325"/>
      <c r="B82" s="557">
        <f t="shared" si="5"/>
        <v>77</v>
      </c>
      <c r="C82" s="580">
        <v>42826</v>
      </c>
      <c r="D82" s="590">
        <f t="shared" si="4"/>
        <v>42855</v>
      </c>
      <c r="E82" s="595">
        <v>4309</v>
      </c>
      <c r="F82" s="326">
        <v>0</v>
      </c>
      <c r="G82" s="326">
        <f t="shared" si="3"/>
        <v>3655</v>
      </c>
      <c r="H82" s="327">
        <f>SUM($E$6:E81)-SUM($F$6:G81)</f>
        <v>246186</v>
      </c>
      <c r="I82" s="617"/>
      <c r="J82" s="618"/>
      <c r="K82" s="330"/>
      <c r="L82" s="326"/>
      <c r="M82" s="326"/>
      <c r="N82" s="604"/>
      <c r="O82" s="860"/>
      <c r="P82" s="860"/>
      <c r="Q82" s="860"/>
      <c r="R82" s="860"/>
      <c r="S82" s="860"/>
      <c r="T82" s="860"/>
      <c r="U82" s="860"/>
      <c r="V82" s="860"/>
      <c r="W82" s="860"/>
      <c r="X82" s="860"/>
      <c r="Y82" s="860"/>
      <c r="Z82" s="860"/>
      <c r="AA82" s="860"/>
      <c r="AB82" s="860"/>
      <c r="AC82" s="860"/>
      <c r="AD82" s="860"/>
      <c r="AE82" s="860"/>
      <c r="AF82" s="860"/>
      <c r="AG82" s="860"/>
      <c r="AH82" s="860"/>
      <c r="AI82" s="860"/>
      <c r="AJ82" s="860"/>
      <c r="AK82" s="860"/>
      <c r="AL82" s="860"/>
      <c r="AM82" s="860"/>
      <c r="AN82" s="860"/>
      <c r="AO82" s="860"/>
      <c r="AP82" s="860"/>
      <c r="AQ82" s="860"/>
      <c r="AR82" s="860"/>
      <c r="AS82" s="860"/>
      <c r="AT82" s="860"/>
      <c r="AU82" s="860"/>
      <c r="AV82" s="860"/>
      <c r="AW82" s="860"/>
      <c r="AX82" s="860"/>
      <c r="AY82" s="860"/>
      <c r="AZ82" s="860"/>
      <c r="BA82" s="972"/>
    </row>
    <row r="83" spans="1:171">
      <c r="A83" s="325"/>
      <c r="B83" s="557">
        <f t="shared" si="5"/>
        <v>78</v>
      </c>
      <c r="C83" s="580">
        <v>42856</v>
      </c>
      <c r="D83" s="590">
        <f t="shared" si="4"/>
        <v>42886</v>
      </c>
      <c r="E83" s="597">
        <v>3512</v>
      </c>
      <c r="F83" s="582">
        <v>0</v>
      </c>
      <c r="G83" s="326">
        <v>5655</v>
      </c>
      <c r="H83" s="327">
        <v>246840</v>
      </c>
      <c r="I83" s="617"/>
      <c r="J83" s="618"/>
      <c r="K83" s="330"/>
      <c r="L83" s="326"/>
      <c r="M83" s="326"/>
      <c r="N83" s="604"/>
      <c r="O83" s="860"/>
      <c r="P83" s="860"/>
      <c r="Q83" s="860"/>
      <c r="R83" s="860"/>
      <c r="S83" s="860"/>
      <c r="T83" s="860"/>
      <c r="U83" s="860"/>
      <c r="V83" s="860"/>
      <c r="W83" s="860"/>
      <c r="X83" s="860"/>
      <c r="Y83" s="860"/>
      <c r="Z83" s="860"/>
      <c r="AA83" s="860"/>
      <c r="AB83" s="860"/>
      <c r="AC83" s="860"/>
      <c r="AD83" s="860"/>
      <c r="AE83" s="860"/>
      <c r="AF83" s="860"/>
      <c r="AG83" s="860"/>
      <c r="AH83" s="860"/>
      <c r="AI83" s="860"/>
      <c r="AJ83" s="860"/>
      <c r="AK83" s="860"/>
      <c r="AL83" s="860"/>
      <c r="AM83" s="860"/>
      <c r="AN83" s="860"/>
      <c r="AO83" s="860"/>
      <c r="AP83" s="860"/>
      <c r="AQ83" s="860"/>
      <c r="AR83" s="860"/>
      <c r="AS83" s="860"/>
      <c r="AT83" s="860"/>
      <c r="AU83" s="860"/>
      <c r="AV83" s="860"/>
      <c r="AW83" s="860"/>
      <c r="AX83" s="860"/>
      <c r="AY83" s="860"/>
      <c r="AZ83" s="860"/>
      <c r="BA83" s="972"/>
    </row>
    <row r="84" spans="1:171">
      <c r="A84" s="325"/>
      <c r="B84" s="557">
        <f t="shared" si="5"/>
        <v>79</v>
      </c>
      <c r="C84" s="580">
        <v>42887</v>
      </c>
      <c r="D84" s="590">
        <f t="shared" si="4"/>
        <v>42916</v>
      </c>
      <c r="E84" s="595">
        <v>2897</v>
      </c>
      <c r="F84" s="326">
        <v>0</v>
      </c>
      <c r="G84" s="326">
        <v>2069</v>
      </c>
      <c r="H84" s="327">
        <v>244697</v>
      </c>
      <c r="I84" s="617"/>
      <c r="J84" s="618"/>
      <c r="K84" s="330"/>
      <c r="L84" s="326"/>
      <c r="M84" s="326"/>
      <c r="N84" s="604"/>
      <c r="O84" s="860"/>
      <c r="P84" s="860"/>
      <c r="Q84" s="860"/>
      <c r="R84" s="860"/>
      <c r="S84" s="860"/>
      <c r="T84" s="860"/>
      <c r="U84" s="860"/>
      <c r="V84" s="860"/>
      <c r="W84" s="860"/>
      <c r="X84" s="860"/>
      <c r="Y84" s="860"/>
      <c r="Z84" s="860"/>
      <c r="AA84" s="860"/>
      <c r="AB84" s="860"/>
      <c r="AC84" s="860"/>
      <c r="AD84" s="860"/>
      <c r="AE84" s="860"/>
      <c r="AF84" s="860"/>
      <c r="AG84" s="860"/>
      <c r="AH84" s="860"/>
      <c r="AI84" s="860"/>
      <c r="AJ84" s="860"/>
      <c r="AK84" s="860"/>
      <c r="AL84" s="860"/>
      <c r="AM84" s="860"/>
      <c r="AN84" s="860"/>
      <c r="AO84" s="860"/>
      <c r="AP84" s="860"/>
      <c r="AQ84" s="860"/>
      <c r="AR84" s="860"/>
      <c r="AS84" s="860"/>
      <c r="AT84" s="860"/>
      <c r="AU84" s="860"/>
      <c r="AV84" s="860"/>
      <c r="AW84" s="860"/>
      <c r="AX84" s="860"/>
      <c r="AY84" s="860"/>
      <c r="AZ84" s="860"/>
      <c r="BA84" s="972"/>
    </row>
    <row r="85" spans="1:171">
      <c r="A85" s="325"/>
      <c r="B85" s="557">
        <f t="shared" si="5"/>
        <v>80</v>
      </c>
      <c r="C85" s="580">
        <v>42917</v>
      </c>
      <c r="D85" s="590">
        <f t="shared" si="4"/>
        <v>42947</v>
      </c>
      <c r="E85" s="595">
        <v>2402</v>
      </c>
      <c r="F85" s="326">
        <v>0</v>
      </c>
      <c r="G85" s="326">
        <v>3996</v>
      </c>
      <c r="H85" s="327">
        <v>245525</v>
      </c>
      <c r="I85" s="617"/>
      <c r="J85" s="618"/>
      <c r="K85" s="330"/>
      <c r="L85" s="326"/>
      <c r="M85" s="326"/>
      <c r="N85" s="604"/>
      <c r="O85" s="860"/>
      <c r="P85" s="860"/>
      <c r="Q85" s="860"/>
      <c r="R85" s="860"/>
      <c r="S85" s="860"/>
      <c r="T85" s="860"/>
      <c r="U85" s="860"/>
      <c r="V85" s="860"/>
      <c r="W85" s="860"/>
      <c r="X85" s="860"/>
      <c r="Y85" s="860"/>
      <c r="Z85" s="860"/>
      <c r="AA85" s="860"/>
      <c r="AB85" s="860"/>
      <c r="AC85" s="860"/>
      <c r="AD85" s="860"/>
      <c r="AE85" s="860"/>
      <c r="AF85" s="860"/>
      <c r="AG85" s="860"/>
      <c r="AH85" s="860"/>
      <c r="AI85" s="860"/>
      <c r="AJ85" s="860"/>
      <c r="AK85" s="860"/>
      <c r="AL85" s="860"/>
      <c r="AM85" s="860"/>
      <c r="AN85" s="860"/>
      <c r="AO85" s="860"/>
      <c r="AP85" s="860"/>
      <c r="AQ85" s="860"/>
      <c r="AR85" s="860"/>
      <c r="AS85" s="860"/>
      <c r="AT85" s="860"/>
      <c r="AU85" s="860"/>
      <c r="AV85" s="860"/>
      <c r="AW85" s="860"/>
      <c r="AX85" s="860"/>
      <c r="AY85" s="860"/>
      <c r="AZ85" s="860"/>
      <c r="BA85" s="972"/>
    </row>
    <row r="86" spans="1:171">
      <c r="A86" s="325"/>
      <c r="B86" s="557">
        <f t="shared" si="5"/>
        <v>81</v>
      </c>
      <c r="C86" s="580">
        <v>42948</v>
      </c>
      <c r="D86" s="590">
        <f t="shared" si="4"/>
        <v>42978</v>
      </c>
      <c r="E86" s="595">
        <v>2656</v>
      </c>
      <c r="F86" s="326">
        <v>0</v>
      </c>
      <c r="G86" s="326">
        <v>3328</v>
      </c>
      <c r="H86" s="327">
        <v>243931</v>
      </c>
      <c r="I86" s="617"/>
      <c r="J86" s="618"/>
      <c r="K86" s="330"/>
      <c r="L86" s="326"/>
      <c r="M86" s="326"/>
      <c r="N86" s="604"/>
      <c r="O86" s="860"/>
      <c r="P86" s="860"/>
      <c r="Q86" s="860"/>
      <c r="R86" s="860"/>
      <c r="S86" s="860"/>
      <c r="T86" s="860"/>
      <c r="U86" s="860"/>
      <c r="V86" s="860"/>
      <c r="W86" s="860"/>
      <c r="X86" s="860"/>
      <c r="Y86" s="860"/>
      <c r="Z86" s="860"/>
      <c r="AA86" s="860"/>
      <c r="AB86" s="860"/>
      <c r="AC86" s="860"/>
      <c r="AD86" s="860"/>
      <c r="AE86" s="860"/>
      <c r="AF86" s="860"/>
      <c r="AG86" s="860"/>
      <c r="AH86" s="860"/>
      <c r="AI86" s="860"/>
      <c r="AJ86" s="860"/>
      <c r="AK86" s="860"/>
      <c r="AL86" s="860"/>
      <c r="AM86" s="860"/>
      <c r="AN86" s="860"/>
      <c r="AO86" s="860"/>
      <c r="AP86" s="860"/>
      <c r="AQ86" s="860"/>
      <c r="AR86" s="860"/>
      <c r="AS86" s="860"/>
      <c r="AT86" s="860"/>
      <c r="AU86" s="860"/>
      <c r="AV86" s="860"/>
      <c r="AW86" s="860"/>
      <c r="AX86" s="860"/>
      <c r="AY86" s="860"/>
      <c r="AZ86" s="860"/>
      <c r="BA86" s="972"/>
    </row>
    <row r="87" spans="1:171">
      <c r="A87" s="325"/>
      <c r="B87" s="557">
        <f t="shared" si="5"/>
        <v>82</v>
      </c>
      <c r="C87" s="580">
        <v>42979</v>
      </c>
      <c r="D87" s="590">
        <f t="shared" si="4"/>
        <v>43008</v>
      </c>
      <c r="E87" s="595">
        <v>3834</v>
      </c>
      <c r="F87" s="326">
        <v>0</v>
      </c>
      <c r="G87" s="326">
        <v>7729</v>
      </c>
      <c r="H87" s="327">
        <v>243259</v>
      </c>
      <c r="I87" s="617"/>
      <c r="J87" s="618"/>
      <c r="K87" s="330"/>
      <c r="L87" s="326"/>
      <c r="M87" s="326"/>
      <c r="N87" s="604"/>
      <c r="O87" s="860"/>
      <c r="P87" s="860"/>
      <c r="Q87" s="860"/>
      <c r="R87" s="860"/>
      <c r="S87" s="860"/>
      <c r="T87" s="860"/>
      <c r="U87" s="860"/>
      <c r="V87" s="860"/>
      <c r="W87" s="860"/>
      <c r="X87" s="860"/>
      <c r="Y87" s="860"/>
      <c r="Z87" s="860"/>
      <c r="AA87" s="860"/>
      <c r="AB87" s="860"/>
      <c r="AC87" s="860"/>
      <c r="AD87" s="860"/>
      <c r="AE87" s="860"/>
      <c r="AF87" s="860"/>
      <c r="AG87" s="860"/>
      <c r="AH87" s="860"/>
      <c r="AI87" s="860"/>
      <c r="AJ87" s="860"/>
      <c r="AK87" s="860"/>
      <c r="AL87" s="860"/>
      <c r="AM87" s="860"/>
      <c r="AN87" s="860"/>
      <c r="AO87" s="860"/>
      <c r="AP87" s="860"/>
      <c r="AQ87" s="860"/>
      <c r="AR87" s="860"/>
      <c r="AS87" s="860"/>
      <c r="AT87" s="860"/>
      <c r="AU87" s="860"/>
      <c r="AV87" s="860"/>
      <c r="AW87" s="860"/>
      <c r="AX87" s="860"/>
      <c r="AY87" s="860"/>
      <c r="AZ87" s="860"/>
      <c r="BA87" s="972"/>
    </row>
    <row r="88" spans="1:171">
      <c r="A88" s="325"/>
      <c r="B88" s="557">
        <f t="shared" si="5"/>
        <v>83</v>
      </c>
      <c r="C88" s="580">
        <v>43009</v>
      </c>
      <c r="D88" s="590">
        <f t="shared" si="4"/>
        <v>43039</v>
      </c>
      <c r="E88" s="595">
        <v>5672</v>
      </c>
      <c r="F88" s="326">
        <v>0</v>
      </c>
      <c r="G88" s="326">
        <v>4556</v>
      </c>
      <c r="H88" s="327">
        <v>239364</v>
      </c>
      <c r="I88" s="617"/>
      <c r="J88" s="618"/>
      <c r="K88" s="330"/>
      <c r="L88" s="326"/>
      <c r="M88" s="326"/>
      <c r="N88" s="604"/>
      <c r="O88" s="860"/>
      <c r="P88" s="860"/>
      <c r="Q88" s="860"/>
      <c r="R88" s="860"/>
      <c r="S88" s="860"/>
      <c r="T88" s="860"/>
      <c r="U88" s="860"/>
      <c r="V88" s="860"/>
      <c r="W88" s="860"/>
      <c r="X88" s="860"/>
      <c r="Y88" s="860"/>
      <c r="Z88" s="860"/>
      <c r="AA88" s="860"/>
      <c r="AB88" s="860"/>
      <c r="AC88" s="860"/>
      <c r="AD88" s="860"/>
      <c r="AE88" s="860"/>
      <c r="AF88" s="860"/>
      <c r="AG88" s="860"/>
      <c r="AH88" s="860"/>
      <c r="AI88" s="860"/>
      <c r="AJ88" s="860"/>
      <c r="AK88" s="860"/>
      <c r="AL88" s="860"/>
      <c r="AM88" s="860"/>
      <c r="AN88" s="860"/>
      <c r="AO88" s="860"/>
      <c r="AP88" s="860"/>
      <c r="AQ88" s="860"/>
      <c r="AR88" s="860"/>
      <c r="AS88" s="860"/>
      <c r="AT88" s="860"/>
      <c r="AU88" s="860"/>
      <c r="AV88" s="860"/>
      <c r="AW88" s="860"/>
      <c r="AX88" s="860"/>
      <c r="AY88" s="860"/>
      <c r="AZ88" s="860"/>
      <c r="BA88" s="972"/>
    </row>
    <row r="89" spans="1:171" s="530" customFormat="1" ht="15.75" thickBot="1">
      <c r="A89" s="583"/>
      <c r="B89" s="584">
        <f t="shared" si="5"/>
        <v>84</v>
      </c>
      <c r="C89" s="768">
        <v>43040</v>
      </c>
      <c r="D89" s="769">
        <f t="shared" si="4"/>
        <v>43069</v>
      </c>
      <c r="E89" s="598">
        <v>2424</v>
      </c>
      <c r="F89" s="542">
        <v>0</v>
      </c>
      <c r="G89" s="770">
        <v>2901</v>
      </c>
      <c r="H89" s="577">
        <v>240480</v>
      </c>
      <c r="I89" s="621"/>
      <c r="J89" s="622"/>
      <c r="K89" s="614"/>
      <c r="L89" s="578"/>
      <c r="M89" s="579"/>
      <c r="N89" s="607"/>
      <c r="O89" s="860"/>
      <c r="P89" s="860"/>
      <c r="Q89" s="860"/>
      <c r="R89" s="860"/>
      <c r="S89" s="860"/>
      <c r="T89" s="860"/>
      <c r="U89" s="860"/>
      <c r="V89" s="860"/>
      <c r="W89" s="860"/>
      <c r="X89" s="860"/>
      <c r="Y89" s="860"/>
      <c r="Z89" s="860"/>
      <c r="AA89" s="860"/>
      <c r="AB89" s="860"/>
      <c r="AC89" s="860"/>
      <c r="AD89" s="860"/>
      <c r="AE89" s="860"/>
      <c r="AF89" s="860"/>
      <c r="AG89" s="860"/>
      <c r="AH89" s="860"/>
      <c r="AI89" s="860"/>
      <c r="AJ89" s="860"/>
      <c r="AK89" s="860"/>
      <c r="AL89" s="860"/>
      <c r="AM89" s="860"/>
      <c r="AN89" s="860"/>
      <c r="AO89" s="860"/>
      <c r="AP89" s="860"/>
      <c r="AQ89" s="860"/>
      <c r="AR89" s="860"/>
      <c r="AS89" s="860"/>
      <c r="AT89" s="860"/>
      <c r="AU89" s="860"/>
      <c r="AV89" s="860"/>
      <c r="AW89" s="860"/>
      <c r="AX89" s="860"/>
      <c r="AY89" s="860"/>
      <c r="AZ89" s="860"/>
      <c r="BA89" s="972"/>
      <c r="BB89" s="538"/>
      <c r="BC89" s="538"/>
      <c r="BD89" s="538"/>
      <c r="BE89" s="538"/>
      <c r="BF89" s="538"/>
      <c r="BG89" s="538"/>
      <c r="BH89" s="538"/>
      <c r="BI89" s="538"/>
      <c r="BJ89" s="538"/>
      <c r="BK89" s="538"/>
      <c r="BL89" s="538"/>
      <c r="BM89" s="538"/>
      <c r="BN89" s="538"/>
      <c r="BO89" s="538"/>
      <c r="BP89" s="863"/>
      <c r="BQ89" s="863"/>
      <c r="BR89" s="863"/>
      <c r="BS89" s="863"/>
      <c r="BT89" s="863"/>
      <c r="BU89" s="863"/>
      <c r="BV89" s="863"/>
      <c r="BW89" s="863"/>
      <c r="BX89" s="863"/>
      <c r="BY89" s="863"/>
      <c r="BZ89" s="863"/>
      <c r="CA89" s="863"/>
      <c r="CB89" s="863"/>
      <c r="CC89" s="863"/>
      <c r="CD89" s="863"/>
      <c r="CE89" s="863"/>
      <c r="CF89" s="863"/>
      <c r="CG89" s="863"/>
      <c r="CH89" s="863"/>
      <c r="CI89" s="863"/>
      <c r="CJ89" s="863"/>
      <c r="CK89" s="863"/>
      <c r="CL89" s="863"/>
      <c r="CM89" s="863"/>
      <c r="CN89" s="863"/>
      <c r="CO89" s="863"/>
      <c r="CP89" s="863"/>
      <c r="CQ89" s="863"/>
      <c r="CR89" s="863"/>
      <c r="CS89" s="863"/>
      <c r="CT89" s="863"/>
      <c r="CU89" s="863"/>
      <c r="CV89" s="863"/>
      <c r="CW89" s="863"/>
      <c r="CX89" s="863"/>
      <c r="CY89" s="863"/>
      <c r="CZ89" s="863"/>
      <c r="DA89" s="863"/>
      <c r="DB89" s="863"/>
      <c r="DC89" s="863"/>
      <c r="DD89" s="863"/>
      <c r="DE89" s="863"/>
      <c r="DF89" s="863"/>
      <c r="DG89" s="863"/>
      <c r="DH89" s="863"/>
      <c r="DI89" s="863"/>
      <c r="DJ89" s="863"/>
      <c r="DK89" s="863"/>
      <c r="DL89" s="863"/>
      <c r="DM89" s="863"/>
      <c r="DN89" s="863"/>
      <c r="DO89" s="863"/>
      <c r="DP89" s="863"/>
      <c r="DQ89" s="863"/>
      <c r="DR89" s="863"/>
      <c r="DS89" s="863"/>
      <c r="DT89" s="863"/>
      <c r="DU89" s="863"/>
      <c r="DV89" s="863"/>
      <c r="DW89" s="863"/>
      <c r="DX89" s="863"/>
      <c r="DY89" s="863"/>
      <c r="DZ89" s="863"/>
      <c r="EA89" s="863"/>
      <c r="EB89" s="863"/>
      <c r="EC89" s="863"/>
      <c r="ED89" s="863"/>
      <c r="EE89" s="863"/>
      <c r="EF89" s="863"/>
      <c r="EG89" s="863"/>
      <c r="EH89" s="863"/>
      <c r="EI89" s="863"/>
      <c r="EJ89" s="863"/>
      <c r="EK89" s="863"/>
      <c r="EL89" s="863"/>
      <c r="EM89" s="863"/>
      <c r="EN89" s="863"/>
      <c r="EO89" s="863"/>
      <c r="EP89" s="863"/>
      <c r="EQ89" s="863"/>
      <c r="ER89" s="863"/>
      <c r="ES89" s="863"/>
      <c r="ET89" s="863"/>
      <c r="EU89" s="863"/>
      <c r="EV89" s="863"/>
      <c r="EW89" s="863"/>
      <c r="EX89" s="863"/>
      <c r="EY89" s="863"/>
      <c r="EZ89" s="863"/>
      <c r="FA89" s="863"/>
      <c r="FB89" s="863"/>
      <c r="FC89" s="863"/>
      <c r="FD89" s="863"/>
      <c r="FE89" s="863"/>
      <c r="FF89" s="863"/>
      <c r="FG89" s="863"/>
      <c r="FH89" s="863"/>
      <c r="FI89" s="863"/>
      <c r="FJ89" s="863"/>
      <c r="FK89" s="863"/>
      <c r="FL89" s="863"/>
      <c r="FM89" s="863"/>
      <c r="FN89" s="863"/>
      <c r="FO89" s="863"/>
    </row>
    <row r="90" spans="1:171" s="332" customFormat="1">
      <c r="A90" s="779" t="s">
        <v>330</v>
      </c>
      <c r="B90" s="780">
        <f t="shared" si="5"/>
        <v>85</v>
      </c>
      <c r="C90" s="781">
        <v>43070</v>
      </c>
      <c r="D90" s="782">
        <f t="shared" si="4"/>
        <v>43100</v>
      </c>
      <c r="E90" s="783">
        <v>3788</v>
      </c>
      <c r="F90" s="784"/>
      <c r="G90" s="785">
        <v>2707</v>
      </c>
      <c r="H90" s="786">
        <v>240003</v>
      </c>
      <c r="I90" s="787">
        <v>0.75931861663936573</v>
      </c>
      <c r="J90" s="788">
        <v>0.89400000000000002</v>
      </c>
      <c r="K90" s="803">
        <v>12526.247740800443</v>
      </c>
      <c r="L90" s="789">
        <v>5188.4347174733157</v>
      </c>
      <c r="M90" s="789">
        <v>242.63034683859772</v>
      </c>
      <c r="N90" s="790">
        <v>7095.18267648853</v>
      </c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62"/>
      <c r="AF90" s="862"/>
      <c r="AG90" s="862"/>
      <c r="AH90" s="862"/>
      <c r="AI90" s="862"/>
      <c r="AJ90" s="862"/>
      <c r="AK90" s="862"/>
      <c r="AL90" s="862"/>
      <c r="AM90" s="862"/>
      <c r="AN90" s="862"/>
      <c r="AO90" s="862"/>
      <c r="AP90" s="862"/>
      <c r="AQ90" s="862"/>
      <c r="AR90" s="862"/>
      <c r="AS90" s="862"/>
      <c r="AT90" s="862"/>
      <c r="AU90" s="862"/>
      <c r="AV90" s="862"/>
      <c r="AW90" s="862"/>
      <c r="AX90" s="862"/>
      <c r="AY90" s="862"/>
      <c r="AZ90" s="862"/>
      <c r="BA90" s="974"/>
      <c r="BB90" s="882">
        <v>4960.806941154895</v>
      </c>
      <c r="BC90" s="883">
        <v>91.710917353701603</v>
      </c>
      <c r="BD90" s="884">
        <v>0.88200000000000001</v>
      </c>
      <c r="BE90" s="884">
        <v>0.89600000000000002</v>
      </c>
      <c r="BF90" s="885">
        <v>710301.63079445716</v>
      </c>
      <c r="BG90" s="885">
        <v>400224.66067740199</v>
      </c>
      <c r="BH90" s="883">
        <v>777135.26345126599</v>
      </c>
      <c r="BI90" s="883">
        <v>78.750030508153515</v>
      </c>
      <c r="BJ90" s="886">
        <v>105</v>
      </c>
      <c r="BK90" s="887">
        <v>7095.18267648853</v>
      </c>
      <c r="BL90" s="888">
        <v>30.5939373490897</v>
      </c>
      <c r="BM90" s="575"/>
      <c r="BN90" s="575"/>
      <c r="BO90" s="575"/>
      <c r="BP90" s="924"/>
      <c r="BQ90" s="924"/>
      <c r="BR90" s="924"/>
      <c r="BS90" s="924"/>
      <c r="BT90" s="924"/>
      <c r="BU90" s="924"/>
      <c r="BV90" s="924"/>
      <c r="BW90" s="924"/>
      <c r="BX90" s="924"/>
      <c r="BY90" s="924"/>
      <c r="BZ90" s="924"/>
      <c r="CA90" s="924"/>
      <c r="CB90" s="924"/>
      <c r="CC90" s="924"/>
      <c r="CD90" s="924"/>
      <c r="CE90" s="924"/>
      <c r="CF90" s="924"/>
      <c r="CG90" s="924"/>
      <c r="CH90" s="924"/>
      <c r="CI90" s="924"/>
      <c r="CJ90" s="924"/>
      <c r="CK90" s="924"/>
      <c r="CL90" s="924"/>
      <c r="CM90" s="924"/>
      <c r="CN90" s="924"/>
      <c r="CO90" s="924"/>
      <c r="CP90" s="924"/>
      <c r="CQ90" s="924"/>
      <c r="CR90" s="924"/>
      <c r="CS90" s="924"/>
      <c r="CT90" s="924"/>
      <c r="CU90" s="924"/>
      <c r="CV90" s="924"/>
      <c r="CW90" s="924"/>
      <c r="CX90" s="924"/>
      <c r="CY90" s="924"/>
      <c r="CZ90" s="924"/>
      <c r="DA90" s="924"/>
      <c r="DB90" s="924"/>
      <c r="DC90" s="924"/>
      <c r="DD90" s="924"/>
      <c r="DE90" s="924"/>
      <c r="DF90" s="924"/>
      <c r="DG90" s="924"/>
      <c r="DH90" s="924"/>
      <c r="DI90" s="924"/>
      <c r="DJ90" s="924"/>
      <c r="DK90" s="924"/>
      <c r="DL90" s="924"/>
      <c r="DM90" s="924"/>
      <c r="DN90" s="924"/>
      <c r="DO90" s="924"/>
      <c r="DP90" s="924"/>
      <c r="DQ90" s="924"/>
      <c r="DR90" s="924"/>
      <c r="DS90" s="924"/>
      <c r="DT90" s="924"/>
      <c r="DU90" s="924"/>
      <c r="DV90" s="924"/>
      <c r="DW90" s="924"/>
      <c r="DX90" s="924"/>
      <c r="DY90" s="924"/>
      <c r="DZ90" s="924"/>
      <c r="EA90" s="924"/>
      <c r="EB90" s="924"/>
      <c r="EC90" s="924"/>
      <c r="ED90" s="924"/>
      <c r="EE90" s="924"/>
      <c r="EF90" s="924"/>
      <c r="EG90" s="924"/>
      <c r="EH90" s="924"/>
      <c r="EI90" s="924"/>
      <c r="EJ90" s="924"/>
      <c r="EK90" s="924"/>
      <c r="EL90" s="924"/>
      <c r="EM90" s="924"/>
      <c r="EN90" s="924"/>
      <c r="EO90" s="924"/>
      <c r="EP90" s="924"/>
      <c r="EQ90" s="924"/>
      <c r="ER90" s="924"/>
      <c r="ES90" s="924"/>
      <c r="ET90" s="924"/>
      <c r="EU90" s="924"/>
      <c r="EV90" s="924"/>
      <c r="EW90" s="924"/>
      <c r="EX90" s="924"/>
      <c r="EY90" s="924"/>
      <c r="EZ90" s="924"/>
      <c r="FA90" s="924"/>
      <c r="FB90" s="924"/>
      <c r="FC90" s="924"/>
      <c r="FD90" s="924"/>
      <c r="FE90" s="924"/>
      <c r="FF90" s="924"/>
      <c r="FG90" s="924"/>
      <c r="FH90" s="924"/>
      <c r="FI90" s="924"/>
      <c r="FJ90" s="924"/>
      <c r="FK90" s="924"/>
      <c r="FL90" s="924"/>
      <c r="FM90" s="924"/>
      <c r="FN90" s="924"/>
      <c r="FO90" s="924"/>
    </row>
    <row r="91" spans="1:171">
      <c r="A91" s="791" t="s">
        <v>330</v>
      </c>
      <c r="B91" s="792">
        <f t="shared" si="5"/>
        <v>86</v>
      </c>
      <c r="C91" s="529">
        <v>43101</v>
      </c>
      <c r="D91" s="540">
        <f t="shared" si="4"/>
        <v>43131</v>
      </c>
      <c r="E91" s="599">
        <v>1857</v>
      </c>
      <c r="F91" s="541"/>
      <c r="G91" s="326">
        <v>3447</v>
      </c>
      <c r="H91" s="610">
        <v>241084</v>
      </c>
      <c r="I91" s="623">
        <v>0.75931861663936573</v>
      </c>
      <c r="J91" s="624">
        <v>0.89400000000000002</v>
      </c>
      <c r="K91" s="804">
        <v>12582.667343087935</v>
      </c>
      <c r="L91" s="541">
        <v>5211.804000063903</v>
      </c>
      <c r="M91" s="576">
        <v>243.72318069872665</v>
      </c>
      <c r="N91" s="761">
        <v>7127.140162325305</v>
      </c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62"/>
      <c r="AF91" s="862"/>
      <c r="AG91" s="862"/>
      <c r="AH91" s="862"/>
      <c r="AI91" s="862"/>
      <c r="AJ91" s="862"/>
      <c r="AK91" s="862"/>
      <c r="AL91" s="862"/>
      <c r="AM91" s="862"/>
      <c r="AN91" s="862"/>
      <c r="AO91" s="862"/>
      <c r="AP91" s="862"/>
      <c r="AQ91" s="862"/>
      <c r="AR91" s="862"/>
      <c r="AS91" s="862"/>
      <c r="AT91" s="862"/>
      <c r="AU91" s="862"/>
      <c r="AV91" s="862"/>
      <c r="AW91" s="862"/>
      <c r="AX91" s="862"/>
      <c r="AY91" s="862"/>
      <c r="AZ91" s="862"/>
      <c r="BA91" s="974"/>
      <c r="BB91" s="889">
        <v>4983.1509631187391</v>
      </c>
      <c r="BC91" s="875">
        <v>92.123993447164395</v>
      </c>
      <c r="BD91" s="876">
        <v>0.88200000000000001</v>
      </c>
      <c r="BE91" s="876">
        <v>0.89600000000000002</v>
      </c>
      <c r="BF91" s="877">
        <v>713500.90773219895</v>
      </c>
      <c r="BG91" s="877">
        <v>402027.31672000268</v>
      </c>
      <c r="BH91" s="875">
        <v>780635.56644660712</v>
      </c>
      <c r="BI91" s="875">
        <v>79.104729336831966</v>
      </c>
      <c r="BJ91" s="878">
        <v>105</v>
      </c>
      <c r="BK91" s="879">
        <v>7127.140162325305</v>
      </c>
      <c r="BL91" s="890">
        <v>30.731735819418681</v>
      </c>
    </row>
    <row r="92" spans="1:171">
      <c r="A92" s="791" t="s">
        <v>330</v>
      </c>
      <c r="B92" s="792">
        <f t="shared" si="5"/>
        <v>87</v>
      </c>
      <c r="C92" s="529">
        <v>43132</v>
      </c>
      <c r="D92" s="540">
        <f t="shared" si="4"/>
        <v>43159</v>
      </c>
      <c r="E92" s="599">
        <v>1429</v>
      </c>
      <c r="F92" s="541"/>
      <c r="G92" s="326">
        <v>4511</v>
      </c>
      <c r="H92" s="610">
        <v>239494</v>
      </c>
      <c r="I92" s="623">
        <v>0.75931861663936573</v>
      </c>
      <c r="J92" s="624">
        <v>0.89400000000000002</v>
      </c>
      <c r="K92" s="804">
        <v>12499.681989122057</v>
      </c>
      <c r="L92" s="541">
        <v>5177.4310497225215</v>
      </c>
      <c r="M92" s="576">
        <v>242.11577474349539</v>
      </c>
      <c r="N92" s="761">
        <v>7080.1351646560397</v>
      </c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  <c r="AJ92" s="862"/>
      <c r="AK92" s="862"/>
      <c r="AL92" s="862"/>
      <c r="AM92" s="862"/>
      <c r="AN92" s="862"/>
      <c r="AO92" s="862"/>
      <c r="AP92" s="862"/>
      <c r="AQ92" s="862"/>
      <c r="AR92" s="862"/>
      <c r="AS92" s="862"/>
      <c r="AT92" s="862"/>
      <c r="AU92" s="862"/>
      <c r="AV92" s="862"/>
      <c r="AW92" s="862"/>
      <c r="AX92" s="862"/>
      <c r="AY92" s="862"/>
      <c r="AZ92" s="862"/>
      <c r="BA92" s="974"/>
      <c r="BB92" s="889">
        <v>4950.2860279452771</v>
      </c>
      <c r="BC92" s="875">
        <v>91.516416214411521</v>
      </c>
      <c r="BD92" s="876">
        <v>0.88200000000000001</v>
      </c>
      <c r="BE92" s="876">
        <v>0.89600000000000002</v>
      </c>
      <c r="BF92" s="877">
        <v>708795.2182493041</v>
      </c>
      <c r="BG92" s="877">
        <v>399375.86148620525</v>
      </c>
      <c r="BH92" s="875">
        <v>775487.10968195193</v>
      </c>
      <c r="BI92" s="875">
        <v>78.583016906120818</v>
      </c>
      <c r="BJ92" s="878">
        <v>105</v>
      </c>
      <c r="BK92" s="879">
        <v>7080.1351646560397</v>
      </c>
      <c r="BL92" s="890">
        <v>30.529053518009725</v>
      </c>
    </row>
    <row r="93" spans="1:171">
      <c r="A93" s="791" t="s">
        <v>330</v>
      </c>
      <c r="B93" s="792">
        <f t="shared" si="5"/>
        <v>88</v>
      </c>
      <c r="C93" s="528">
        <v>43160</v>
      </c>
      <c r="D93" s="540">
        <f t="shared" si="4"/>
        <v>43190</v>
      </c>
      <c r="E93" s="599">
        <v>2944</v>
      </c>
      <c r="F93" s="541"/>
      <c r="G93" s="326">
        <v>4295</v>
      </c>
      <c r="H93" s="610">
        <v>236412</v>
      </c>
      <c r="I93" s="623">
        <v>0.75931861663936573</v>
      </c>
      <c r="J93" s="624">
        <v>0.89400000000000002</v>
      </c>
      <c r="K93" s="804">
        <v>12338.826101749204</v>
      </c>
      <c r="L93" s="541">
        <v>5110.8037334004221</v>
      </c>
      <c r="M93" s="576">
        <v>239.00003565291502</v>
      </c>
      <c r="N93" s="761">
        <v>6989.0223326958667</v>
      </c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  <c r="AJ93" s="862"/>
      <c r="AK93" s="862"/>
      <c r="AL93" s="862"/>
      <c r="AM93" s="862"/>
      <c r="AN93" s="862"/>
      <c r="AO93" s="862"/>
      <c r="AP93" s="862"/>
      <c r="AQ93" s="862"/>
      <c r="AR93" s="862"/>
      <c r="AS93" s="862"/>
      <c r="AT93" s="862"/>
      <c r="AU93" s="862"/>
      <c r="AV93" s="862"/>
      <c r="AW93" s="862"/>
      <c r="AX93" s="862"/>
      <c r="AY93" s="862"/>
      <c r="AZ93" s="862"/>
      <c r="BA93" s="974"/>
      <c r="BB93" s="889">
        <v>4886.5817951121917</v>
      </c>
      <c r="BC93" s="875">
        <v>90.338709905389948</v>
      </c>
      <c r="BD93" s="876">
        <v>0.88200000000000001</v>
      </c>
      <c r="BE93" s="876">
        <v>0.89600000000000002</v>
      </c>
      <c r="BF93" s="877">
        <v>699673.87549063656</v>
      </c>
      <c r="BG93" s="877">
        <v>394236.37404559937</v>
      </c>
      <c r="BH93" s="875">
        <v>765507.52241863951</v>
      </c>
      <c r="BI93" s="875">
        <v>77.571747905207815</v>
      </c>
      <c r="BJ93" s="878">
        <v>105</v>
      </c>
      <c r="BK93" s="879">
        <v>6989.0223326958667</v>
      </c>
      <c r="BL93" s="890">
        <v>30.136181283454775</v>
      </c>
    </row>
    <row r="94" spans="1:171" s="492" customFormat="1">
      <c r="A94" s="791" t="s">
        <v>330</v>
      </c>
      <c r="B94" s="792">
        <f t="shared" si="5"/>
        <v>89</v>
      </c>
      <c r="C94" s="529">
        <v>43191</v>
      </c>
      <c r="D94" s="540">
        <f t="shared" si="4"/>
        <v>43220</v>
      </c>
      <c r="E94" s="599">
        <v>928</v>
      </c>
      <c r="F94" s="541"/>
      <c r="G94" s="326">
        <v>4978</v>
      </c>
      <c r="H94" s="610">
        <v>235061</v>
      </c>
      <c r="I94" s="623">
        <v>0.75931861663936573</v>
      </c>
      <c r="J94" s="624">
        <v>0.89400000000000002</v>
      </c>
      <c r="K94" s="804">
        <v>12268.314646901468</v>
      </c>
      <c r="L94" s="541">
        <v>5081.5975347141293</v>
      </c>
      <c r="M94" s="576">
        <v>237.63424606453927</v>
      </c>
      <c r="N94" s="761">
        <v>6949.0828661227997</v>
      </c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62"/>
      <c r="AF94" s="862"/>
      <c r="AG94" s="862"/>
      <c r="AH94" s="862"/>
      <c r="AI94" s="862"/>
      <c r="AJ94" s="862"/>
      <c r="AK94" s="862"/>
      <c r="AL94" s="862"/>
      <c r="AM94" s="862"/>
      <c r="AN94" s="862"/>
      <c r="AO94" s="862"/>
      <c r="AP94" s="862"/>
      <c r="AQ94" s="862"/>
      <c r="AR94" s="862"/>
      <c r="AS94" s="862"/>
      <c r="AT94" s="862"/>
      <c r="AU94" s="862"/>
      <c r="AV94" s="862"/>
      <c r="AW94" s="862"/>
      <c r="AX94" s="862"/>
      <c r="AY94" s="862"/>
      <c r="AZ94" s="862"/>
      <c r="BA94" s="974"/>
      <c r="BB94" s="889">
        <v>4858.6569351000226</v>
      </c>
      <c r="BC94" s="875">
        <v>89.822460319572869</v>
      </c>
      <c r="BD94" s="876">
        <v>0.88200000000000001</v>
      </c>
      <c r="BE94" s="876">
        <v>0.89600000000000002</v>
      </c>
      <c r="BF94" s="877">
        <v>695675.51920674276</v>
      </c>
      <c r="BG94" s="877">
        <v>391983.47088782553</v>
      </c>
      <c r="BH94" s="875">
        <v>761132.95318024373</v>
      </c>
      <c r="BI94" s="875">
        <v>77.128456399616141</v>
      </c>
      <c r="BJ94" s="878">
        <v>105</v>
      </c>
      <c r="BK94" s="879">
        <v>6949.0828661227997</v>
      </c>
      <c r="BL94" s="890">
        <v>29.963965063829924</v>
      </c>
      <c r="BM94" s="538"/>
      <c r="BN94" s="538"/>
      <c r="BO94" s="538"/>
      <c r="BP94" s="863"/>
      <c r="BQ94" s="863"/>
      <c r="BR94" s="863"/>
      <c r="BS94" s="863"/>
      <c r="BT94" s="863"/>
      <c r="BU94" s="863"/>
      <c r="BV94" s="863"/>
      <c r="BW94" s="863"/>
      <c r="BX94" s="863"/>
      <c r="BY94" s="863"/>
      <c r="BZ94" s="863"/>
      <c r="CA94" s="863"/>
      <c r="CB94" s="863"/>
      <c r="CC94" s="863"/>
      <c r="CD94" s="863"/>
      <c r="CE94" s="863"/>
      <c r="CF94" s="863"/>
      <c r="CG94" s="863"/>
      <c r="CH94" s="863"/>
      <c r="CI94" s="863"/>
      <c r="CJ94" s="863"/>
      <c r="CK94" s="863"/>
      <c r="CL94" s="863"/>
      <c r="CM94" s="863"/>
      <c r="CN94" s="863"/>
      <c r="CO94" s="863"/>
      <c r="CP94" s="863"/>
      <c r="CQ94" s="863"/>
      <c r="CR94" s="863"/>
      <c r="CS94" s="863"/>
      <c r="CT94" s="863"/>
      <c r="CU94" s="863"/>
      <c r="CV94" s="863"/>
      <c r="CW94" s="863"/>
      <c r="CX94" s="863"/>
      <c r="CY94" s="863"/>
      <c r="CZ94" s="863"/>
      <c r="DA94" s="863"/>
      <c r="DB94" s="863"/>
      <c r="DC94" s="863"/>
      <c r="DD94" s="863"/>
      <c r="DE94" s="863"/>
      <c r="DF94" s="863"/>
      <c r="DG94" s="863"/>
      <c r="DH94" s="863"/>
      <c r="DI94" s="863"/>
      <c r="DJ94" s="863"/>
      <c r="DK94" s="863"/>
      <c r="DL94" s="863"/>
      <c r="DM94" s="863"/>
      <c r="DN94" s="863"/>
      <c r="DO94" s="863"/>
      <c r="DP94" s="863"/>
      <c r="DQ94" s="863"/>
      <c r="DR94" s="863"/>
      <c r="DS94" s="863"/>
      <c r="DT94" s="863"/>
      <c r="DU94" s="863"/>
      <c r="DV94" s="863"/>
      <c r="DW94" s="863"/>
      <c r="DX94" s="863"/>
      <c r="DY94" s="863"/>
      <c r="DZ94" s="863"/>
      <c r="EA94" s="863"/>
      <c r="EB94" s="863"/>
      <c r="EC94" s="863"/>
      <c r="ED94" s="863"/>
      <c r="EE94" s="863"/>
      <c r="EF94" s="863"/>
      <c r="EG94" s="863"/>
      <c r="EH94" s="863"/>
      <c r="EI94" s="863"/>
      <c r="EJ94" s="863"/>
      <c r="EK94" s="863"/>
      <c r="EL94" s="863"/>
      <c r="EM94" s="863"/>
      <c r="EN94" s="863"/>
      <c r="EO94" s="863"/>
      <c r="EP94" s="863"/>
      <c r="EQ94" s="863"/>
      <c r="ER94" s="863"/>
      <c r="ES94" s="863"/>
      <c r="ET94" s="863"/>
      <c r="EU94" s="863"/>
      <c r="EV94" s="863"/>
      <c r="EW94" s="863"/>
      <c r="EX94" s="863"/>
      <c r="EY94" s="863"/>
      <c r="EZ94" s="863"/>
      <c r="FA94" s="863"/>
      <c r="FB94" s="863"/>
      <c r="FC94" s="863"/>
      <c r="FD94" s="863"/>
      <c r="FE94" s="863"/>
      <c r="FF94" s="863"/>
      <c r="FG94" s="863"/>
      <c r="FH94" s="863"/>
      <c r="FI94" s="863"/>
      <c r="FJ94" s="863"/>
      <c r="FK94" s="863"/>
      <c r="FL94" s="863"/>
      <c r="FM94" s="863"/>
      <c r="FN94" s="863"/>
      <c r="FO94" s="863"/>
    </row>
    <row r="95" spans="1:171">
      <c r="A95" s="791" t="s">
        <v>330</v>
      </c>
      <c r="B95" s="792">
        <f t="shared" si="5"/>
        <v>90</v>
      </c>
      <c r="C95" s="529">
        <v>43221</v>
      </c>
      <c r="D95" s="540">
        <f t="shared" si="4"/>
        <v>43251</v>
      </c>
      <c r="E95" s="599">
        <v>1387</v>
      </c>
      <c r="F95" s="543"/>
      <c r="G95" s="326">
        <v>4195</v>
      </c>
      <c r="H95" s="610">
        <v>231011</v>
      </c>
      <c r="I95" s="623">
        <v>0.75931861663936573</v>
      </c>
      <c r="J95" s="624">
        <v>0.89400000000000002</v>
      </c>
      <c r="K95" s="804">
        <v>12056.936858497817</v>
      </c>
      <c r="L95" s="541">
        <v>4994.0437932785344</v>
      </c>
      <c r="M95" s="576">
        <v>233.53991014083698</v>
      </c>
      <c r="N95" s="761">
        <v>6829.3531550784455</v>
      </c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62"/>
      <c r="AF95" s="862"/>
      <c r="AG95" s="862"/>
      <c r="AH95" s="862"/>
      <c r="AI95" s="862"/>
      <c r="AJ95" s="862"/>
      <c r="AK95" s="862"/>
      <c r="AL95" s="862"/>
      <c r="AM95" s="862"/>
      <c r="AN95" s="862"/>
      <c r="AO95" s="862"/>
      <c r="AP95" s="862"/>
      <c r="AQ95" s="862"/>
      <c r="AR95" s="862"/>
      <c r="AS95" s="862"/>
      <c r="AT95" s="862"/>
      <c r="AU95" s="862"/>
      <c r="AV95" s="862"/>
      <c r="AW95" s="862"/>
      <c r="AX95" s="862"/>
      <c r="AY95" s="862"/>
      <c r="AZ95" s="862"/>
      <c r="BA95" s="974"/>
      <c r="BB95" s="889">
        <v>4774.9443643751683</v>
      </c>
      <c r="BC95" s="875">
        <v>88.274857934258989</v>
      </c>
      <c r="BD95" s="876">
        <v>0.88200000000000001</v>
      </c>
      <c r="BE95" s="876">
        <v>0.89600000000000002</v>
      </c>
      <c r="BF95" s="877">
        <v>683689.32901446382</v>
      </c>
      <c r="BG95" s="877">
        <v>385229.76416022849</v>
      </c>
      <c r="BH95" s="875">
        <v>748018.95953442424</v>
      </c>
      <c r="BI95" s="875">
        <v>75.799566245917973</v>
      </c>
      <c r="BJ95" s="878">
        <v>105</v>
      </c>
      <c r="BK95" s="879">
        <v>6829.3531550784455</v>
      </c>
      <c r="BL95" s="890">
        <v>29.447698824392035</v>
      </c>
    </row>
    <row r="96" spans="1:171">
      <c r="A96" s="791" t="s">
        <v>330</v>
      </c>
      <c r="B96" s="792">
        <f t="shared" si="5"/>
        <v>91</v>
      </c>
      <c r="C96" s="528">
        <v>43252</v>
      </c>
      <c r="D96" s="540">
        <f t="shared" si="4"/>
        <v>43281</v>
      </c>
      <c r="E96" s="599">
        <v>3117</v>
      </c>
      <c r="F96" s="541"/>
      <c r="G96" s="326">
        <v>3522</v>
      </c>
      <c r="H96" s="610">
        <v>228203</v>
      </c>
      <c r="I96" s="623">
        <v>0.75931861663936573</v>
      </c>
      <c r="J96" s="624">
        <v>0.89400000000000002</v>
      </c>
      <c r="K96" s="804">
        <v>11910.381591871281</v>
      </c>
      <c r="L96" s="541">
        <v>4933.3398658831893</v>
      </c>
      <c r="M96" s="576">
        <v>230.70117056707005</v>
      </c>
      <c r="N96" s="761">
        <v>6746.3405554210212</v>
      </c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62"/>
      <c r="AF96" s="862"/>
      <c r="AG96" s="862"/>
      <c r="AH96" s="862"/>
      <c r="AI96" s="862"/>
      <c r="AJ96" s="862"/>
      <c r="AK96" s="862"/>
      <c r="AL96" s="862"/>
      <c r="AM96" s="862"/>
      <c r="AN96" s="862"/>
      <c r="AO96" s="862"/>
      <c r="AP96" s="862"/>
      <c r="AQ96" s="862"/>
      <c r="AR96" s="862"/>
      <c r="AS96" s="862"/>
      <c r="AT96" s="862"/>
      <c r="AU96" s="862"/>
      <c r="AV96" s="862"/>
      <c r="AW96" s="862"/>
      <c r="AX96" s="862"/>
      <c r="AY96" s="862"/>
      <c r="AZ96" s="862"/>
      <c r="BA96" s="974"/>
      <c r="BB96" s="889">
        <v>4716.9036486726018</v>
      </c>
      <c r="BC96" s="875">
        <v>87.201853613774674</v>
      </c>
      <c r="BD96" s="876">
        <v>0.88200000000000001</v>
      </c>
      <c r="BE96" s="876">
        <v>0.89600000000000002</v>
      </c>
      <c r="BF96" s="877">
        <v>675378.90381448355</v>
      </c>
      <c r="BG96" s="877">
        <v>380547.1941624278</v>
      </c>
      <c r="BH96" s="875">
        <v>738926.59060665593</v>
      </c>
      <c r="BI96" s="875">
        <v>74.878202406020563</v>
      </c>
      <c r="BJ96" s="878">
        <v>105</v>
      </c>
      <c r="BK96" s="879">
        <v>6746.3405554210212</v>
      </c>
      <c r="BL96" s="890">
        <v>29.089754231715087</v>
      </c>
    </row>
    <row r="97" spans="1:171">
      <c r="A97" s="791" t="s">
        <v>330</v>
      </c>
      <c r="B97" s="792">
        <f t="shared" si="5"/>
        <v>92</v>
      </c>
      <c r="C97" s="529">
        <v>43282</v>
      </c>
      <c r="D97" s="540">
        <f t="shared" si="4"/>
        <v>43312</v>
      </c>
      <c r="E97" s="599">
        <v>1468</v>
      </c>
      <c r="F97" s="541"/>
      <c r="G97" s="326">
        <v>7567</v>
      </c>
      <c r="H97" s="610">
        <v>227798</v>
      </c>
      <c r="I97" s="623">
        <v>0.75931861663936573</v>
      </c>
      <c r="J97" s="624">
        <v>0.89400000000000002</v>
      </c>
      <c r="K97" s="804">
        <v>11889.243813030916</v>
      </c>
      <c r="L97" s="541">
        <v>4924.5844917396298</v>
      </c>
      <c r="M97" s="576">
        <v>230.29173697469983</v>
      </c>
      <c r="N97" s="761">
        <v>6734.3675843165865</v>
      </c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62"/>
      <c r="AF97" s="862"/>
      <c r="AG97" s="862"/>
      <c r="AH97" s="862"/>
      <c r="AI97" s="862"/>
      <c r="AJ97" s="862"/>
      <c r="AK97" s="862"/>
      <c r="AL97" s="862"/>
      <c r="AM97" s="862"/>
      <c r="AN97" s="862"/>
      <c r="AO97" s="862"/>
      <c r="AP97" s="862"/>
      <c r="AQ97" s="862"/>
      <c r="AR97" s="862"/>
      <c r="AS97" s="862"/>
      <c r="AT97" s="862"/>
      <c r="AU97" s="862"/>
      <c r="AV97" s="862"/>
      <c r="AW97" s="862"/>
      <c r="AX97" s="862"/>
      <c r="AY97" s="862"/>
      <c r="AZ97" s="862"/>
      <c r="BA97" s="974"/>
      <c r="BB97" s="889">
        <v>4708.5323916001162</v>
      </c>
      <c r="BC97" s="875">
        <v>87.047093375243279</v>
      </c>
      <c r="BD97" s="876">
        <v>0.88200000000000001</v>
      </c>
      <c r="BE97" s="876">
        <v>0.89600000000000002</v>
      </c>
      <c r="BF97" s="877">
        <v>674180.28479525563</v>
      </c>
      <c r="BG97" s="877">
        <v>379871.82348966814</v>
      </c>
      <c r="BH97" s="875">
        <v>737615.19124207401</v>
      </c>
      <c r="BI97" s="875">
        <v>74.74531339065075</v>
      </c>
      <c r="BJ97" s="878">
        <v>105</v>
      </c>
      <c r="BK97" s="879">
        <v>6734.3675843165865</v>
      </c>
      <c r="BL97" s="890">
        <v>29.038127607771298</v>
      </c>
    </row>
    <row r="98" spans="1:171">
      <c r="A98" s="791" t="s">
        <v>330</v>
      </c>
      <c r="B98" s="792">
        <f t="shared" si="5"/>
        <v>93</v>
      </c>
      <c r="C98" s="529">
        <v>43313</v>
      </c>
      <c r="D98" s="540">
        <f t="shared" si="4"/>
        <v>43343</v>
      </c>
      <c r="E98" s="599">
        <v>3826</v>
      </c>
      <c r="F98" s="541"/>
      <c r="G98" s="326">
        <v>4135</v>
      </c>
      <c r="H98" s="610">
        <v>221699</v>
      </c>
      <c r="I98" s="623">
        <v>0.75931861663936573</v>
      </c>
      <c r="J98" s="624">
        <v>0.89400000000000002</v>
      </c>
      <c r="K98" s="804">
        <v>11570.924521308971</v>
      </c>
      <c r="L98" s="541">
        <v>4792.7350425999539</v>
      </c>
      <c r="M98" s="576">
        <v>224.12597035774667</v>
      </c>
      <c r="N98" s="761">
        <v>6554.0635083512698</v>
      </c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62"/>
      <c r="AF98" s="862"/>
      <c r="AG98" s="862"/>
      <c r="AH98" s="862"/>
      <c r="AI98" s="862"/>
      <c r="AJ98" s="862"/>
      <c r="AK98" s="862"/>
      <c r="AL98" s="862"/>
      <c r="AM98" s="862"/>
      <c r="AN98" s="862"/>
      <c r="AO98" s="862"/>
      <c r="AP98" s="862"/>
      <c r="AQ98" s="862"/>
      <c r="AR98" s="862"/>
      <c r="AS98" s="862"/>
      <c r="AT98" s="862"/>
      <c r="AU98" s="862"/>
      <c r="AV98" s="862"/>
      <c r="AW98" s="862"/>
      <c r="AX98" s="862"/>
      <c r="AY98" s="862"/>
      <c r="AZ98" s="862"/>
      <c r="BA98" s="974"/>
      <c r="BB98" s="889">
        <v>4582.4674610196507</v>
      </c>
      <c r="BC98" s="875">
        <v>84.716518820174286</v>
      </c>
      <c r="BD98" s="876">
        <v>0.88200000000000001</v>
      </c>
      <c r="BE98" s="876">
        <v>0.89600000000000002</v>
      </c>
      <c r="BF98" s="877">
        <v>656129.97023162362</v>
      </c>
      <c r="BG98" s="877">
        <v>369701.24143247941</v>
      </c>
      <c r="BH98" s="875">
        <v>717866.48821840656</v>
      </c>
      <c r="BI98" s="875">
        <v>72.744103255489009</v>
      </c>
      <c r="BJ98" s="878">
        <v>105</v>
      </c>
      <c r="BK98" s="879">
        <v>6554.0635083512698</v>
      </c>
      <c r="BL98" s="890">
        <v>28.260668893121498</v>
      </c>
    </row>
    <row r="99" spans="1:171">
      <c r="A99" s="791" t="s">
        <v>330</v>
      </c>
      <c r="B99" s="792">
        <f t="shared" si="5"/>
        <v>94</v>
      </c>
      <c r="C99" s="528">
        <v>43344</v>
      </c>
      <c r="D99" s="540">
        <f t="shared" si="4"/>
        <v>43373</v>
      </c>
      <c r="E99" s="599">
        <v>4648</v>
      </c>
      <c r="F99" s="541"/>
      <c r="G99" s="326">
        <v>4322</v>
      </c>
      <c r="H99" s="610">
        <v>221390</v>
      </c>
      <c r="I99" s="623">
        <v>0.75931861663936573</v>
      </c>
      <c r="J99" s="624">
        <v>0.89400000000000002</v>
      </c>
      <c r="K99" s="804">
        <v>11554.79717893447</v>
      </c>
      <c r="L99" s="541">
        <v>4786.055016401534</v>
      </c>
      <c r="M99" s="576">
        <v>223.81358769097531</v>
      </c>
      <c r="N99" s="761">
        <v>6544.9285748419607</v>
      </c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62"/>
      <c r="AF99" s="862"/>
      <c r="AG99" s="862"/>
      <c r="AH99" s="862"/>
      <c r="AI99" s="862"/>
      <c r="AJ99" s="862"/>
      <c r="AK99" s="862"/>
      <c r="AL99" s="862"/>
      <c r="AM99" s="862"/>
      <c r="AN99" s="862"/>
      <c r="AO99" s="862"/>
      <c r="AP99" s="862"/>
      <c r="AQ99" s="862"/>
      <c r="AR99" s="862"/>
      <c r="AS99" s="862"/>
      <c r="AT99" s="862"/>
      <c r="AU99" s="862"/>
      <c r="AV99" s="862"/>
      <c r="AW99" s="862"/>
      <c r="AX99" s="862"/>
      <c r="AY99" s="862"/>
      <c r="AZ99" s="862"/>
      <c r="BA99" s="974"/>
      <c r="BB99" s="889">
        <v>4576.0805019199024</v>
      </c>
      <c r="BC99" s="875">
        <v>84.598442490035538</v>
      </c>
      <c r="BD99" s="876">
        <v>0.88200000000000001</v>
      </c>
      <c r="BE99" s="876">
        <v>0.89600000000000002</v>
      </c>
      <c r="BF99" s="877">
        <v>655215.46831324976</v>
      </c>
      <c r="BG99" s="877">
        <v>369185.95862289239</v>
      </c>
      <c r="BH99" s="875">
        <v>716865.93907357741</v>
      </c>
      <c r="BI99" s="875">
        <v>72.64271385857721</v>
      </c>
      <c r="BJ99" s="878">
        <v>105</v>
      </c>
      <c r="BK99" s="879">
        <v>6544.9285748419607</v>
      </c>
      <c r="BL99" s="890">
        <v>28.221279691149565</v>
      </c>
    </row>
    <row r="100" spans="1:171">
      <c r="A100" s="791" t="s">
        <v>330</v>
      </c>
      <c r="B100" s="792">
        <f t="shared" si="5"/>
        <v>95</v>
      </c>
      <c r="C100" s="529">
        <v>43374</v>
      </c>
      <c r="D100" s="540">
        <f t="shared" si="4"/>
        <v>43404</v>
      </c>
      <c r="E100" s="599">
        <v>2822</v>
      </c>
      <c r="F100" s="541"/>
      <c r="G100" s="326">
        <v>10373</v>
      </c>
      <c r="H100" s="610">
        <v>221716</v>
      </c>
      <c r="I100" s="623">
        <v>0.75931861663936573</v>
      </c>
      <c r="J100" s="624">
        <v>0.89400000000000002</v>
      </c>
      <c r="K100" s="804">
        <v>11571.811786099803</v>
      </c>
      <c r="L100" s="541">
        <v>4793.1025521319052</v>
      </c>
      <c r="M100" s="576">
        <v>224.14315645915482</v>
      </c>
      <c r="N100" s="761">
        <v>6554.5660775087426</v>
      </c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62"/>
      <c r="AF100" s="862"/>
      <c r="AG100" s="862"/>
      <c r="AH100" s="862"/>
      <c r="AI100" s="862"/>
      <c r="AJ100" s="862"/>
      <c r="AK100" s="862"/>
      <c r="AL100" s="862"/>
      <c r="AM100" s="862"/>
      <c r="AN100" s="862"/>
      <c r="AO100" s="862"/>
      <c r="AP100" s="862"/>
      <c r="AQ100" s="862"/>
      <c r="AR100" s="862"/>
      <c r="AS100" s="862"/>
      <c r="AT100" s="862"/>
      <c r="AU100" s="862"/>
      <c r="AV100" s="862"/>
      <c r="AW100" s="862"/>
      <c r="AX100" s="862"/>
      <c r="AY100" s="862"/>
      <c r="AZ100" s="862"/>
      <c r="BA100" s="974"/>
      <c r="BB100" s="889">
        <v>4582.8188471189887</v>
      </c>
      <c r="BC100" s="875">
        <v>84.723014928952153</v>
      </c>
      <c r="BD100" s="876">
        <v>0.88200000000000001</v>
      </c>
      <c r="BE100" s="876">
        <v>0.89600000000000002</v>
      </c>
      <c r="BF100" s="877">
        <v>656180.28263489984</v>
      </c>
      <c r="BG100" s="877">
        <v>369729.59032491618</v>
      </c>
      <c r="BH100" s="875">
        <v>717921.53461148776</v>
      </c>
      <c r="BI100" s="875">
        <v>72.749681312924267</v>
      </c>
      <c r="BJ100" s="878">
        <v>105</v>
      </c>
      <c r="BK100" s="879">
        <v>6554.5660775087426</v>
      </c>
      <c r="BL100" s="890">
        <v>28.262835936595675</v>
      </c>
    </row>
    <row r="101" spans="1:171">
      <c r="A101" s="791" t="s">
        <v>330</v>
      </c>
      <c r="B101" s="792">
        <f t="shared" si="5"/>
        <v>96</v>
      </c>
      <c r="C101" s="529">
        <v>43405</v>
      </c>
      <c r="D101" s="540">
        <f t="shared" si="4"/>
        <v>43434</v>
      </c>
      <c r="E101" s="599">
        <v>3409</v>
      </c>
      <c r="F101" s="541"/>
      <c r="G101" s="326">
        <v>7484</v>
      </c>
      <c r="H101" s="610">
        <v>214165</v>
      </c>
      <c r="I101" s="623">
        <v>0.75931861663936573</v>
      </c>
      <c r="J101" s="624">
        <v>0.89400000000000002</v>
      </c>
      <c r="K101" s="804">
        <v>11177.70964283166</v>
      </c>
      <c r="L101" s="541">
        <v>4629.863465321986</v>
      </c>
      <c r="M101" s="576">
        <v>216.50949459251876</v>
      </c>
      <c r="N101" s="761">
        <v>6331.3366829171555</v>
      </c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62"/>
      <c r="AF101" s="862"/>
      <c r="AG101" s="862"/>
      <c r="AH101" s="862"/>
      <c r="AI101" s="862"/>
      <c r="AJ101" s="862"/>
      <c r="AK101" s="862"/>
      <c r="AL101" s="862"/>
      <c r="AM101" s="862"/>
      <c r="AN101" s="862"/>
      <c r="AO101" s="862"/>
      <c r="AP101" s="862"/>
      <c r="AQ101" s="862"/>
      <c r="AR101" s="862"/>
      <c r="AS101" s="862"/>
      <c r="AT101" s="862"/>
      <c r="AU101" s="862"/>
      <c r="AV101" s="862"/>
      <c r="AW101" s="862"/>
      <c r="AX101" s="862"/>
      <c r="AY101" s="862"/>
      <c r="AZ101" s="862"/>
      <c r="BA101" s="974"/>
      <c r="BB101" s="889">
        <v>4426.7414097008714</v>
      </c>
      <c r="BC101" s="875">
        <v>81.83759625944468</v>
      </c>
      <c r="BD101" s="876">
        <v>0.88200000000000001</v>
      </c>
      <c r="BE101" s="876">
        <v>0.89600000000000002</v>
      </c>
      <c r="BF101" s="877">
        <v>633832.69692085066</v>
      </c>
      <c r="BG101" s="877">
        <v>357137.67933724081</v>
      </c>
      <c r="BH101" s="875">
        <v>693471.22201405978</v>
      </c>
      <c r="BI101" s="875">
        <v>70.272039448584806</v>
      </c>
      <c r="BJ101" s="878">
        <v>105</v>
      </c>
      <c r="BK101" s="879">
        <v>6331.3366829171555</v>
      </c>
      <c r="BL101" s="890">
        <v>27.300286214621469</v>
      </c>
    </row>
    <row r="102" spans="1:171" s="331" customFormat="1" ht="15.75" thickBot="1">
      <c r="A102" s="793" t="s">
        <v>330</v>
      </c>
      <c r="B102" s="794">
        <f t="shared" si="5"/>
        <v>97</v>
      </c>
      <c r="C102" s="795">
        <v>43435</v>
      </c>
      <c r="D102" s="796">
        <f t="shared" si="4"/>
        <v>43465</v>
      </c>
      <c r="E102" s="797">
        <v>3944</v>
      </c>
      <c r="F102" s="798"/>
      <c r="G102" s="799">
        <v>4151</v>
      </c>
      <c r="H102" s="800">
        <v>210090</v>
      </c>
      <c r="I102" s="801">
        <v>0.75931861663936573</v>
      </c>
      <c r="J102" s="802">
        <v>0.89400000000000002</v>
      </c>
      <c r="K102" s="805">
        <v>10965.027053265023</v>
      </c>
      <c r="L102" s="798">
        <v>4541.7692686923447</v>
      </c>
      <c r="M102" s="608">
        <v>212.38988499027511</v>
      </c>
      <c r="N102" s="762">
        <v>6210.867899582403</v>
      </c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62"/>
      <c r="AF102" s="862"/>
      <c r="AG102" s="862"/>
      <c r="AH102" s="862"/>
      <c r="AI102" s="862"/>
      <c r="AJ102" s="862"/>
      <c r="AK102" s="862"/>
      <c r="AL102" s="862"/>
      <c r="AM102" s="862"/>
      <c r="AN102" s="862"/>
      <c r="AO102" s="862"/>
      <c r="AP102" s="862"/>
      <c r="AQ102" s="862"/>
      <c r="AR102" s="862"/>
      <c r="AS102" s="862"/>
      <c r="AT102" s="862"/>
      <c r="AU102" s="862"/>
      <c r="AV102" s="862"/>
      <c r="AW102" s="862"/>
      <c r="AX102" s="862"/>
      <c r="AY102" s="862"/>
      <c r="AZ102" s="862"/>
      <c r="BA102" s="974"/>
      <c r="BB102" s="891">
        <v>4342.5120947122823</v>
      </c>
      <c r="BC102" s="892">
        <v>80.280440772986864</v>
      </c>
      <c r="BD102" s="893">
        <v>0.88200000000000001</v>
      </c>
      <c r="BE102" s="893">
        <v>0.89600000000000002</v>
      </c>
      <c r="BF102" s="894">
        <v>621772.51790022419</v>
      </c>
      <c r="BG102" s="894">
        <v>350342.28306194249</v>
      </c>
      <c r="BH102" s="892">
        <v>680276.27779017959</v>
      </c>
      <c r="BI102" s="892">
        <v>68.93494626924651</v>
      </c>
      <c r="BJ102" s="895">
        <v>105</v>
      </c>
      <c r="BK102" s="896">
        <v>6210.867899582403</v>
      </c>
      <c r="BL102" s="897">
        <v>26.780833146545064</v>
      </c>
      <c r="BM102" s="538"/>
      <c r="BN102" s="538"/>
      <c r="BO102" s="538"/>
      <c r="BP102" s="863"/>
      <c r="BQ102" s="863"/>
      <c r="BR102" s="863"/>
      <c r="BS102" s="863"/>
      <c r="BT102" s="863"/>
      <c r="BU102" s="863"/>
      <c r="BV102" s="863"/>
      <c r="BW102" s="863"/>
      <c r="BX102" s="863"/>
      <c r="BY102" s="863"/>
      <c r="BZ102" s="863"/>
      <c r="CA102" s="863"/>
      <c r="CB102" s="863"/>
      <c r="CC102" s="863"/>
      <c r="CD102" s="863"/>
      <c r="CE102" s="863"/>
      <c r="CF102" s="863"/>
      <c r="CG102" s="863"/>
      <c r="CH102" s="863"/>
      <c r="CI102" s="863"/>
      <c r="CJ102" s="863"/>
      <c r="CK102" s="863"/>
      <c r="CL102" s="863"/>
      <c r="CM102" s="863"/>
      <c r="CN102" s="863"/>
      <c r="CO102" s="863"/>
      <c r="CP102" s="863"/>
      <c r="CQ102" s="863"/>
      <c r="CR102" s="863"/>
      <c r="CS102" s="863"/>
      <c r="CT102" s="863"/>
      <c r="CU102" s="863"/>
      <c r="CV102" s="863"/>
      <c r="CW102" s="863"/>
      <c r="CX102" s="863"/>
      <c r="CY102" s="863"/>
      <c r="CZ102" s="863"/>
      <c r="DA102" s="863"/>
      <c r="DB102" s="863"/>
      <c r="DC102" s="863"/>
      <c r="DD102" s="863"/>
      <c r="DE102" s="863"/>
      <c r="DF102" s="863"/>
      <c r="DG102" s="863"/>
      <c r="DH102" s="863"/>
      <c r="DI102" s="863"/>
      <c r="DJ102" s="863"/>
      <c r="DK102" s="863"/>
      <c r="DL102" s="863"/>
      <c r="DM102" s="863"/>
      <c r="DN102" s="863"/>
      <c r="DO102" s="863"/>
      <c r="DP102" s="863"/>
      <c r="DQ102" s="863"/>
      <c r="DR102" s="863"/>
      <c r="DS102" s="863"/>
      <c r="DT102" s="863"/>
      <c r="DU102" s="863"/>
      <c r="DV102" s="863"/>
      <c r="DW102" s="863"/>
      <c r="DX102" s="863"/>
      <c r="DY102" s="863"/>
      <c r="DZ102" s="863"/>
      <c r="EA102" s="863"/>
      <c r="EB102" s="863"/>
      <c r="EC102" s="863"/>
      <c r="ED102" s="863"/>
      <c r="EE102" s="863"/>
      <c r="EF102" s="863"/>
      <c r="EG102" s="863"/>
      <c r="EH102" s="863"/>
      <c r="EI102" s="863"/>
      <c r="EJ102" s="863"/>
      <c r="EK102" s="863"/>
      <c r="EL102" s="863"/>
      <c r="EM102" s="863"/>
      <c r="EN102" s="863"/>
      <c r="EO102" s="863"/>
      <c r="EP102" s="863"/>
      <c r="EQ102" s="863"/>
      <c r="ER102" s="863"/>
      <c r="ES102" s="863"/>
      <c r="ET102" s="863"/>
      <c r="EU102" s="863"/>
      <c r="EV102" s="863"/>
      <c r="EW102" s="863"/>
      <c r="EX102" s="863"/>
      <c r="EY102" s="863"/>
      <c r="EZ102" s="863"/>
      <c r="FA102" s="863"/>
      <c r="FB102" s="863"/>
      <c r="FC102" s="863"/>
      <c r="FD102" s="863"/>
      <c r="FE102" s="863"/>
      <c r="FF102" s="863"/>
      <c r="FG102" s="863"/>
      <c r="FH102" s="863"/>
      <c r="FI102" s="863"/>
      <c r="FJ102" s="863"/>
      <c r="FK102" s="863"/>
      <c r="FL102" s="863"/>
      <c r="FM102" s="863"/>
      <c r="FN102" s="863"/>
      <c r="FO102" s="863"/>
    </row>
    <row r="103" spans="1:171">
      <c r="A103" s="779" t="s">
        <v>331</v>
      </c>
      <c r="B103" s="780">
        <f t="shared" si="5"/>
        <v>98</v>
      </c>
      <c r="C103" s="781">
        <v>43466</v>
      </c>
      <c r="D103" s="782">
        <f t="shared" si="4"/>
        <v>43496</v>
      </c>
      <c r="E103" s="783">
        <v>3299</v>
      </c>
      <c r="F103" s="921"/>
      <c r="G103" s="785">
        <v>5186</v>
      </c>
      <c r="H103" s="786">
        <v>209883</v>
      </c>
      <c r="I103" s="787">
        <v>0.8261992527019878</v>
      </c>
      <c r="J103" s="788">
        <v>0.90559999999999996</v>
      </c>
      <c r="K103" s="922">
        <v>12073.723745837617</v>
      </c>
      <c r="L103" s="921">
        <v>4027.9708624623572</v>
      </c>
      <c r="M103" s="789">
        <v>246.76414754899233</v>
      </c>
      <c r="N103" s="790">
        <v>7798.9887358262667</v>
      </c>
      <c r="O103" s="862"/>
      <c r="P103" s="862"/>
      <c r="Q103" s="962">
        <v>8193.2392573586731</v>
      </c>
      <c r="R103" s="963">
        <v>136.26979161370363</v>
      </c>
      <c r="S103" s="964">
        <v>0</v>
      </c>
      <c r="T103" s="964">
        <v>0</v>
      </c>
      <c r="U103" s="964">
        <v>0</v>
      </c>
      <c r="V103" s="964">
        <v>0</v>
      </c>
      <c r="W103" s="964">
        <v>0</v>
      </c>
      <c r="X103" s="964">
        <v>0</v>
      </c>
      <c r="Y103" s="964">
        <v>0</v>
      </c>
      <c r="Z103" s="964">
        <v>12073.723745837617</v>
      </c>
      <c r="AA103" s="964"/>
      <c r="AB103" s="964"/>
      <c r="AC103" s="963">
        <v>2733.7557246766037</v>
      </c>
      <c r="AD103" s="963">
        <v>45.28446931022097</v>
      </c>
      <c r="AE103" s="965">
        <v>0.80700000000000005</v>
      </c>
      <c r="AF103" s="965">
        <v>0.90649999999999997</v>
      </c>
      <c r="AG103" s="964">
        <v>554304.71613522538</v>
      </c>
      <c r="AH103" s="964">
        <v>253570.28438799729</v>
      </c>
      <c r="AI103" s="964">
        <v>749060.42720976402</v>
      </c>
      <c r="AJ103" s="963">
        <v>86.195858735185766</v>
      </c>
      <c r="AK103" s="964">
        <v>90</v>
      </c>
      <c r="AL103" s="964">
        <v>4027.9708624623572</v>
      </c>
      <c r="AM103" s="963">
        <v>33.669340318730001</v>
      </c>
      <c r="AN103" s="964"/>
      <c r="AO103" s="964"/>
      <c r="AP103" s="963">
        <v>5459.4835326820694</v>
      </c>
      <c r="AQ103" s="963">
        <v>90.985322303482661</v>
      </c>
      <c r="AR103" s="965">
        <v>0.80700000000000005</v>
      </c>
      <c r="AS103" s="965">
        <v>0.90649999999999997</v>
      </c>
      <c r="AT103" s="963">
        <v>554304.71613522538</v>
      </c>
      <c r="AU103" s="963">
        <v>253570.28438799729</v>
      </c>
      <c r="AV103" s="963">
        <v>749060.42720976402</v>
      </c>
      <c r="AW103" s="963">
        <v>86.195858735185766</v>
      </c>
      <c r="AX103" s="963">
        <v>90</v>
      </c>
      <c r="AY103" s="963">
        <v>7798.9887358262667</v>
      </c>
      <c r="AZ103" s="966">
        <v>33.669340318730001</v>
      </c>
      <c r="BA103" s="974"/>
      <c r="BB103" s="882">
        <f>H103*I103*J103*((Calculations!$D$29-Calculations!$D$58)/CoreData!$F$11+(Calculations!$D$31-Calculations!$D$60)/CoreData!$F$11*CoreData!$F$23)</f>
        <v>6011.3130176032009</v>
      </c>
      <c r="BC103" s="883">
        <f>H103*I103*J103*((Calculations!$D$35-Calculations!$D$62)/CoreData!$F$11)</f>
        <v>87.655490289071523</v>
      </c>
      <c r="BD103" s="884">
        <f>PS_Survey!$E$3</f>
        <v>0.82099999999999995</v>
      </c>
      <c r="BE103" s="884">
        <f>PS_Survey!$E$4</f>
        <v>0.91199999999999992</v>
      </c>
      <c r="BF103" s="885">
        <f>H103*I103*J103*CoreData!$F$7*PS_Survey!$E$5</f>
        <v>623364.31866647024</v>
      </c>
      <c r="BG103" s="885">
        <f>H103*I103*J103*CoreData!$F$7*(1-CoreData!$F$66)*PS_Survey!$E$6*PS_Survey!$E$7</f>
        <v>279245.78661412449</v>
      </c>
      <c r="BH103" s="883">
        <f>H103*I103*J103*CoreData!$F$7</f>
        <v>821296.86253816902</v>
      </c>
      <c r="BI103" s="883">
        <f>BB103*CoreData!$F$99+Units_month!BC103*CoreData!$F$130</f>
        <v>94.315799954721101</v>
      </c>
      <c r="BJ103" s="886">
        <f>PS_Survey!$E$8</f>
        <v>85</v>
      </c>
      <c r="BK103" s="887">
        <f t="shared" ref="BK103:BK134" si="6">N103</f>
        <v>7798.9887358262667</v>
      </c>
      <c r="BL103" s="888">
        <f>BB103/CoreData!$F$136</f>
        <v>37.072544049356772</v>
      </c>
      <c r="BN103" s="951">
        <f>BB103-AP103</f>
        <v>551.82948492113155</v>
      </c>
      <c r="BO103" s="951">
        <f t="shared" ref="BO103:BX103" si="7">BC103-AQ103</f>
        <v>-3.3298320144111386</v>
      </c>
      <c r="BP103" s="951">
        <f t="shared" si="7"/>
        <v>1.3999999999999901E-2</v>
      </c>
      <c r="BQ103" s="951">
        <f t="shared" si="7"/>
        <v>5.4999999999999494E-3</v>
      </c>
      <c r="BR103" s="951">
        <f t="shared" si="7"/>
        <v>69059.602531244862</v>
      </c>
      <c r="BS103" s="951">
        <f t="shared" si="7"/>
        <v>25675.502226127195</v>
      </c>
      <c r="BT103" s="951">
        <f t="shared" si="7"/>
        <v>72236.435328405001</v>
      </c>
      <c r="BU103" s="951">
        <f t="shared" si="7"/>
        <v>8.1199412195353347</v>
      </c>
      <c r="BV103" s="951">
        <f t="shared" si="7"/>
        <v>-5</v>
      </c>
      <c r="BW103" s="951">
        <f t="shared" si="7"/>
        <v>0</v>
      </c>
      <c r="BX103" s="951">
        <f t="shared" si="7"/>
        <v>3.4032037306267711</v>
      </c>
      <c r="BY103" s="951"/>
      <c r="BZ103" s="951"/>
      <c r="CA103" s="951"/>
      <c r="CB103" s="951"/>
      <c r="CC103" s="951"/>
    </row>
    <row r="104" spans="1:171">
      <c r="A104" s="791" t="s">
        <v>331</v>
      </c>
      <c r="B104" s="792">
        <f t="shared" si="5"/>
        <v>99</v>
      </c>
      <c r="C104" s="529">
        <v>43497</v>
      </c>
      <c r="D104" s="540">
        <f t="shared" si="4"/>
        <v>43524</v>
      </c>
      <c r="E104" s="599">
        <v>4190</v>
      </c>
      <c r="F104" s="541"/>
      <c r="G104" s="326">
        <v>4709</v>
      </c>
      <c r="H104" s="610">
        <v>207996</v>
      </c>
      <c r="I104" s="623">
        <v>0.8261992527019878</v>
      </c>
      <c r="J104" s="624">
        <v>0.90559999999999996</v>
      </c>
      <c r="K104" s="804">
        <v>11965.172235194088</v>
      </c>
      <c r="L104" s="541">
        <v>3991.7564905624581</v>
      </c>
      <c r="M104" s="576">
        <v>244.54555935259268</v>
      </c>
      <c r="N104" s="761">
        <v>7728.8701852790364</v>
      </c>
      <c r="O104" s="862"/>
      <c r="P104" s="862"/>
      <c r="Q104" s="967">
        <v>8119.5761094208437</v>
      </c>
      <c r="R104" s="949">
        <v>135.04462760911511</v>
      </c>
      <c r="S104" s="862">
        <v>0</v>
      </c>
      <c r="T104" s="862">
        <v>0</v>
      </c>
      <c r="U104" s="862">
        <v>0</v>
      </c>
      <c r="V104" s="862">
        <v>0</v>
      </c>
      <c r="W104" s="862">
        <v>0</v>
      </c>
      <c r="X104" s="862">
        <v>0</v>
      </c>
      <c r="Y104" s="862">
        <v>0</v>
      </c>
      <c r="Z104" s="862">
        <v>11965.172235194088</v>
      </c>
      <c r="AA104" s="862"/>
      <c r="AB104" s="862"/>
      <c r="AC104" s="949">
        <v>2709.1772831045632</v>
      </c>
      <c r="AD104" s="949">
        <v>44.877329172199381</v>
      </c>
      <c r="AE104" s="950">
        <v>0.80700000000000005</v>
      </c>
      <c r="AF104" s="950">
        <v>0.90649999999999997</v>
      </c>
      <c r="AG104" s="862">
        <v>549321.11575145379</v>
      </c>
      <c r="AH104" s="862">
        <v>251290.50409783499</v>
      </c>
      <c r="AI104" s="862">
        <v>742325.83209655911</v>
      </c>
      <c r="AJ104" s="949">
        <v>85.420895610810334</v>
      </c>
      <c r="AK104" s="862">
        <v>90</v>
      </c>
      <c r="AL104" s="862">
        <v>3991.7564905624581</v>
      </c>
      <c r="AM104" s="949">
        <v>33.366628592761522</v>
      </c>
      <c r="AN104" s="862"/>
      <c r="AO104" s="862"/>
      <c r="AP104" s="949">
        <v>5410.398826316281</v>
      </c>
      <c r="AQ104" s="949">
        <v>90.167298436915729</v>
      </c>
      <c r="AR104" s="950">
        <v>0.80700000000000005</v>
      </c>
      <c r="AS104" s="950">
        <v>0.90649999999999997</v>
      </c>
      <c r="AT104" s="949">
        <v>549321.11575145379</v>
      </c>
      <c r="AU104" s="949">
        <v>251290.50409783499</v>
      </c>
      <c r="AV104" s="949">
        <v>742325.83209655911</v>
      </c>
      <c r="AW104" s="949">
        <v>85.420895610810334</v>
      </c>
      <c r="AX104" s="949">
        <v>90</v>
      </c>
      <c r="AY104" s="949">
        <v>7728.8701852790364</v>
      </c>
      <c r="AZ104" s="968">
        <v>33.366628592761522</v>
      </c>
      <c r="BA104" s="974"/>
      <c r="BB104" s="889">
        <f>H104*I104*J104*((Calculations!$D$29-Calculations!$D$58)/CoreData!$F$11+(Calculations!$D$31-Calculations!$D$60)/CoreData!$F$11*CoreData!$F$23)</f>
        <v>5957.266964972845</v>
      </c>
      <c r="BC104" s="875">
        <f>H104*I104*J104*((Calculations!$D$35-Calculations!$D$62)/CoreData!$F$11)</f>
        <v>86.867404021124742</v>
      </c>
      <c r="BD104" s="876">
        <f>PS_Survey!$E$3</f>
        <v>0.82099999999999995</v>
      </c>
      <c r="BE104" s="876">
        <f>PS_Survey!$E$4</f>
        <v>0.91199999999999992</v>
      </c>
      <c r="BF104" s="877">
        <f>H104*I104*J104*CoreData!$F$7*PS_Survey!$E$5</f>
        <v>617759.82249801641</v>
      </c>
      <c r="BG104" s="877">
        <f>H104*I104*J104*CoreData!$F$7*(1-CoreData!$F$66)*PS_Survey!$E$6*PS_Survey!$E$7</f>
        <v>276735.16498521302</v>
      </c>
      <c r="BH104" s="875">
        <f>H104*I104*J104*CoreData!$F$7</f>
        <v>813912.80961530493</v>
      </c>
      <c r="BI104" s="875">
        <f>BB104*CoreData!$F$99+Units_month!BC104*CoreData!$F$130</f>
        <v>93.467832684791873</v>
      </c>
      <c r="BJ104" s="878">
        <f>PS_Survey!$E$8</f>
        <v>85</v>
      </c>
      <c r="BK104" s="879">
        <f t="shared" si="6"/>
        <v>7728.8701852790364</v>
      </c>
      <c r="BL104" s="890">
        <f>BB104/CoreData!$F$136</f>
        <v>36.739235059962041</v>
      </c>
    </row>
    <row r="105" spans="1:171">
      <c r="A105" s="791" t="s">
        <v>331</v>
      </c>
      <c r="B105" s="792">
        <f t="shared" si="5"/>
        <v>100</v>
      </c>
      <c r="C105" s="528">
        <v>43525</v>
      </c>
      <c r="D105" s="540">
        <f t="shared" si="4"/>
        <v>43555</v>
      </c>
      <c r="E105" s="599">
        <v>2244</v>
      </c>
      <c r="F105" s="541"/>
      <c r="G105" s="326">
        <v>3521</v>
      </c>
      <c r="H105" s="610">
        <v>207477</v>
      </c>
      <c r="I105" s="623">
        <v>0.8261992527019878</v>
      </c>
      <c r="J105" s="624">
        <v>0.90559999999999996</v>
      </c>
      <c r="K105" s="804">
        <v>11935.31625531916</v>
      </c>
      <c r="L105" s="541">
        <v>3981.7960989270323</v>
      </c>
      <c r="M105" s="576">
        <v>243.93535941940169</v>
      </c>
      <c r="N105" s="761">
        <v>7709.5847969727256</v>
      </c>
      <c r="O105" s="862"/>
      <c r="P105" s="862"/>
      <c r="Q105" s="967">
        <v>8099.3158159498671</v>
      </c>
      <c r="R105" s="949">
        <v>134.70765881294054</v>
      </c>
      <c r="S105" s="862">
        <v>0</v>
      </c>
      <c r="T105" s="862">
        <v>0</v>
      </c>
      <c r="U105" s="862">
        <v>0</v>
      </c>
      <c r="V105" s="862">
        <v>0</v>
      </c>
      <c r="W105" s="862">
        <v>0</v>
      </c>
      <c r="X105" s="862">
        <v>0</v>
      </c>
      <c r="Y105" s="862">
        <v>0</v>
      </c>
      <c r="Z105" s="862">
        <v>11935.31625531916</v>
      </c>
      <c r="AA105" s="862"/>
      <c r="AB105" s="862"/>
      <c r="AC105" s="949">
        <v>2702.417234786657</v>
      </c>
      <c r="AD105" s="949">
        <v>44.765349452202983</v>
      </c>
      <c r="AE105" s="950">
        <v>0.80700000000000005</v>
      </c>
      <c r="AF105" s="950">
        <v>0.90649999999999997</v>
      </c>
      <c r="AG105" s="862">
        <v>547950.42756958969</v>
      </c>
      <c r="AH105" s="862">
        <v>250663.47390674101</v>
      </c>
      <c r="AI105" s="862">
        <v>740473.5507697158</v>
      </c>
      <c r="AJ105" s="949">
        <v>85.207749950211038</v>
      </c>
      <c r="AK105" s="862">
        <v>90</v>
      </c>
      <c r="AL105" s="862">
        <v>3981.7960989270323</v>
      </c>
      <c r="AM105" s="949">
        <v>33.283370836652544</v>
      </c>
      <c r="AN105" s="862"/>
      <c r="AO105" s="862"/>
      <c r="AP105" s="949">
        <v>5396.8985811632101</v>
      </c>
      <c r="AQ105" s="949">
        <v>89.942309360737553</v>
      </c>
      <c r="AR105" s="950">
        <v>0.80700000000000005</v>
      </c>
      <c r="AS105" s="950">
        <v>0.90649999999999997</v>
      </c>
      <c r="AT105" s="949">
        <v>547950.42756958969</v>
      </c>
      <c r="AU105" s="949">
        <v>250663.47390674101</v>
      </c>
      <c r="AV105" s="949">
        <v>740473.5507697158</v>
      </c>
      <c r="AW105" s="949">
        <v>85.207749950211038</v>
      </c>
      <c r="AX105" s="949">
        <v>90</v>
      </c>
      <c r="AY105" s="949">
        <v>7709.5847969727256</v>
      </c>
      <c r="AZ105" s="968">
        <v>33.283370836652544</v>
      </c>
      <c r="BA105" s="974"/>
      <c r="BB105" s="889">
        <f>H105*I105*J105*((Calculations!$D$29-Calculations!$D$58)/CoreData!$F$11+(Calculations!$D$31-Calculations!$D$60)/CoreData!$F$11*CoreData!$F$23)</f>
        <v>5942.4021524051959</v>
      </c>
      <c r="BC105" s="875">
        <f>H105*I105*J105*((Calculations!$D$35-Calculations!$D$62)/CoreData!$F$11)</f>
        <v>86.650648974455763</v>
      </c>
      <c r="BD105" s="876">
        <f>PS_Survey!$E$3</f>
        <v>0.82099999999999995</v>
      </c>
      <c r="BE105" s="876">
        <f>PS_Survey!$E$4</f>
        <v>0.91199999999999992</v>
      </c>
      <c r="BF105" s="877">
        <f>H105*I105*J105*CoreData!$F$7*PS_Survey!$E$5</f>
        <v>616218.36329747201</v>
      </c>
      <c r="BG105" s="877">
        <f>H105*I105*J105*CoreData!$F$7*(1-CoreData!$F$66)*PS_Survey!$E$6*PS_Survey!$E$7</f>
        <v>276044.64425102907</v>
      </c>
      <c r="BH105" s="875">
        <f>H105*I105*J105*CoreData!$F$7</f>
        <v>811881.9015776969</v>
      </c>
      <c r="BI105" s="875">
        <f>BB105*CoreData!$F$99+Units_month!BC105*CoreData!$F$130</f>
        <v>93.234607982569699</v>
      </c>
      <c r="BJ105" s="878">
        <f>PS_Survey!$E$8</f>
        <v>85</v>
      </c>
      <c r="BK105" s="879">
        <f t="shared" si="6"/>
        <v>7709.5847969727256</v>
      </c>
      <c r="BL105" s="890">
        <f>BB105/CoreData!$F$136</f>
        <v>36.647561840303396</v>
      </c>
    </row>
    <row r="106" spans="1:171" s="492" customFormat="1">
      <c r="A106" s="791" t="s">
        <v>331</v>
      </c>
      <c r="B106" s="792">
        <f t="shared" si="5"/>
        <v>101</v>
      </c>
      <c r="C106" s="529">
        <v>43556</v>
      </c>
      <c r="D106" s="540">
        <f t="shared" si="4"/>
        <v>43585</v>
      </c>
      <c r="E106" s="599">
        <v>2808</v>
      </c>
      <c r="F106" s="541"/>
      <c r="G106" s="326">
        <v>2337</v>
      </c>
      <c r="H106" s="610">
        <v>206200</v>
      </c>
      <c r="I106" s="623">
        <v>0.8261992527019878</v>
      </c>
      <c r="J106" s="624">
        <v>0.90559999999999996</v>
      </c>
      <c r="K106" s="804">
        <v>11861.85558807391</v>
      </c>
      <c r="L106" s="541">
        <v>3957.2885457123161</v>
      </c>
      <c r="M106" s="576">
        <v>242.43396189592403</v>
      </c>
      <c r="N106" s="761">
        <v>7662.13308046567</v>
      </c>
      <c r="O106" s="862"/>
      <c r="P106" s="862"/>
      <c r="Q106" s="967">
        <v>8049.4653443459392</v>
      </c>
      <c r="R106" s="949">
        <v>133.87854676532018</v>
      </c>
      <c r="S106" s="862">
        <v>0</v>
      </c>
      <c r="T106" s="862">
        <v>0</v>
      </c>
      <c r="U106" s="862">
        <v>0</v>
      </c>
      <c r="V106" s="862">
        <v>0</v>
      </c>
      <c r="W106" s="862">
        <v>0</v>
      </c>
      <c r="X106" s="862">
        <v>0</v>
      </c>
      <c r="Y106" s="862">
        <v>0</v>
      </c>
      <c r="Z106" s="862">
        <v>11861.85558807391</v>
      </c>
      <c r="AA106" s="862"/>
      <c r="AB106" s="862"/>
      <c r="AC106" s="949">
        <v>2685.7841293878773</v>
      </c>
      <c r="AD106" s="949">
        <v>44.489823243271566</v>
      </c>
      <c r="AE106" s="950">
        <v>0.80700000000000005</v>
      </c>
      <c r="AF106" s="950">
        <v>0.90649999999999997</v>
      </c>
      <c r="AG106" s="862">
        <v>544577.84797760413</v>
      </c>
      <c r="AH106" s="862">
        <v>249120.66551747901</v>
      </c>
      <c r="AI106" s="862">
        <v>735916.01078054612</v>
      </c>
      <c r="AJ106" s="949">
        <v>84.683304846963821</v>
      </c>
      <c r="AK106" s="862">
        <v>90</v>
      </c>
      <c r="AL106" s="862">
        <v>3957.2885457123161</v>
      </c>
      <c r="AM106" s="949">
        <v>33.078515047536612</v>
      </c>
      <c r="AN106" s="862"/>
      <c r="AO106" s="862"/>
      <c r="AP106" s="949">
        <v>5363.6812149580619</v>
      </c>
      <c r="AQ106" s="949">
        <v>89.388723522048622</v>
      </c>
      <c r="AR106" s="950">
        <v>0.80700000000000005</v>
      </c>
      <c r="AS106" s="950">
        <v>0.90649999999999997</v>
      </c>
      <c r="AT106" s="949">
        <v>544577.84797760413</v>
      </c>
      <c r="AU106" s="949">
        <v>249120.66551747901</v>
      </c>
      <c r="AV106" s="949">
        <v>735916.01078054612</v>
      </c>
      <c r="AW106" s="949">
        <v>84.683304846963821</v>
      </c>
      <c r="AX106" s="949">
        <v>90</v>
      </c>
      <c r="AY106" s="949">
        <v>7662.13308046567</v>
      </c>
      <c r="AZ106" s="968">
        <v>33.078515047536612</v>
      </c>
      <c r="BA106" s="974"/>
      <c r="BB106" s="889">
        <f>H106*I106*J106*((Calculations!$D$29-Calculations!$D$58)/CoreData!$F$11+(Calculations!$D$31-Calculations!$D$60)/CoreData!$F$11*CoreData!$F$23)</f>
        <v>5905.8272667618639</v>
      </c>
      <c r="BC106" s="875">
        <f>H106*I106*J106*((Calculations!$D$35-Calculations!$D$62)/CoreData!$F$11)</f>
        <v>86.117322973306813</v>
      </c>
      <c r="BD106" s="876">
        <f>PS_Survey!$E$3</f>
        <v>0.82099999999999995</v>
      </c>
      <c r="BE106" s="876">
        <f>PS_Survey!$E$4</f>
        <v>0.91199999999999992</v>
      </c>
      <c r="BF106" s="877">
        <f>H106*I106*J106*CoreData!$F$7*PS_Survey!$E$5</f>
        <v>612425.6014495038</v>
      </c>
      <c r="BG106" s="877">
        <f>H106*I106*J106*CoreData!$F$7*(1-CoreData!$F$66)*PS_Survey!$E$6*PS_Survey!$E$7</f>
        <v>274345.6173193279</v>
      </c>
      <c r="BH106" s="875">
        <f>H106*I106*J106*CoreData!$F$7</f>
        <v>806884.85039460321</v>
      </c>
      <c r="BI106" s="875">
        <f>BB106*CoreData!$F$99+Units_month!BC106*CoreData!$F$130</f>
        <v>92.660758378065367</v>
      </c>
      <c r="BJ106" s="878">
        <f>PS_Survey!$E$8</f>
        <v>85</v>
      </c>
      <c r="BK106" s="879">
        <f t="shared" si="6"/>
        <v>7662.13308046567</v>
      </c>
      <c r="BL106" s="890">
        <f>BB106/CoreData!$F$136</f>
        <v>36.42199979501612</v>
      </c>
      <c r="BM106" s="538"/>
      <c r="BN106" s="538"/>
      <c r="BO106" s="538"/>
      <c r="BP106" s="863"/>
      <c r="BQ106" s="863"/>
      <c r="BR106" s="863"/>
      <c r="BS106" s="863"/>
      <c r="BT106" s="863"/>
      <c r="BU106" s="863"/>
      <c r="BV106" s="863"/>
      <c r="BW106" s="863"/>
      <c r="BX106" s="863"/>
      <c r="BY106" s="863"/>
      <c r="BZ106" s="863"/>
      <c r="CA106" s="863"/>
      <c r="CB106" s="863"/>
      <c r="CC106" s="863"/>
      <c r="CD106" s="863"/>
      <c r="CE106" s="863"/>
      <c r="CF106" s="863"/>
      <c r="CG106" s="863"/>
      <c r="CH106" s="863"/>
      <c r="CI106" s="863"/>
      <c r="CJ106" s="863"/>
      <c r="CK106" s="863"/>
      <c r="CL106" s="863"/>
      <c r="CM106" s="863"/>
      <c r="CN106" s="863"/>
      <c r="CO106" s="863"/>
      <c r="CP106" s="863"/>
      <c r="CQ106" s="863"/>
      <c r="CR106" s="863"/>
      <c r="CS106" s="863"/>
      <c r="CT106" s="863"/>
      <c r="CU106" s="863"/>
      <c r="CV106" s="863"/>
      <c r="CW106" s="863"/>
      <c r="CX106" s="863"/>
      <c r="CY106" s="863"/>
      <c r="CZ106" s="863"/>
      <c r="DA106" s="863"/>
      <c r="DB106" s="863"/>
      <c r="DC106" s="863"/>
      <c r="DD106" s="863"/>
      <c r="DE106" s="863"/>
      <c r="DF106" s="863"/>
      <c r="DG106" s="863"/>
      <c r="DH106" s="863"/>
      <c r="DI106" s="863"/>
      <c r="DJ106" s="863"/>
      <c r="DK106" s="863"/>
      <c r="DL106" s="863"/>
      <c r="DM106" s="863"/>
      <c r="DN106" s="863"/>
      <c r="DO106" s="863"/>
      <c r="DP106" s="863"/>
      <c r="DQ106" s="863"/>
      <c r="DR106" s="863"/>
      <c r="DS106" s="863"/>
      <c r="DT106" s="863"/>
      <c r="DU106" s="863"/>
      <c r="DV106" s="863"/>
      <c r="DW106" s="863"/>
      <c r="DX106" s="863"/>
      <c r="DY106" s="863"/>
      <c r="DZ106" s="863"/>
      <c r="EA106" s="863"/>
      <c r="EB106" s="863"/>
      <c r="EC106" s="863"/>
      <c r="ED106" s="863"/>
      <c r="EE106" s="863"/>
      <c r="EF106" s="863"/>
      <c r="EG106" s="863"/>
      <c r="EH106" s="863"/>
      <c r="EI106" s="863"/>
      <c r="EJ106" s="863"/>
      <c r="EK106" s="863"/>
      <c r="EL106" s="863"/>
      <c r="EM106" s="863"/>
      <c r="EN106" s="863"/>
      <c r="EO106" s="863"/>
      <c r="EP106" s="863"/>
      <c r="EQ106" s="863"/>
      <c r="ER106" s="863"/>
      <c r="ES106" s="863"/>
      <c r="ET106" s="863"/>
      <c r="EU106" s="863"/>
      <c r="EV106" s="863"/>
      <c r="EW106" s="863"/>
      <c r="EX106" s="863"/>
      <c r="EY106" s="863"/>
      <c r="EZ106" s="863"/>
      <c r="FA106" s="863"/>
      <c r="FB106" s="863"/>
      <c r="FC106" s="863"/>
      <c r="FD106" s="863"/>
      <c r="FE106" s="863"/>
      <c r="FF106" s="863"/>
      <c r="FG106" s="863"/>
      <c r="FH106" s="863"/>
      <c r="FI106" s="863"/>
      <c r="FJ106" s="863"/>
      <c r="FK106" s="863"/>
      <c r="FL106" s="863"/>
      <c r="FM106" s="863"/>
      <c r="FN106" s="863"/>
      <c r="FO106" s="863"/>
    </row>
    <row r="107" spans="1:171">
      <c r="A107" s="791" t="s">
        <v>331</v>
      </c>
      <c r="B107" s="792">
        <f t="shared" si="5"/>
        <v>102</v>
      </c>
      <c r="C107" s="529">
        <v>43586</v>
      </c>
      <c r="D107" s="540">
        <f t="shared" si="4"/>
        <v>43616</v>
      </c>
      <c r="E107" s="599">
        <v>3883</v>
      </c>
      <c r="F107" s="541"/>
      <c r="G107" s="326">
        <v>4702</v>
      </c>
      <c r="H107" s="610">
        <v>206671</v>
      </c>
      <c r="I107" s="623">
        <v>0.8261992527019878</v>
      </c>
      <c r="J107" s="624">
        <v>0.90559999999999996</v>
      </c>
      <c r="K107" s="804">
        <v>11888.950321255204</v>
      </c>
      <c r="L107" s="541">
        <v>3966.3277450577593</v>
      </c>
      <c r="M107" s="576">
        <v>242.98772715321297</v>
      </c>
      <c r="N107" s="761">
        <v>7679.6348490442324</v>
      </c>
      <c r="O107" s="862"/>
      <c r="P107" s="862"/>
      <c r="Q107" s="967">
        <v>8067.8518534496588</v>
      </c>
      <c r="R107" s="949">
        <v>134.18435081733989</v>
      </c>
      <c r="S107" s="862">
        <v>0</v>
      </c>
      <c r="T107" s="862">
        <v>0</v>
      </c>
      <c r="U107" s="862">
        <v>0</v>
      </c>
      <c r="V107" s="862">
        <v>0</v>
      </c>
      <c r="W107" s="862">
        <v>0</v>
      </c>
      <c r="X107" s="862">
        <v>0</v>
      </c>
      <c r="Y107" s="862">
        <v>0</v>
      </c>
      <c r="Z107" s="862">
        <v>11888.950321255204</v>
      </c>
      <c r="AA107" s="862"/>
      <c r="AB107" s="862"/>
      <c r="AC107" s="949">
        <v>2691.9189709249367</v>
      </c>
      <c r="AD107" s="949">
        <v>44.591446457372342</v>
      </c>
      <c r="AE107" s="950">
        <v>0.80700000000000005</v>
      </c>
      <c r="AF107" s="950">
        <v>0.90649999999999997</v>
      </c>
      <c r="AG107" s="862">
        <v>545821.76731027849</v>
      </c>
      <c r="AH107" s="862">
        <v>249689.70447702671</v>
      </c>
      <c r="AI107" s="862">
        <v>737596.98285172775</v>
      </c>
      <c r="AJ107" s="949">
        <v>84.876737614097294</v>
      </c>
      <c r="AK107" s="862">
        <v>90</v>
      </c>
      <c r="AL107" s="862">
        <v>3966.3277450577593</v>
      </c>
      <c r="AM107" s="949">
        <v>33.154072664352277</v>
      </c>
      <c r="AN107" s="862"/>
      <c r="AO107" s="862"/>
      <c r="AP107" s="949">
        <v>5375.9328825247221</v>
      </c>
      <c r="AQ107" s="949">
        <v>89.592904359967548</v>
      </c>
      <c r="AR107" s="950">
        <v>0.80700000000000005</v>
      </c>
      <c r="AS107" s="950">
        <v>0.90649999999999997</v>
      </c>
      <c r="AT107" s="949">
        <v>545821.76731027849</v>
      </c>
      <c r="AU107" s="949">
        <v>249689.70447702671</v>
      </c>
      <c r="AV107" s="949">
        <v>737596.98285172775</v>
      </c>
      <c r="AW107" s="949">
        <v>84.876737614097294</v>
      </c>
      <c r="AX107" s="949">
        <v>90</v>
      </c>
      <c r="AY107" s="949">
        <v>7679.6348490442324</v>
      </c>
      <c r="AZ107" s="968">
        <v>33.154072664352277</v>
      </c>
      <c r="BA107" s="974"/>
      <c r="BB107" s="889">
        <f>H107*I107*J107*((Calculations!$D$29-Calculations!$D$58)/CoreData!$F$11+(Calculations!$D$31-Calculations!$D$60)/CoreData!$F$11*CoreData!$F$23)</f>
        <v>5919.3172989764362</v>
      </c>
      <c r="BC107" s="875">
        <f>H107*I107*J107*((Calculations!$D$35-Calculations!$D$62)/CoreData!$F$11)</f>
        <v>86.314031310457281</v>
      </c>
      <c r="BD107" s="876">
        <f>PS_Survey!$E$3</f>
        <v>0.82099999999999995</v>
      </c>
      <c r="BE107" s="876">
        <f>PS_Survey!$E$4</f>
        <v>0.91199999999999992</v>
      </c>
      <c r="BF107" s="877">
        <f>H107*I107*J107*CoreData!$F$7*PS_Survey!$E$5</f>
        <v>613824.49794942001</v>
      </c>
      <c r="BG107" s="877">
        <f>H107*I107*J107*CoreData!$F$7*(1-CoreData!$F$66)*PS_Survey!$E$6*PS_Survey!$E$7</f>
        <v>274972.27486422309</v>
      </c>
      <c r="BH107" s="875">
        <f>H107*I107*J107*CoreData!$F$7</f>
        <v>808727.92878711456</v>
      </c>
      <c r="BI107" s="875">
        <f>BB107*CoreData!$F$99+Units_month!BC107*CoreData!$F$130</f>
        <v>92.872413165631173</v>
      </c>
      <c r="BJ107" s="878">
        <f>PS_Survey!$E$8</f>
        <v>85</v>
      </c>
      <c r="BK107" s="879">
        <f t="shared" si="6"/>
        <v>7679.6348490442324</v>
      </c>
      <c r="BL107" s="890">
        <f>BB107/CoreData!$F$136</f>
        <v>36.505194566613852</v>
      </c>
    </row>
    <row r="108" spans="1:171">
      <c r="A108" s="791" t="s">
        <v>331</v>
      </c>
      <c r="B108" s="792">
        <f t="shared" si="5"/>
        <v>103</v>
      </c>
      <c r="C108" s="528">
        <v>43617</v>
      </c>
      <c r="D108" s="540">
        <f t="shared" si="4"/>
        <v>43646</v>
      </c>
      <c r="E108" s="599">
        <v>3410</v>
      </c>
      <c r="F108" s="541"/>
      <c r="G108" s="326">
        <v>5145</v>
      </c>
      <c r="H108" s="610">
        <v>205852</v>
      </c>
      <c r="I108" s="623">
        <v>0.8261992527019878</v>
      </c>
      <c r="J108" s="624">
        <v>0.90559999999999996</v>
      </c>
      <c r="K108" s="804">
        <v>11841.836549545054</v>
      </c>
      <c r="L108" s="541">
        <v>3950.6099016099502</v>
      </c>
      <c r="M108" s="576">
        <v>242.02481049563409</v>
      </c>
      <c r="N108" s="761">
        <v>7649.2018374394693</v>
      </c>
      <c r="O108" s="862"/>
      <c r="P108" s="862"/>
      <c r="Q108" s="967">
        <v>8035.8804076833176</v>
      </c>
      <c r="R108" s="949">
        <v>133.65260237019731</v>
      </c>
      <c r="S108" s="862">
        <v>0</v>
      </c>
      <c r="T108" s="862">
        <v>0</v>
      </c>
      <c r="U108" s="862">
        <v>0</v>
      </c>
      <c r="V108" s="862">
        <v>0</v>
      </c>
      <c r="W108" s="862">
        <v>0</v>
      </c>
      <c r="X108" s="862">
        <v>0</v>
      </c>
      <c r="Y108" s="862">
        <v>0</v>
      </c>
      <c r="Z108" s="862">
        <v>11841.836549545054</v>
      </c>
      <c r="AA108" s="862"/>
      <c r="AB108" s="862"/>
      <c r="AC108" s="949">
        <v>2681.2513802267372</v>
      </c>
      <c r="AD108" s="949">
        <v>44.414738575528311</v>
      </c>
      <c r="AE108" s="950">
        <v>0.80700000000000005</v>
      </c>
      <c r="AF108" s="950">
        <v>0.90649999999999997</v>
      </c>
      <c r="AG108" s="862">
        <v>543658.77382097847</v>
      </c>
      <c r="AH108" s="862">
        <v>248700.22908876862</v>
      </c>
      <c r="AI108" s="862">
        <v>734674.01867699798</v>
      </c>
      <c r="AJ108" s="949">
        <v>84.540386369336545</v>
      </c>
      <c r="AK108" s="862">
        <v>90</v>
      </c>
      <c r="AL108" s="862">
        <v>3950.6099016099502</v>
      </c>
      <c r="AM108" s="949">
        <v>33.022689037660065</v>
      </c>
      <c r="AN108" s="862"/>
      <c r="AO108" s="862"/>
      <c r="AP108" s="949">
        <v>5354.6290274565799</v>
      </c>
      <c r="AQ108" s="949">
        <v>89.237863794669011</v>
      </c>
      <c r="AR108" s="950">
        <v>0.80700000000000005</v>
      </c>
      <c r="AS108" s="950">
        <v>0.90649999999999997</v>
      </c>
      <c r="AT108" s="949">
        <v>543658.77382097847</v>
      </c>
      <c r="AU108" s="949">
        <v>248700.22908876862</v>
      </c>
      <c r="AV108" s="949">
        <v>734674.01867699798</v>
      </c>
      <c r="AW108" s="949">
        <v>84.540386369336545</v>
      </c>
      <c r="AX108" s="949">
        <v>90</v>
      </c>
      <c r="AY108" s="949">
        <v>7649.2018374394693</v>
      </c>
      <c r="AZ108" s="968">
        <v>33.022689037660065</v>
      </c>
      <c r="BA108" s="974"/>
      <c r="BB108" s="889">
        <f>H108*I108*J108*((Calculations!$D$29-Calculations!$D$58)/CoreData!$F$11+(Calculations!$D$31-Calculations!$D$60)/CoreData!$F$11*CoreData!$F$23)</f>
        <v>5895.8601092020517</v>
      </c>
      <c r="BC108" s="875">
        <f>H108*I108*J108*((Calculations!$D$35-Calculations!$D$62)/CoreData!$F$11)</f>
        <v>85.971984329297541</v>
      </c>
      <c r="BD108" s="876">
        <f>PS_Survey!$E$3</f>
        <v>0.82099999999999995</v>
      </c>
      <c r="BE108" s="876">
        <f>PS_Survey!$E$4</f>
        <v>0.91199999999999992</v>
      </c>
      <c r="BF108" s="877">
        <f>H108*I108*J108*CoreData!$F$7*PS_Survey!$E$5</f>
        <v>611392.02186994778</v>
      </c>
      <c r="BG108" s="877">
        <f>H108*I108*J108*CoreData!$F$7*(1-CoreData!$F$66)*PS_Survey!$E$6*PS_Survey!$E$7</f>
        <v>273882.60919698485</v>
      </c>
      <c r="BH108" s="875">
        <f>H108*I108*J108*CoreData!$F$7</f>
        <v>805523.08546765195</v>
      </c>
      <c r="BI108" s="875">
        <f>BB108*CoreData!$F$99+Units_month!BC108*CoreData!$F$130</f>
        <v>92.504376496806543</v>
      </c>
      <c r="BJ108" s="878">
        <f>PS_Survey!$E$8</f>
        <v>85</v>
      </c>
      <c r="BK108" s="879">
        <f t="shared" si="6"/>
        <v>7649.2018374394693</v>
      </c>
      <c r="BL108" s="890">
        <f>BB108/CoreData!$F$136</f>
        <v>36.360531046574479</v>
      </c>
    </row>
    <row r="109" spans="1:171">
      <c r="A109" s="791" t="s">
        <v>331</v>
      </c>
      <c r="B109" s="792">
        <f t="shared" si="5"/>
        <v>104</v>
      </c>
      <c r="C109" s="529">
        <v>43647</v>
      </c>
      <c r="D109" s="540">
        <f t="shared" si="4"/>
        <v>43677</v>
      </c>
      <c r="E109" s="599">
        <v>2752</v>
      </c>
      <c r="F109" s="541"/>
      <c r="G109" s="326">
        <v>6848</v>
      </c>
      <c r="H109" s="610">
        <v>204117</v>
      </c>
      <c r="I109" s="623">
        <v>0.8261992527019878</v>
      </c>
      <c r="J109" s="624">
        <v>0.90559999999999996</v>
      </c>
      <c r="K109" s="804">
        <v>11742.028986764706</v>
      </c>
      <c r="L109" s="541">
        <v>3917.3126386283257</v>
      </c>
      <c r="M109" s="576">
        <v>239.98493210625762</v>
      </c>
      <c r="N109" s="761">
        <v>7584.731416030123</v>
      </c>
      <c r="O109" s="862"/>
      <c r="P109" s="862"/>
      <c r="Q109" s="967">
        <v>7968.1509102418031</v>
      </c>
      <c r="R109" s="949">
        <v>132.52612672209921</v>
      </c>
      <c r="S109" s="862">
        <v>0</v>
      </c>
      <c r="T109" s="862">
        <v>0</v>
      </c>
      <c r="U109" s="862">
        <v>0</v>
      </c>
      <c r="V109" s="862">
        <v>0</v>
      </c>
      <c r="W109" s="862">
        <v>0</v>
      </c>
      <c r="X109" s="862">
        <v>0</v>
      </c>
      <c r="Y109" s="862">
        <v>0</v>
      </c>
      <c r="Z109" s="862">
        <v>11742.028986764706</v>
      </c>
      <c r="AA109" s="862"/>
      <c r="AB109" s="862"/>
      <c r="AC109" s="949">
        <v>2658.6527601273774</v>
      </c>
      <c r="AD109" s="949">
        <v>44.040394039509508</v>
      </c>
      <c r="AE109" s="950">
        <v>0.80700000000000005</v>
      </c>
      <c r="AF109" s="950">
        <v>0.90649999999999997</v>
      </c>
      <c r="AG109" s="862">
        <v>539076.60812630749</v>
      </c>
      <c r="AH109" s="862">
        <v>246604.08769850267</v>
      </c>
      <c r="AI109" s="862">
        <v>728481.90287338849</v>
      </c>
      <c r="AJ109" s="949">
        <v>83.827847407602874</v>
      </c>
      <c r="AK109" s="862">
        <v>90</v>
      </c>
      <c r="AL109" s="862">
        <v>3917.3126386283257</v>
      </c>
      <c r="AM109" s="949">
        <v>32.744361086120414</v>
      </c>
      <c r="AN109" s="862"/>
      <c r="AO109" s="862"/>
      <c r="AP109" s="949">
        <v>5309.4981501144257</v>
      </c>
      <c r="AQ109" s="949">
        <v>88.485732682589699</v>
      </c>
      <c r="AR109" s="950">
        <v>0.80700000000000005</v>
      </c>
      <c r="AS109" s="950">
        <v>0.90649999999999997</v>
      </c>
      <c r="AT109" s="949">
        <v>539076.60812630749</v>
      </c>
      <c r="AU109" s="949">
        <v>246604.08769850267</v>
      </c>
      <c r="AV109" s="949">
        <v>728481.90287338849</v>
      </c>
      <c r="AW109" s="949">
        <v>83.827847407602874</v>
      </c>
      <c r="AX109" s="949">
        <v>90</v>
      </c>
      <c r="AY109" s="949">
        <v>7584.731416030123</v>
      </c>
      <c r="AZ109" s="968">
        <v>32.744361086120414</v>
      </c>
      <c r="BA109" s="974"/>
      <c r="BB109" s="889">
        <f>H109*I109*J109*((Calculations!$D$29-Calculations!$D$58)/CoreData!$F$11+(Calculations!$D$31-Calculations!$D$60)/CoreData!$F$11*CoreData!$F$23)</f>
        <v>5846.1675276897731</v>
      </c>
      <c r="BC109" s="875">
        <f>H109*I109*J109*((Calculations!$D$35-Calculations!$D$62)/CoreData!$F$11)</f>
        <v>85.247379308159367</v>
      </c>
      <c r="BD109" s="876">
        <f>PS_Survey!$E$3</f>
        <v>0.82099999999999995</v>
      </c>
      <c r="BE109" s="876">
        <f>PS_Survey!$E$4</f>
        <v>0.91199999999999992</v>
      </c>
      <c r="BF109" s="877">
        <f>H109*I109*J109*CoreData!$F$7*PS_Survey!$E$5</f>
        <v>606238.9742534837</v>
      </c>
      <c r="BG109" s="877">
        <f>H109*I109*J109*CoreData!$F$7*(1-CoreData!$F$66)*PS_Survey!$E$6*PS_Survey!$E$7</f>
        <v>271574.22100082075</v>
      </c>
      <c r="BH109" s="875">
        <f>H109*I109*J109*CoreData!$F$7</f>
        <v>798733.82642092719</v>
      </c>
      <c r="BI109" s="875">
        <f>BB109*CoreData!$F$99+Units_month!BC109*CoreData!$F$130</f>
        <v>91.724713956622537</v>
      </c>
      <c r="BJ109" s="878">
        <f>PS_Survey!$E$8</f>
        <v>85</v>
      </c>
      <c r="BK109" s="879">
        <f t="shared" si="6"/>
        <v>7584.731416030123</v>
      </c>
      <c r="BL109" s="890">
        <f>BB109/CoreData!$F$136</f>
        <v>36.0540704760393</v>
      </c>
    </row>
    <row r="110" spans="1:171">
      <c r="A110" s="791" t="s">
        <v>331</v>
      </c>
      <c r="B110" s="792">
        <f t="shared" si="5"/>
        <v>105</v>
      </c>
      <c r="C110" s="529">
        <v>43678</v>
      </c>
      <c r="D110" s="540">
        <f t="shared" si="4"/>
        <v>43708</v>
      </c>
      <c r="E110" s="599">
        <v>2910</v>
      </c>
      <c r="F110" s="541"/>
      <c r="G110" s="326">
        <v>2469</v>
      </c>
      <c r="H110" s="610">
        <v>200021</v>
      </c>
      <c r="I110" s="623">
        <v>0.8261992527019878</v>
      </c>
      <c r="J110" s="624">
        <v>0.90559999999999996</v>
      </c>
      <c r="K110" s="804">
        <v>11506.40260224118</v>
      </c>
      <c r="L110" s="541">
        <v>3838.7042298832353</v>
      </c>
      <c r="M110" s="576">
        <v>235.16917309594868</v>
      </c>
      <c r="N110" s="761">
        <v>7432.5291992619968</v>
      </c>
      <c r="O110" s="862"/>
      <c r="P110" s="862"/>
      <c r="Q110" s="967">
        <v>7808.2546442357871</v>
      </c>
      <c r="R110" s="949">
        <v>129.86673522088319</v>
      </c>
      <c r="S110" s="862">
        <v>0</v>
      </c>
      <c r="T110" s="862">
        <v>0</v>
      </c>
      <c r="U110" s="862">
        <v>0</v>
      </c>
      <c r="V110" s="862">
        <v>0</v>
      </c>
      <c r="W110" s="862">
        <v>0</v>
      </c>
      <c r="X110" s="862">
        <v>0</v>
      </c>
      <c r="Y110" s="862">
        <v>0</v>
      </c>
      <c r="Z110" s="862">
        <v>11506.40260224118</v>
      </c>
      <c r="AA110" s="862"/>
      <c r="AB110" s="862"/>
      <c r="AC110" s="949">
        <v>2605.3017814951145</v>
      </c>
      <c r="AD110" s="949">
        <v>43.156638869749862</v>
      </c>
      <c r="AE110" s="950">
        <v>0.80700000000000005</v>
      </c>
      <c r="AF110" s="950">
        <v>0.90649999999999997</v>
      </c>
      <c r="AG110" s="862">
        <v>528258.99966211629</v>
      </c>
      <c r="AH110" s="862">
        <v>241655.50260655521</v>
      </c>
      <c r="AI110" s="862">
        <v>713863.51305691386</v>
      </c>
      <c r="AJ110" s="949">
        <v>82.145680498518686</v>
      </c>
      <c r="AK110" s="862">
        <v>90</v>
      </c>
      <c r="AL110" s="862">
        <v>3838.7042298832353</v>
      </c>
      <c r="AM110" s="949">
        <v>32.087282533090793</v>
      </c>
      <c r="AN110" s="862"/>
      <c r="AO110" s="862"/>
      <c r="AP110" s="949">
        <v>5202.9528627406726</v>
      </c>
      <c r="AQ110" s="949">
        <v>86.71009635113333</v>
      </c>
      <c r="AR110" s="950">
        <v>0.80700000000000005</v>
      </c>
      <c r="AS110" s="950">
        <v>0.90649999999999997</v>
      </c>
      <c r="AT110" s="949">
        <v>528258.99966211629</v>
      </c>
      <c r="AU110" s="949">
        <v>241655.50260655521</v>
      </c>
      <c r="AV110" s="949">
        <v>713863.51305691386</v>
      </c>
      <c r="AW110" s="949">
        <v>82.145680498518686</v>
      </c>
      <c r="AX110" s="949">
        <v>90</v>
      </c>
      <c r="AY110" s="949">
        <v>7432.5291992619968</v>
      </c>
      <c r="AZ110" s="968">
        <v>32.087282533090793</v>
      </c>
      <c r="BA110" s="974"/>
      <c r="BB110" s="889">
        <f>H110*I110*J110*((Calculations!$D$29-Calculations!$D$58)/CoreData!$F$11+(Calculations!$D$31-Calculations!$D$60)/CoreData!$F$11*CoreData!$F$23)</f>
        <v>5728.8529375604985</v>
      </c>
      <c r="BC110" s="875">
        <f>H110*I110*J110*((Calculations!$D$35-Calculations!$D$62)/CoreData!$F$11)</f>
        <v>83.536726762579065</v>
      </c>
      <c r="BD110" s="876">
        <f>PS_Survey!$E$3</f>
        <v>0.82099999999999995</v>
      </c>
      <c r="BE110" s="876">
        <f>PS_Survey!$E$4</f>
        <v>0.91199999999999992</v>
      </c>
      <c r="BF110" s="877">
        <f>H110*I110*J110*CoreData!$F$7*PS_Survey!$E$5</f>
        <v>594073.62379986036</v>
      </c>
      <c r="BG110" s="877">
        <f>H110*I110*J110*CoreData!$F$7*(1-CoreData!$F$66)*PS_Survey!$E$6*PS_Survey!$E$7</f>
        <v>266124.56218151929</v>
      </c>
      <c r="BH110" s="875">
        <f>H110*I110*J110*CoreData!$F$7</f>
        <v>782705.6967060084</v>
      </c>
      <c r="BI110" s="875">
        <f>BB110*CoreData!$F$99+Units_month!BC110*CoreData!$F$130</f>
        <v>89.884081239277464</v>
      </c>
      <c r="BJ110" s="878">
        <f>PS_Survey!$E$8</f>
        <v>85</v>
      </c>
      <c r="BK110" s="879">
        <f t="shared" si="6"/>
        <v>7432.5291992619968</v>
      </c>
      <c r="BL110" s="890">
        <f>BB110/CoreData!$F$136</f>
        <v>35.330576241507856</v>
      </c>
    </row>
    <row r="111" spans="1:171">
      <c r="A111" s="791" t="s">
        <v>331</v>
      </c>
      <c r="B111" s="792">
        <f t="shared" si="5"/>
        <v>106</v>
      </c>
      <c r="C111" s="528">
        <v>43709</v>
      </c>
      <c r="D111" s="540">
        <f t="shared" si="4"/>
        <v>43738</v>
      </c>
      <c r="E111" s="599">
        <v>2079</v>
      </c>
      <c r="F111" s="541"/>
      <c r="G111" s="326">
        <v>2777</v>
      </c>
      <c r="H111" s="610">
        <v>200462</v>
      </c>
      <c r="I111" s="623">
        <v>0.8261992527019878</v>
      </c>
      <c r="J111" s="624">
        <v>0.90559999999999996</v>
      </c>
      <c r="K111" s="804">
        <v>11531.771556238953</v>
      </c>
      <c r="L111" s="541">
        <v>3847.1676840474411</v>
      </c>
      <c r="M111" s="576">
        <v>235.68766668079883</v>
      </c>
      <c r="N111" s="761">
        <v>7448.9162055107136</v>
      </c>
      <c r="O111" s="862"/>
      <c r="P111" s="862"/>
      <c r="Q111" s="967">
        <v>7825.4700381099692</v>
      </c>
      <c r="R111" s="949">
        <v>130.1530613078061</v>
      </c>
      <c r="S111" s="862">
        <v>0</v>
      </c>
      <c r="T111" s="862">
        <v>0</v>
      </c>
      <c r="U111" s="862">
        <v>0</v>
      </c>
      <c r="V111" s="862">
        <v>0</v>
      </c>
      <c r="W111" s="862">
        <v>0</v>
      </c>
      <c r="X111" s="862">
        <v>0</v>
      </c>
      <c r="Y111" s="862">
        <v>0</v>
      </c>
      <c r="Z111" s="862">
        <v>11531.771556238953</v>
      </c>
      <c r="AA111" s="862"/>
      <c r="AB111" s="862"/>
      <c r="AC111" s="949">
        <v>2611.0458687941446</v>
      </c>
      <c r="AD111" s="949">
        <v>43.251789267665878</v>
      </c>
      <c r="AE111" s="950">
        <v>0.80700000000000005</v>
      </c>
      <c r="AF111" s="950">
        <v>0.90649999999999997</v>
      </c>
      <c r="AG111" s="862">
        <v>529423.68846404704</v>
      </c>
      <c r="AH111" s="862">
        <v>242188.2970463864</v>
      </c>
      <c r="AI111" s="862">
        <v>715437.41684330674</v>
      </c>
      <c r="AJ111" s="949">
        <v>82.326792707235995</v>
      </c>
      <c r="AK111" s="862">
        <v>90</v>
      </c>
      <c r="AL111" s="862">
        <v>3847.1676840474411</v>
      </c>
      <c r="AM111" s="949">
        <v>32.158027562848133</v>
      </c>
      <c r="AN111" s="862"/>
      <c r="AO111" s="862"/>
      <c r="AP111" s="949">
        <v>5214.4241693158247</v>
      </c>
      <c r="AQ111" s="949">
        <v>86.901272040140213</v>
      </c>
      <c r="AR111" s="950">
        <v>0.80700000000000005</v>
      </c>
      <c r="AS111" s="950">
        <v>0.90649999999999997</v>
      </c>
      <c r="AT111" s="949">
        <v>529423.68846404704</v>
      </c>
      <c r="AU111" s="949">
        <v>242188.2970463864</v>
      </c>
      <c r="AV111" s="949">
        <v>715437.41684330674</v>
      </c>
      <c r="AW111" s="949">
        <v>82.326792707235995</v>
      </c>
      <c r="AX111" s="949">
        <v>90</v>
      </c>
      <c r="AY111" s="949">
        <v>7448.9162055107136</v>
      </c>
      <c r="AZ111" s="968">
        <v>32.158027562848133</v>
      </c>
      <c r="BA111" s="974"/>
      <c r="BB111" s="889">
        <f>H111*I111*J111*((Calculations!$D$29-Calculations!$D$58)/CoreData!$F$11+(Calculations!$D$31-Calculations!$D$60)/CoreData!$F$11*CoreData!$F$23)</f>
        <v>5741.4837320543975</v>
      </c>
      <c r="BC111" s="875">
        <f>H111*I111*J111*((Calculations!$D$35-Calculations!$D$62)/CoreData!$F$11)</f>
        <v>83.72090590628045</v>
      </c>
      <c r="BD111" s="876">
        <f>PS_Survey!$E$3</f>
        <v>0.82099999999999995</v>
      </c>
      <c r="BE111" s="876">
        <f>PS_Survey!$E$4</f>
        <v>0.91199999999999992</v>
      </c>
      <c r="BF111" s="877">
        <f>H111*I111*J111*CoreData!$F$7*PS_Survey!$E$5</f>
        <v>595383.41861188377</v>
      </c>
      <c r="BG111" s="877">
        <f>H111*I111*J111*CoreData!$F$7*(1-CoreData!$F$66)*PS_Survey!$E$6*PS_Survey!$E$7</f>
        <v>266711.3052331091</v>
      </c>
      <c r="BH111" s="875">
        <f>H111*I111*J111*CoreData!$F$7</f>
        <v>784431.38157033431</v>
      </c>
      <c r="BI111" s="875">
        <f>BB111*CoreData!$F$99+Units_month!BC111*CoreData!$F$130</f>
        <v>90.082254830183032</v>
      </c>
      <c r="BJ111" s="878">
        <f>PS_Survey!$E$8</f>
        <v>85</v>
      </c>
      <c r="BK111" s="879">
        <f t="shared" si="6"/>
        <v>7448.9162055107136</v>
      </c>
      <c r="BL111" s="890">
        <f>BB111/CoreData!$F$136</f>
        <v>35.408471983067514</v>
      </c>
    </row>
    <row r="112" spans="1:171">
      <c r="A112" s="791" t="s">
        <v>331</v>
      </c>
      <c r="B112" s="792">
        <f t="shared" si="5"/>
        <v>107</v>
      </c>
      <c r="C112" s="529">
        <v>43739</v>
      </c>
      <c r="D112" s="540">
        <f t="shared" si="4"/>
        <v>43769</v>
      </c>
      <c r="E112" s="599">
        <v>3907</v>
      </c>
      <c r="F112" s="541"/>
      <c r="G112" s="326">
        <v>2216</v>
      </c>
      <c r="H112" s="610">
        <v>199764</v>
      </c>
      <c r="I112" s="623">
        <v>0.8261992527019878</v>
      </c>
      <c r="J112" s="624">
        <v>0.90559999999999996</v>
      </c>
      <c r="K112" s="804">
        <v>11491.618427235677</v>
      </c>
      <c r="L112" s="541">
        <v>3833.772012830626</v>
      </c>
      <c r="M112" s="576">
        <v>234.86701243538974</v>
      </c>
      <c r="N112" s="761">
        <v>7422.979401969661</v>
      </c>
      <c r="O112" s="862"/>
      <c r="P112" s="862"/>
      <c r="Q112" s="967">
        <v>7798.222090436092</v>
      </c>
      <c r="R112" s="949">
        <v>129.69987398655394</v>
      </c>
      <c r="S112" s="862">
        <v>0</v>
      </c>
      <c r="T112" s="862">
        <v>0</v>
      </c>
      <c r="U112" s="862">
        <v>0</v>
      </c>
      <c r="V112" s="862">
        <v>0</v>
      </c>
      <c r="W112" s="862">
        <v>0</v>
      </c>
      <c r="X112" s="862">
        <v>0</v>
      </c>
      <c r="Y112" s="862">
        <v>0</v>
      </c>
      <c r="Z112" s="862">
        <v>11491.618427235677</v>
      </c>
      <c r="AA112" s="862"/>
      <c r="AB112" s="862"/>
      <c r="AC112" s="949">
        <v>2601.9543201893302</v>
      </c>
      <c r="AD112" s="949">
        <v>43.101188411100388</v>
      </c>
      <c r="AE112" s="950">
        <v>0.80700000000000005</v>
      </c>
      <c r="AF112" s="950">
        <v>0.90649999999999997</v>
      </c>
      <c r="AG112" s="862">
        <v>527580.25811541278</v>
      </c>
      <c r="AH112" s="862">
        <v>241345.00788765115</v>
      </c>
      <c r="AI112" s="862">
        <v>712946.29475055775</v>
      </c>
      <c r="AJ112" s="949">
        <v>82.040134381420373</v>
      </c>
      <c r="AK112" s="862">
        <v>90</v>
      </c>
      <c r="AL112" s="862">
        <v>3833.772012830626</v>
      </c>
      <c r="AM112" s="949">
        <v>32.046054703957829</v>
      </c>
      <c r="AN112" s="862"/>
      <c r="AO112" s="862"/>
      <c r="AP112" s="949">
        <v>5196.2677702467618</v>
      </c>
      <c r="AQ112" s="949">
        <v>86.598685575453544</v>
      </c>
      <c r="AR112" s="950">
        <v>0.80700000000000005</v>
      </c>
      <c r="AS112" s="950">
        <v>0.90649999999999997</v>
      </c>
      <c r="AT112" s="949">
        <v>527580.25811541278</v>
      </c>
      <c r="AU112" s="949">
        <v>241345.00788765115</v>
      </c>
      <c r="AV112" s="949">
        <v>712946.29475055775</v>
      </c>
      <c r="AW112" s="949">
        <v>82.040134381420373</v>
      </c>
      <c r="AX112" s="949">
        <v>90</v>
      </c>
      <c r="AY112" s="949">
        <v>7422.979401969661</v>
      </c>
      <c r="AZ112" s="968">
        <v>32.046054703957829</v>
      </c>
      <c r="BA112" s="974"/>
      <c r="BB112" s="889">
        <f>H112*I112*J112*((Calculations!$D$29-Calculations!$D$58)/CoreData!$F$11+(Calculations!$D$31-Calculations!$D$60)/CoreData!$F$11*CoreData!$F$23)</f>
        <v>5721.4921344200629</v>
      </c>
      <c r="BC112" s="875">
        <f>H112*I112*J112*((Calculations!$D$35-Calculations!$D$62)/CoreData!$F$11)</f>
        <v>83.429393338698645</v>
      </c>
      <c r="BD112" s="876">
        <f>PS_Survey!$E$3</f>
        <v>0.82099999999999995</v>
      </c>
      <c r="BE112" s="876">
        <f>PS_Survey!$E$4</f>
        <v>0.91199999999999992</v>
      </c>
      <c r="BF112" s="877">
        <f>H112*I112*J112*CoreData!$F$7*PS_Survey!$E$5</f>
        <v>593310.3193402458</v>
      </c>
      <c r="BG112" s="877">
        <f>H112*I112*J112*CoreData!$F$7*(1-CoreData!$F$66)*PS_Survey!$E$6*PS_Survey!$E$7</f>
        <v>265782.62802220276</v>
      </c>
      <c r="BH112" s="875">
        <f>H112*I112*J112*CoreData!$F$7</f>
        <v>781700.02548121975</v>
      </c>
      <c r="BI112" s="875">
        <f>BB112*CoreData!$F$99+Units_month!BC112*CoreData!$F$130</f>
        <v>89.768592321221377</v>
      </c>
      <c r="BJ112" s="878">
        <f>PS_Survey!$E$8</f>
        <v>85</v>
      </c>
      <c r="BK112" s="879">
        <f t="shared" si="6"/>
        <v>7422.979401969661</v>
      </c>
      <c r="BL112" s="890">
        <f>BB112/CoreData!$F$136</f>
        <v>35.285181217515031</v>
      </c>
    </row>
    <row r="113" spans="1:171" s="490" customFormat="1" ht="15.75" thickBot="1">
      <c r="A113" s="791" t="s">
        <v>331</v>
      </c>
      <c r="B113" s="792">
        <f t="shared" si="5"/>
        <v>108</v>
      </c>
      <c r="C113" s="529">
        <v>43770</v>
      </c>
      <c r="D113" s="540">
        <f t="shared" si="4"/>
        <v>43799</v>
      </c>
      <c r="E113" s="599">
        <v>1815</v>
      </c>
      <c r="F113" s="541"/>
      <c r="G113" s="326">
        <v>4413</v>
      </c>
      <c r="H113" s="610">
        <v>201455</v>
      </c>
      <c r="I113" s="623">
        <v>0.8261992527019878</v>
      </c>
      <c r="J113" s="624">
        <v>0.90559999999999996</v>
      </c>
      <c r="K113" s="804">
        <v>11588.894847213529</v>
      </c>
      <c r="L113" s="541">
        <v>3866.2248495464328</v>
      </c>
      <c r="M113" s="576">
        <v>236.85515903852266</v>
      </c>
      <c r="N113" s="761">
        <v>7485.8148386285739</v>
      </c>
      <c r="O113" s="862"/>
      <c r="P113" s="862"/>
      <c r="Q113" s="967">
        <v>7864.233952207619</v>
      </c>
      <c r="R113" s="949">
        <v>130.79778195251006</v>
      </c>
      <c r="S113" s="862">
        <v>0</v>
      </c>
      <c r="T113" s="862">
        <v>0</v>
      </c>
      <c r="U113" s="862">
        <v>0</v>
      </c>
      <c r="V113" s="862">
        <v>0</v>
      </c>
      <c r="W113" s="862">
        <v>0</v>
      </c>
      <c r="X113" s="862">
        <v>0</v>
      </c>
      <c r="Y113" s="862">
        <v>0</v>
      </c>
      <c r="Z113" s="862">
        <v>11588.894847213529</v>
      </c>
      <c r="AA113" s="862"/>
      <c r="AB113" s="862"/>
      <c r="AC113" s="949">
        <v>2623.9798340729135</v>
      </c>
      <c r="AD113" s="949">
        <v>43.466039483381536</v>
      </c>
      <c r="AE113" s="950">
        <v>0.80700000000000005</v>
      </c>
      <c r="AF113" s="950">
        <v>0.90649999999999997</v>
      </c>
      <c r="AG113" s="862">
        <v>532046.21903165965</v>
      </c>
      <c r="AH113" s="862">
        <v>243387.99064899966</v>
      </c>
      <c r="AI113" s="862">
        <v>718981.37706981041</v>
      </c>
      <c r="AJ113" s="949">
        <v>82.734603190810375</v>
      </c>
      <c r="AK113" s="862">
        <v>90</v>
      </c>
      <c r="AL113" s="862">
        <v>3866.2248495464328</v>
      </c>
      <c r="AM113" s="949">
        <v>32.317324194478608</v>
      </c>
      <c r="AN113" s="862"/>
      <c r="AO113" s="862"/>
      <c r="AP113" s="949">
        <v>5240.254118134706</v>
      </c>
      <c r="AQ113" s="949">
        <v>87.331742469128528</v>
      </c>
      <c r="AR113" s="950">
        <v>0.80700000000000005</v>
      </c>
      <c r="AS113" s="950">
        <v>0.90649999999999997</v>
      </c>
      <c r="AT113" s="949">
        <v>532046.21903165965</v>
      </c>
      <c r="AU113" s="949">
        <v>243387.99064899966</v>
      </c>
      <c r="AV113" s="949">
        <v>718981.37706981041</v>
      </c>
      <c r="AW113" s="949">
        <v>82.734603190810375</v>
      </c>
      <c r="AX113" s="949">
        <v>90</v>
      </c>
      <c r="AY113" s="949">
        <v>7485.8148386285739</v>
      </c>
      <c r="AZ113" s="968">
        <v>32.317324194478608</v>
      </c>
      <c r="BA113" s="974"/>
      <c r="BB113" s="889">
        <f>H113*I113*J113*((Calculations!$D$29-Calculations!$D$58)/CoreData!$F$11+(Calculations!$D$31-Calculations!$D$60)/CoreData!$F$11*CoreData!$F$23)</f>
        <v>5769.9245006086867</v>
      </c>
      <c r="BC113" s="875">
        <f>H113*I113*J113*((Calculations!$D$35-Calculations!$D$62)/CoreData!$F$11)</f>
        <v>84.135622209444819</v>
      </c>
      <c r="BD113" s="876">
        <f>PS_Survey!$E$3</f>
        <v>0.82099999999999995</v>
      </c>
      <c r="BE113" s="876">
        <f>PS_Survey!$E$4</f>
        <v>0.91199999999999992</v>
      </c>
      <c r="BF113" s="877">
        <f>H113*I113*J113*CoreData!$F$7*PS_Survey!$E$5</f>
        <v>598332.68448113371</v>
      </c>
      <c r="BG113" s="877">
        <f>H113*I113*J113*CoreData!$F$7*(1-CoreData!$F$66)*PS_Survey!$E$6*PS_Survey!$E$7</f>
        <v>268032.47496151889</v>
      </c>
      <c r="BH113" s="875">
        <f>H113*I113*J113*CoreData!$F$7</f>
        <v>788317.10735327238</v>
      </c>
      <c r="BI113" s="875">
        <f>BB113*CoreData!$F$99+Units_month!BC113*CoreData!$F$130</f>
        <v>90.528482439637045</v>
      </c>
      <c r="BJ113" s="878">
        <f>PS_Survey!$E$8</f>
        <v>85</v>
      </c>
      <c r="BK113" s="879">
        <f t="shared" si="6"/>
        <v>7485.8148386285739</v>
      </c>
      <c r="BL113" s="890">
        <f>BB113/CoreData!$F$136</f>
        <v>35.5838698773277</v>
      </c>
      <c r="BM113" s="538"/>
      <c r="BN113" s="538"/>
      <c r="BO113" s="538"/>
      <c r="BP113" s="863"/>
      <c r="BQ113" s="863"/>
      <c r="BR113" s="863"/>
      <c r="BS113" s="863"/>
      <c r="BT113" s="863"/>
      <c r="BU113" s="863"/>
      <c r="BV113" s="863"/>
      <c r="BW113" s="863"/>
      <c r="BX113" s="863"/>
      <c r="BY113" s="863"/>
      <c r="BZ113" s="863"/>
      <c r="CA113" s="863"/>
      <c r="CB113" s="863"/>
      <c r="CC113" s="863"/>
      <c r="CD113" s="863"/>
      <c r="CE113" s="863"/>
      <c r="CF113" s="863"/>
      <c r="CG113" s="863"/>
      <c r="CH113" s="863"/>
      <c r="CI113" s="863"/>
      <c r="CJ113" s="863"/>
      <c r="CK113" s="863"/>
      <c r="CL113" s="863"/>
      <c r="CM113" s="863"/>
      <c r="CN113" s="863"/>
      <c r="CO113" s="863"/>
      <c r="CP113" s="863"/>
      <c r="CQ113" s="863"/>
      <c r="CR113" s="863"/>
      <c r="CS113" s="863"/>
      <c r="CT113" s="863"/>
      <c r="CU113" s="863"/>
      <c r="CV113" s="863"/>
      <c r="CW113" s="863"/>
      <c r="CX113" s="863"/>
      <c r="CY113" s="863"/>
      <c r="CZ113" s="863"/>
      <c r="DA113" s="863"/>
      <c r="DB113" s="863"/>
      <c r="DC113" s="863"/>
      <c r="DD113" s="863"/>
      <c r="DE113" s="863"/>
      <c r="DF113" s="863"/>
      <c r="DG113" s="863"/>
      <c r="DH113" s="863"/>
      <c r="DI113" s="863"/>
      <c r="DJ113" s="863"/>
      <c r="DK113" s="863"/>
      <c r="DL113" s="863"/>
      <c r="DM113" s="863"/>
      <c r="DN113" s="863"/>
      <c r="DO113" s="863"/>
      <c r="DP113" s="863"/>
      <c r="DQ113" s="863"/>
      <c r="DR113" s="863"/>
      <c r="DS113" s="863"/>
      <c r="DT113" s="863"/>
      <c r="DU113" s="863"/>
      <c r="DV113" s="863"/>
      <c r="DW113" s="863"/>
      <c r="DX113" s="863"/>
      <c r="DY113" s="863"/>
      <c r="DZ113" s="863"/>
      <c r="EA113" s="863"/>
      <c r="EB113" s="863"/>
      <c r="EC113" s="863"/>
      <c r="ED113" s="863"/>
      <c r="EE113" s="863"/>
      <c r="EF113" s="863"/>
      <c r="EG113" s="863"/>
      <c r="EH113" s="863"/>
      <c r="EI113" s="863"/>
      <c r="EJ113" s="863"/>
      <c r="EK113" s="863"/>
      <c r="EL113" s="863"/>
      <c r="EM113" s="863"/>
      <c r="EN113" s="863"/>
      <c r="EO113" s="863"/>
      <c r="EP113" s="863"/>
      <c r="EQ113" s="863"/>
      <c r="ER113" s="863"/>
      <c r="ES113" s="863"/>
      <c r="ET113" s="863"/>
      <c r="EU113" s="863"/>
      <c r="EV113" s="863"/>
      <c r="EW113" s="863"/>
      <c r="EX113" s="863"/>
      <c r="EY113" s="863"/>
      <c r="EZ113" s="863"/>
      <c r="FA113" s="863"/>
      <c r="FB113" s="863"/>
      <c r="FC113" s="863"/>
      <c r="FD113" s="863"/>
      <c r="FE113" s="863"/>
      <c r="FF113" s="863"/>
      <c r="FG113" s="863"/>
      <c r="FH113" s="863"/>
      <c r="FI113" s="863"/>
      <c r="FJ113" s="863"/>
      <c r="FK113" s="863"/>
      <c r="FL113" s="863"/>
      <c r="FM113" s="863"/>
      <c r="FN113" s="863"/>
      <c r="FO113" s="863"/>
    </row>
    <row r="114" spans="1:171" s="331" customFormat="1" ht="15.75" thickBot="1">
      <c r="A114" s="791" t="s">
        <v>331</v>
      </c>
      <c r="B114" s="792">
        <f t="shared" si="5"/>
        <v>109</v>
      </c>
      <c r="C114" s="1053">
        <v>43800</v>
      </c>
      <c r="D114" s="1054">
        <f t="shared" si="4"/>
        <v>43830</v>
      </c>
      <c r="E114" s="1055">
        <v>1764</v>
      </c>
      <c r="F114" s="1056"/>
      <c r="G114" s="770">
        <v>3234</v>
      </c>
      <c r="H114" s="1057">
        <v>198857</v>
      </c>
      <c r="I114" s="1058">
        <v>0.8261992527019878</v>
      </c>
      <c r="J114" s="1059">
        <v>0.90559999999999996</v>
      </c>
      <c r="K114" s="1060">
        <v>11439.442369920531</v>
      </c>
      <c r="L114" s="1056">
        <v>3816.3653168511828</v>
      </c>
      <c r="M114" s="1061">
        <v>233.80063220532378</v>
      </c>
      <c r="N114" s="1062">
        <v>7389.2764208640247</v>
      </c>
      <c r="O114" s="862"/>
      <c r="P114" s="862"/>
      <c r="Q114" s="967">
        <v>7762.8153733297786</v>
      </c>
      <c r="R114" s="949">
        <v>129.11099017512743</v>
      </c>
      <c r="S114" s="862">
        <v>0</v>
      </c>
      <c r="T114" s="862">
        <v>0</v>
      </c>
      <c r="U114" s="862">
        <v>0</v>
      </c>
      <c r="V114" s="862">
        <v>0</v>
      </c>
      <c r="W114" s="862">
        <v>0</v>
      </c>
      <c r="X114" s="862">
        <v>0</v>
      </c>
      <c r="Y114" s="862">
        <v>0</v>
      </c>
      <c r="Z114" s="862">
        <v>11439.442369920531</v>
      </c>
      <c r="AA114" s="862"/>
      <c r="AB114" s="862"/>
      <c r="AC114" s="949">
        <v>2590.1405170595781</v>
      </c>
      <c r="AD114" s="949">
        <v>42.905493601781053</v>
      </c>
      <c r="AE114" s="950">
        <v>0.80700000000000005</v>
      </c>
      <c r="AF114" s="950">
        <v>0.90649999999999997</v>
      </c>
      <c r="AG114" s="862">
        <v>525184.85506926489</v>
      </c>
      <c r="AH114" s="862">
        <v>240249.21524155836</v>
      </c>
      <c r="AI114" s="862">
        <v>709709.26360711479</v>
      </c>
      <c r="AJ114" s="949">
        <v>81.667642831972287</v>
      </c>
      <c r="AK114" s="862">
        <v>90</v>
      </c>
      <c r="AL114" s="862">
        <v>3816.3653168511828</v>
      </c>
      <c r="AM114" s="949">
        <v>31.900554155227876</v>
      </c>
      <c r="AN114" s="862"/>
      <c r="AO114" s="862"/>
      <c r="AP114" s="949">
        <v>5172.6748562702005</v>
      </c>
      <c r="AQ114" s="949">
        <v>86.20549657334638</v>
      </c>
      <c r="AR114" s="950">
        <v>0.80700000000000005</v>
      </c>
      <c r="AS114" s="950">
        <v>0.90649999999999997</v>
      </c>
      <c r="AT114" s="949">
        <v>525184.85506926489</v>
      </c>
      <c r="AU114" s="949">
        <v>240249.21524155836</v>
      </c>
      <c r="AV114" s="949">
        <v>709709.26360711479</v>
      </c>
      <c r="AW114" s="949">
        <v>81.667642831972287</v>
      </c>
      <c r="AX114" s="949">
        <v>90</v>
      </c>
      <c r="AY114" s="949">
        <v>7389.2764208640247</v>
      </c>
      <c r="AZ114" s="968">
        <v>31.900554155227876</v>
      </c>
      <c r="BA114" s="974"/>
      <c r="BB114" s="891">
        <f>H114*I114*J114*((Calculations!$D$29-Calculations!$D$58)/CoreData!$F$11+(Calculations!$D$31-Calculations!$D$60)/CoreData!$F$11*CoreData!$F$23)</f>
        <v>5695.5145139983697</v>
      </c>
      <c r="BC114" s="892">
        <f>H114*I114*J114*((Calculations!$D$35-Calculations!$D$62)/CoreData!$F$11)</f>
        <v>83.050594056754946</v>
      </c>
      <c r="BD114" s="876">
        <f>PS_Survey!$E$3</f>
        <v>0.82099999999999995</v>
      </c>
      <c r="BE114" s="876">
        <f>PS_Survey!$E$4</f>
        <v>0.91199999999999992</v>
      </c>
      <c r="BF114" s="894">
        <f>H114*I114*J114*CoreData!$F$7*PS_Survey!$E$5</f>
        <v>590616.47830962157</v>
      </c>
      <c r="BG114" s="877">
        <f>H114*I114*J114*CoreData!$F$7*(1-CoreData!$F$66)*PS_Survey!$E$6*PS_Survey!$E$7</f>
        <v>264575.87984126853</v>
      </c>
      <c r="BH114" s="892">
        <f>H114*I114*J114*CoreData!$F$7</f>
        <v>778150.8278124131</v>
      </c>
      <c r="BI114" s="892">
        <f>BB114*CoreData!$F$99+Units_month!BC114*CoreData!$F$130</f>
        <v>89.361010808860058</v>
      </c>
      <c r="BJ114" s="895">
        <f>PS_Survey!$E$8</f>
        <v>85</v>
      </c>
      <c r="BK114" s="896">
        <f t="shared" si="6"/>
        <v>7389.2764208640247</v>
      </c>
      <c r="BL114" s="897">
        <f>BB114/CoreData!$F$136</f>
        <v>35.124973876030644</v>
      </c>
      <c r="BM114" s="538"/>
      <c r="BN114" s="538"/>
      <c r="BO114" s="538"/>
      <c r="BP114" s="863"/>
      <c r="BQ114" s="863"/>
      <c r="BR114" s="863"/>
      <c r="BS114" s="863"/>
      <c r="BT114" s="863"/>
      <c r="BU114" s="863"/>
      <c r="BV114" s="863"/>
      <c r="BW114" s="863"/>
      <c r="BX114" s="863"/>
      <c r="BY114" s="863"/>
      <c r="BZ114" s="863"/>
      <c r="CA114" s="863"/>
      <c r="CB114" s="863"/>
      <c r="CC114" s="863"/>
      <c r="CD114" s="863"/>
      <c r="CE114" s="863"/>
      <c r="CF114" s="863"/>
      <c r="CG114" s="863"/>
      <c r="CH114" s="863"/>
      <c r="CI114" s="863"/>
      <c r="CJ114" s="863"/>
      <c r="CK114" s="863"/>
      <c r="CL114" s="863"/>
      <c r="CM114" s="863"/>
      <c r="CN114" s="863"/>
      <c r="CO114" s="863"/>
      <c r="CP114" s="863"/>
      <c r="CQ114" s="863"/>
      <c r="CR114" s="863"/>
      <c r="CS114" s="863"/>
      <c r="CT114" s="863"/>
      <c r="CU114" s="863"/>
      <c r="CV114" s="863"/>
      <c r="CW114" s="863"/>
      <c r="CX114" s="863"/>
      <c r="CY114" s="863"/>
      <c r="CZ114" s="863"/>
      <c r="DA114" s="863"/>
      <c r="DB114" s="863"/>
      <c r="DC114" s="863"/>
      <c r="DD114" s="863"/>
      <c r="DE114" s="863"/>
      <c r="DF114" s="863"/>
      <c r="DG114" s="863"/>
      <c r="DH114" s="863"/>
      <c r="DI114" s="863"/>
      <c r="DJ114" s="863"/>
      <c r="DK114" s="863"/>
      <c r="DL114" s="863"/>
      <c r="DM114" s="863"/>
      <c r="DN114" s="863"/>
      <c r="DO114" s="863"/>
      <c r="DP114" s="863"/>
      <c r="DQ114" s="863"/>
      <c r="DR114" s="863"/>
      <c r="DS114" s="863"/>
      <c r="DT114" s="863"/>
      <c r="DU114" s="863"/>
      <c r="DV114" s="863"/>
      <c r="DW114" s="863"/>
      <c r="DX114" s="863"/>
      <c r="DY114" s="863"/>
      <c r="DZ114" s="863"/>
      <c r="EA114" s="863"/>
      <c r="EB114" s="863"/>
      <c r="EC114" s="863"/>
      <c r="ED114" s="863"/>
      <c r="EE114" s="863"/>
      <c r="EF114" s="863"/>
      <c r="EG114" s="863"/>
      <c r="EH114" s="863"/>
      <c r="EI114" s="863"/>
      <c r="EJ114" s="863"/>
      <c r="EK114" s="863"/>
      <c r="EL114" s="863"/>
      <c r="EM114" s="863"/>
      <c r="EN114" s="863"/>
      <c r="EO114" s="863"/>
      <c r="EP114" s="863"/>
      <c r="EQ114" s="863"/>
      <c r="ER114" s="863"/>
      <c r="ES114" s="863"/>
      <c r="ET114" s="863"/>
      <c r="EU114" s="863"/>
      <c r="EV114" s="863"/>
      <c r="EW114" s="863"/>
      <c r="EX114" s="863"/>
      <c r="EY114" s="863"/>
      <c r="EZ114" s="863"/>
      <c r="FA114" s="863"/>
      <c r="FB114" s="863"/>
      <c r="FC114" s="863"/>
      <c r="FD114" s="863"/>
      <c r="FE114" s="863"/>
      <c r="FF114" s="863"/>
      <c r="FG114" s="863"/>
      <c r="FH114" s="863"/>
      <c r="FI114" s="863"/>
      <c r="FJ114" s="863"/>
      <c r="FK114" s="863"/>
      <c r="FL114" s="863"/>
      <c r="FM114" s="863"/>
      <c r="FN114" s="863"/>
      <c r="FO114" s="863"/>
    </row>
    <row r="115" spans="1:171" s="1088" customFormat="1">
      <c r="A115" s="1063" t="s">
        <v>332</v>
      </c>
      <c r="B115" s="1064">
        <f t="shared" si="5"/>
        <v>110</v>
      </c>
      <c r="C115" s="1065">
        <v>43831</v>
      </c>
      <c r="D115" s="1066">
        <f t="shared" si="4"/>
        <v>43861</v>
      </c>
      <c r="E115" s="1067">
        <f>Sale_Data!D86</f>
        <v>2219</v>
      </c>
      <c r="F115" s="1068"/>
      <c r="G115" s="1069">
        <f t="shared" si="3"/>
        <v>4178</v>
      </c>
      <c r="H115" s="1070">
        <f>SUM($E$6:E114)-SUM($F$6:G114)</f>
        <v>197387</v>
      </c>
      <c r="I115" s="1071">
        <f>VLOOKUP(A115,'Usage Rate Calc'!$T$7:$U$13,2,0)</f>
        <v>0.8318481316963624</v>
      </c>
      <c r="J115" s="1072">
        <f>VLOOKUP(A115,WQ_Test!$A$3:$B$9,2,0)</f>
        <v>0.9</v>
      </c>
      <c r="K115" s="1073">
        <f>$H115*CoreData!$F$44*I115*J115</f>
        <v>11203.840315363634</v>
      </c>
      <c r="L115" s="1068">
        <f>$H115*CoreData!$F$45*I115*J115</f>
        <v>2902.3815083695586</v>
      </c>
      <c r="M115" s="1074">
        <f>$H115*CoreData!$F$46</f>
        <v>198.65375164314992</v>
      </c>
      <c r="N115" s="1075">
        <f t="shared" ref="N115:N121" si="8">(K115-L115)-M115</f>
        <v>8102.8050553509247</v>
      </c>
      <c r="O115" s="1076"/>
      <c r="P115" s="1076"/>
      <c r="Q115" s="1077">
        <f>H115*I115*J115*((Calculations!$D$29)/CoreData!$F$11+(Calculations!$D$31)/CoreData!$F$11*CoreData!$F$23)</f>
        <v>7602.9356176599167</v>
      </c>
      <c r="R115" s="1078">
        <f>H115*I115*J115*((Calculations!$D$35)/CoreData!$F$11)</f>
        <v>126.45187327349238</v>
      </c>
      <c r="S115" s="1079">
        <v>0</v>
      </c>
      <c r="T115" s="1079">
        <v>0</v>
      </c>
      <c r="U115" s="1079">
        <v>0</v>
      </c>
      <c r="V115" s="1079">
        <v>0</v>
      </c>
      <c r="W115" s="1079">
        <v>0</v>
      </c>
      <c r="X115" s="1079">
        <v>0</v>
      </c>
      <c r="Y115" s="1079">
        <v>0</v>
      </c>
      <c r="Z115" s="1079">
        <f t="shared" ref="Z115:Z167" si="9">K115</f>
        <v>11203.840315363634</v>
      </c>
      <c r="AA115" s="1079"/>
      <c r="AB115" s="1079"/>
      <c r="AC115" s="1078">
        <f>H115*I115*J115*((Calculations!$D$58)/CoreData!$F$11+(Calculations!$D$60)/CoreData!$F$11*CoreData!$F$23)</f>
        <v>1946.0686001269025</v>
      </c>
      <c r="AD115" s="1078">
        <f>H115*I115*J115*((Calculations!$D$62)/CoreData!$F$11)</f>
        <v>43.964827519944357</v>
      </c>
      <c r="AE115" s="1080">
        <f>PS_Survey!$E$3</f>
        <v>0.82099999999999995</v>
      </c>
      <c r="AF115" s="1080">
        <f>PS_Survey!$E$4</f>
        <v>0.91199999999999992</v>
      </c>
      <c r="AG115" s="1079">
        <f>H115*I115*J115*CoreData!$F$7*PS_Survey!$E$5</f>
        <v>586608.78976774332</v>
      </c>
      <c r="AH115" s="1079">
        <f>H115*I115*J115*CoreData!$F$7*(1-CoreData!$F$66)*PS_Survey!$E$6*PS_Survey!$E$7</f>
        <v>262780.57313880074</v>
      </c>
      <c r="AI115" s="1079">
        <f>H115*I115*J115*CoreData!$F$7</f>
        <v>772870.60575460258</v>
      </c>
      <c r="AJ115" s="1078">
        <f>(Q115-AC115)*CoreData!$F$99+(R115-AD115)*CoreData!$F$130</f>
        <v>88.754642527138031</v>
      </c>
      <c r="AK115" s="1079">
        <f>PS_Survey!$E$8</f>
        <v>85</v>
      </c>
      <c r="AL115" s="1079">
        <f t="shared" ref="AL115:AL167" si="10">L115</f>
        <v>2902.3815083695586</v>
      </c>
      <c r="AM115" s="1078">
        <f>(Q115-AC115)/CoreData!$F$136</f>
        <v>34.886629772019823</v>
      </c>
      <c r="AN115" s="1079"/>
      <c r="AO115" s="1079"/>
      <c r="AP115" s="1078">
        <f t="shared" ref="AP115:AP167" si="11">ABS(Q115-AC115)</f>
        <v>5656.8670175330144</v>
      </c>
      <c r="AQ115" s="1078">
        <f t="shared" ref="AQ115:AQ167" si="12">ABS(R115-AD115)</f>
        <v>82.487045753548017</v>
      </c>
      <c r="AR115" s="1080">
        <f t="shared" ref="AR115:AR167" si="13">ABS(S115-AE115)</f>
        <v>0.82099999999999995</v>
      </c>
      <c r="AS115" s="1080">
        <f t="shared" ref="AS115:AS167" si="14">ABS(T115-AF115)</f>
        <v>0.91199999999999992</v>
      </c>
      <c r="AT115" s="1078">
        <f t="shared" ref="AT115:AT167" si="15">ABS(U115-AG115)</f>
        <v>586608.78976774332</v>
      </c>
      <c r="AU115" s="1078">
        <f t="shared" ref="AU115:AU167" si="16">ABS(V115-AH115)</f>
        <v>262780.57313880074</v>
      </c>
      <c r="AV115" s="1078">
        <f t="shared" ref="AV115:AV167" si="17">ABS(W115-AI115)</f>
        <v>772870.60575460258</v>
      </c>
      <c r="AW115" s="1078">
        <f t="shared" ref="AW115:AW167" si="18">ABS(X115-AJ115)</f>
        <v>88.754642527138031</v>
      </c>
      <c r="AX115" s="1078">
        <f t="shared" ref="AX115:AX167" si="19">ABS(Y115-AK115)</f>
        <v>85</v>
      </c>
      <c r="AY115" s="1078">
        <f>ABS(Z115-AL115)-M115</f>
        <v>8102.8050553509247</v>
      </c>
      <c r="AZ115" s="1081">
        <f t="shared" ref="AZ115:AZ167" si="20">ABS(AA115-AM115)</f>
        <v>34.886629772019823</v>
      </c>
      <c r="BA115" s="1076"/>
      <c r="BB115" s="1082">
        <f>H115*I115*J115*((Calculations!$D$29-Calculations!$D$58)/CoreData!$F$11+(Calculations!$D$31-Calculations!$D$60)/CoreData!$F$11*CoreData!$F$23)</f>
        <v>5656.8670175330135</v>
      </c>
      <c r="BC115" s="1082">
        <f>H115*I115*J115*((Calculations!$D$35-Calculations!$D$62)/CoreData!$F$11)</f>
        <v>82.487045753548031</v>
      </c>
      <c r="BD115" s="1083">
        <f>PS_Survey!$E$3</f>
        <v>0.82099999999999995</v>
      </c>
      <c r="BE115" s="1083">
        <f>PS_Survey!$E$4</f>
        <v>0.91199999999999992</v>
      </c>
      <c r="BF115" s="1084">
        <f>H115*I115*J115*CoreData!$F$7*PS_Survey!$E$5</f>
        <v>586608.78976774332</v>
      </c>
      <c r="BG115" s="1084">
        <f>H115*I115*J115*CoreData!$F$7*(1-CoreData!$F$66)*PS_Survey!$E$6*PS_Survey!$E$7</f>
        <v>262780.57313880074</v>
      </c>
      <c r="BH115" s="1082">
        <f>H115*I115*J115*CoreData!$F$7</f>
        <v>772870.60575460258</v>
      </c>
      <c r="BI115" s="1082">
        <f>BB115*CoreData!$F$99+Units_month!BC115*CoreData!$F$130</f>
        <v>88.754642527138017</v>
      </c>
      <c r="BJ115" s="1085">
        <f>PS_Survey!$E$8</f>
        <v>85</v>
      </c>
      <c r="BK115" s="1086">
        <f t="shared" si="6"/>
        <v>8102.8050553509247</v>
      </c>
      <c r="BL115" s="1082">
        <f>BB115/CoreData!$F$136</f>
        <v>34.886629772019816</v>
      </c>
      <c r="BM115" s="1087"/>
      <c r="BN115" s="1087"/>
      <c r="BO115" s="1087"/>
      <c r="BP115" s="1087"/>
      <c r="BQ115" s="1087"/>
      <c r="BR115" s="1087"/>
      <c r="BS115" s="1087"/>
      <c r="BT115" s="1087"/>
      <c r="BU115" s="1087"/>
      <c r="BV115" s="1087"/>
      <c r="BW115" s="1087"/>
      <c r="BX115" s="1087"/>
      <c r="BY115" s="1087"/>
      <c r="BZ115" s="1087"/>
      <c r="CA115" s="1087"/>
      <c r="CB115" s="1087"/>
      <c r="CC115" s="1087"/>
      <c r="CD115" s="1087"/>
      <c r="CE115" s="1087"/>
      <c r="CF115" s="1087"/>
      <c r="CG115" s="1087"/>
      <c r="CH115" s="1087"/>
      <c r="CI115" s="1087"/>
      <c r="CJ115" s="1087"/>
      <c r="CK115" s="1087"/>
      <c r="CL115" s="1087"/>
      <c r="CM115" s="1087"/>
      <c r="CN115" s="1087"/>
      <c r="CO115" s="1087"/>
      <c r="CP115" s="1087"/>
      <c r="CQ115" s="1087"/>
      <c r="CR115" s="1087"/>
      <c r="CS115" s="1087"/>
      <c r="CT115" s="1087"/>
      <c r="CU115" s="1087"/>
      <c r="CV115" s="1087"/>
      <c r="CW115" s="1087"/>
      <c r="CX115" s="1087"/>
      <c r="CY115" s="1087"/>
      <c r="CZ115" s="1087"/>
      <c r="DA115" s="1087"/>
      <c r="DB115" s="1087"/>
      <c r="DC115" s="1087"/>
      <c r="DD115" s="1087"/>
      <c r="DE115" s="1087"/>
      <c r="DF115" s="1087"/>
      <c r="DG115" s="1087"/>
      <c r="DH115" s="1087"/>
      <c r="DI115" s="1087"/>
      <c r="DJ115" s="1087"/>
      <c r="DK115" s="1087"/>
      <c r="DL115" s="1087"/>
      <c r="DM115" s="1087"/>
      <c r="DN115" s="1087"/>
      <c r="DO115" s="1087"/>
      <c r="DP115" s="1087"/>
      <c r="DQ115" s="1087"/>
      <c r="DR115" s="1087"/>
      <c r="DS115" s="1087"/>
      <c r="DT115" s="1087"/>
      <c r="DU115" s="1087"/>
      <c r="DV115" s="1087"/>
      <c r="DW115" s="1087"/>
      <c r="DX115" s="1087"/>
      <c r="DY115" s="1087"/>
      <c r="DZ115" s="1087"/>
      <c r="EA115" s="1087"/>
      <c r="EB115" s="1087"/>
      <c r="EC115" s="1087"/>
      <c r="ED115" s="1087"/>
      <c r="EE115" s="1087"/>
      <c r="EF115" s="1087"/>
      <c r="EG115" s="1087"/>
      <c r="EH115" s="1087"/>
      <c r="EI115" s="1087"/>
      <c r="EJ115" s="1087"/>
      <c r="EK115" s="1087"/>
      <c r="EL115" s="1087"/>
      <c r="EM115" s="1087"/>
      <c r="EN115" s="1087"/>
      <c r="EO115" s="1087"/>
      <c r="EP115" s="1087"/>
      <c r="EQ115" s="1087"/>
      <c r="ER115" s="1087"/>
      <c r="ES115" s="1087"/>
      <c r="ET115" s="1087"/>
      <c r="EU115" s="1087"/>
      <c r="EV115" s="1087"/>
      <c r="EW115" s="1087"/>
      <c r="EX115" s="1087"/>
      <c r="EY115" s="1087"/>
      <c r="EZ115" s="1087"/>
      <c r="FA115" s="1087"/>
      <c r="FB115" s="1087"/>
      <c r="FC115" s="1087"/>
      <c r="FD115" s="1087"/>
      <c r="FE115" s="1087"/>
      <c r="FF115" s="1087"/>
      <c r="FG115" s="1087"/>
      <c r="FH115" s="1087"/>
      <c r="FI115" s="1087"/>
      <c r="FJ115" s="1087"/>
      <c r="FK115" s="1087"/>
      <c r="FL115" s="1087"/>
      <c r="FM115" s="1087"/>
      <c r="FN115" s="1087"/>
      <c r="FO115" s="1087"/>
    </row>
    <row r="116" spans="1:171" s="1088" customFormat="1">
      <c r="A116" s="1089" t="s">
        <v>332</v>
      </c>
      <c r="B116" s="1090">
        <f t="shared" si="5"/>
        <v>111</v>
      </c>
      <c r="C116" s="1091">
        <v>43862</v>
      </c>
      <c r="D116" s="1092">
        <f t="shared" si="4"/>
        <v>43890</v>
      </c>
      <c r="E116" s="1093">
        <f>Sale_Data!D87</f>
        <v>3023</v>
      </c>
      <c r="F116" s="1094"/>
      <c r="G116" s="1095">
        <f>IF(B116&gt;=60,INDEX($B$6:$E$173,(B116-59),4),0)</f>
        <v>3932</v>
      </c>
      <c r="H116" s="1096">
        <f>SUM($E$6:E115)-SUM($F$6:G115)</f>
        <v>195428</v>
      </c>
      <c r="I116" s="1097">
        <f>VLOOKUP(A116,'Usage Rate Calc'!$T$7:$U$13,2,0)</f>
        <v>0.8318481316963624</v>
      </c>
      <c r="J116" s="1098">
        <f>VLOOKUP(A116,WQ_Test!$A$3:$B$9,2,0)</f>
        <v>0.9</v>
      </c>
      <c r="K116" s="1099">
        <f>$H116*CoreData!$F$44*I116*J116</f>
        <v>11092.645945026188</v>
      </c>
      <c r="L116" s="1094">
        <f>$H116*CoreData!$F$45*I116*J116</f>
        <v>2873.5763419964137</v>
      </c>
      <c r="M116" s="1100">
        <f>$H116*CoreData!$F$46</f>
        <v>196.68217955649308</v>
      </c>
      <c r="N116" s="1101">
        <f t="shared" si="8"/>
        <v>8022.3874234732821</v>
      </c>
      <c r="O116" s="1076"/>
      <c r="P116" s="1076"/>
      <c r="Q116" s="1102">
        <f>H116*I116*J116*((Calculations!$D$29)/CoreData!$F$11+(Calculations!$D$31)/CoreData!$F$11*CoreData!$F$23)</f>
        <v>7527.4790228740603</v>
      </c>
      <c r="R116" s="1103">
        <f>H116*I116*J116*((Calculations!$D$35)/CoreData!$F$11)</f>
        <v>125.19688069676356</v>
      </c>
      <c r="S116" s="1076">
        <v>0</v>
      </c>
      <c r="T116" s="1076">
        <v>0</v>
      </c>
      <c r="U116" s="1076">
        <v>0</v>
      </c>
      <c r="V116" s="1076">
        <v>0</v>
      </c>
      <c r="W116" s="1076">
        <v>0</v>
      </c>
      <c r="X116" s="1076">
        <v>0</v>
      </c>
      <c r="Y116" s="1076">
        <v>0</v>
      </c>
      <c r="Z116" s="1076">
        <f t="shared" si="9"/>
        <v>11092.645945026188</v>
      </c>
      <c r="AA116" s="1076"/>
      <c r="AB116" s="1076"/>
      <c r="AC116" s="1103">
        <f>H116*I116*J116*((Calculations!$D$58)/CoreData!$F$11+(Calculations!$D$60)/CoreData!$F$11*CoreData!$F$23)</f>
        <v>1926.7545197282509</v>
      </c>
      <c r="AD116" s="1103">
        <f>H116*I116*J116*((Calculations!$D$62)/CoreData!$F$11)</f>
        <v>43.52849130169507</v>
      </c>
      <c r="AE116" s="1104">
        <f>PS_Survey!$E$3</f>
        <v>0.82099999999999995</v>
      </c>
      <c r="AF116" s="1104">
        <f>PS_Survey!$E$4</f>
        <v>0.91199999999999992</v>
      </c>
      <c r="AG116" s="1076">
        <f>H116*I116*J116*CoreData!$F$7*PS_Survey!$E$5</f>
        <v>580786.89359851729</v>
      </c>
      <c r="AH116" s="1076">
        <f>H116*I116*J116*CoreData!$F$7*(1-CoreData!$F$66)*PS_Survey!$E$6*PS_Survey!$E$7</f>
        <v>260172.56378266829</v>
      </c>
      <c r="AI116" s="1076">
        <f>H116*I116*J116*CoreData!$F$7</f>
        <v>765200.12331820466</v>
      </c>
      <c r="AJ116" s="1103">
        <f>(Q116-AC116)*CoreData!$F$99+(R116-AD116)*CoreData!$F$130</f>
        <v>87.873782365573888</v>
      </c>
      <c r="AK116" s="1076">
        <f>PS_Survey!$E$8</f>
        <v>85</v>
      </c>
      <c r="AL116" s="1076">
        <f t="shared" si="10"/>
        <v>2873.5763419964137</v>
      </c>
      <c r="AM116" s="1103">
        <f>(Q116-AC116)/CoreData!$F$136</f>
        <v>34.5403916321049</v>
      </c>
      <c r="AN116" s="1076"/>
      <c r="AO116" s="1076"/>
      <c r="AP116" s="1103">
        <f t="shared" si="11"/>
        <v>5600.7245031458096</v>
      </c>
      <c r="AQ116" s="1103">
        <f t="shared" si="12"/>
        <v>81.668389395068488</v>
      </c>
      <c r="AR116" s="1104">
        <f t="shared" si="13"/>
        <v>0.82099999999999995</v>
      </c>
      <c r="AS116" s="1104">
        <f t="shared" si="14"/>
        <v>0.91199999999999992</v>
      </c>
      <c r="AT116" s="1103">
        <f t="shared" si="15"/>
        <v>580786.89359851729</v>
      </c>
      <c r="AU116" s="1103">
        <f t="shared" si="16"/>
        <v>260172.56378266829</v>
      </c>
      <c r="AV116" s="1103">
        <f t="shared" si="17"/>
        <v>765200.12331820466</v>
      </c>
      <c r="AW116" s="1103">
        <f t="shared" si="18"/>
        <v>87.873782365573888</v>
      </c>
      <c r="AX116" s="1103">
        <f t="shared" si="19"/>
        <v>85</v>
      </c>
      <c r="AY116" s="1103">
        <f t="shared" ref="AY116:AY167" si="21">ABS(Z116-AL116)-M116</f>
        <v>8022.3874234732821</v>
      </c>
      <c r="AZ116" s="1105">
        <f t="shared" si="20"/>
        <v>34.5403916321049</v>
      </c>
      <c r="BA116" s="1076"/>
      <c r="BB116" s="1082">
        <f>H116*I116*J116*((Calculations!$D$29-Calculations!$D$58)/CoreData!$F$11+(Calculations!$D$31-Calculations!$D$60)/CoreData!$F$11*CoreData!$F$23)</f>
        <v>5600.7245031458087</v>
      </c>
      <c r="BC116" s="1082">
        <f>H116*I116*J116*((Calculations!$D$35-Calculations!$D$62)/CoreData!$F$11)</f>
        <v>81.668389395068488</v>
      </c>
      <c r="BD116" s="1083">
        <f>PS_Survey!$E$3</f>
        <v>0.82099999999999995</v>
      </c>
      <c r="BE116" s="1083">
        <f>PS_Survey!$E$4</f>
        <v>0.91199999999999992</v>
      </c>
      <c r="BF116" s="1084">
        <f>H116*I116*J116*CoreData!$F$7*PS_Survey!$E$5</f>
        <v>580786.89359851729</v>
      </c>
      <c r="BG116" s="1084">
        <f>H116*I116*J116*CoreData!$F$7*(1-CoreData!$F$66)*PS_Survey!$E$6*PS_Survey!$E$7</f>
        <v>260172.56378266829</v>
      </c>
      <c r="BH116" s="1082">
        <f>H116*I116*J116*CoreData!$F$7</f>
        <v>765200.12331820466</v>
      </c>
      <c r="BI116" s="1082">
        <f>BB116*CoreData!$F$99+Units_month!BC116*CoreData!$F$130</f>
        <v>87.873782365573874</v>
      </c>
      <c r="BJ116" s="1085">
        <f>PS_Survey!$E$8</f>
        <v>85</v>
      </c>
      <c r="BK116" s="1086">
        <f t="shared" si="6"/>
        <v>8022.3874234732821</v>
      </c>
      <c r="BL116" s="1082">
        <f>BB116/CoreData!$F$136</f>
        <v>34.540391632104892</v>
      </c>
      <c r="BM116" s="1087"/>
      <c r="BN116" s="1087"/>
      <c r="BO116" s="1087"/>
      <c r="BP116" s="1087"/>
      <c r="BQ116" s="1087"/>
      <c r="BR116" s="1087"/>
      <c r="BS116" s="1087"/>
      <c r="BT116" s="1087"/>
      <c r="BU116" s="1087"/>
      <c r="BV116" s="1087"/>
      <c r="BW116" s="1087"/>
      <c r="BX116" s="1087"/>
      <c r="BY116" s="1087"/>
      <c r="BZ116" s="1087"/>
      <c r="CA116" s="1087"/>
      <c r="CB116" s="1087"/>
      <c r="CC116" s="1087"/>
      <c r="CD116" s="1087"/>
      <c r="CE116" s="1087"/>
      <c r="CF116" s="1087"/>
      <c r="CG116" s="1087"/>
      <c r="CH116" s="1087"/>
      <c r="CI116" s="1087"/>
      <c r="CJ116" s="1087"/>
      <c r="CK116" s="1087"/>
      <c r="CL116" s="1087"/>
      <c r="CM116" s="1087"/>
      <c r="CN116" s="1087"/>
      <c r="CO116" s="1087"/>
      <c r="CP116" s="1087"/>
      <c r="CQ116" s="1087"/>
      <c r="CR116" s="1087"/>
      <c r="CS116" s="1087"/>
      <c r="CT116" s="1087"/>
      <c r="CU116" s="1087"/>
      <c r="CV116" s="1087"/>
      <c r="CW116" s="1087"/>
      <c r="CX116" s="1087"/>
      <c r="CY116" s="1087"/>
      <c r="CZ116" s="1087"/>
      <c r="DA116" s="1087"/>
      <c r="DB116" s="1087"/>
      <c r="DC116" s="1087"/>
      <c r="DD116" s="1087"/>
      <c r="DE116" s="1087"/>
      <c r="DF116" s="1087"/>
      <c r="DG116" s="1087"/>
      <c r="DH116" s="1087"/>
      <c r="DI116" s="1087"/>
      <c r="DJ116" s="1087"/>
      <c r="DK116" s="1087"/>
      <c r="DL116" s="1087"/>
      <c r="DM116" s="1087"/>
      <c r="DN116" s="1087"/>
      <c r="DO116" s="1087"/>
      <c r="DP116" s="1087"/>
      <c r="DQ116" s="1087"/>
      <c r="DR116" s="1087"/>
      <c r="DS116" s="1087"/>
      <c r="DT116" s="1087"/>
      <c r="DU116" s="1087"/>
      <c r="DV116" s="1087"/>
      <c r="DW116" s="1087"/>
      <c r="DX116" s="1087"/>
      <c r="DY116" s="1087"/>
      <c r="DZ116" s="1087"/>
      <c r="EA116" s="1087"/>
      <c r="EB116" s="1087"/>
      <c r="EC116" s="1087"/>
      <c r="ED116" s="1087"/>
      <c r="EE116" s="1087"/>
      <c r="EF116" s="1087"/>
      <c r="EG116" s="1087"/>
      <c r="EH116" s="1087"/>
      <c r="EI116" s="1087"/>
      <c r="EJ116" s="1087"/>
      <c r="EK116" s="1087"/>
      <c r="EL116" s="1087"/>
      <c r="EM116" s="1087"/>
      <c r="EN116" s="1087"/>
      <c r="EO116" s="1087"/>
      <c r="EP116" s="1087"/>
      <c r="EQ116" s="1087"/>
      <c r="ER116" s="1087"/>
      <c r="ES116" s="1087"/>
      <c r="ET116" s="1087"/>
      <c r="EU116" s="1087"/>
      <c r="EV116" s="1087"/>
      <c r="EW116" s="1087"/>
      <c r="EX116" s="1087"/>
      <c r="EY116" s="1087"/>
      <c r="EZ116" s="1087"/>
      <c r="FA116" s="1087"/>
      <c r="FB116" s="1087"/>
      <c r="FC116" s="1087"/>
      <c r="FD116" s="1087"/>
      <c r="FE116" s="1087"/>
      <c r="FF116" s="1087"/>
      <c r="FG116" s="1087"/>
      <c r="FH116" s="1087"/>
      <c r="FI116" s="1087"/>
      <c r="FJ116" s="1087"/>
      <c r="FK116" s="1087"/>
      <c r="FL116" s="1087"/>
      <c r="FM116" s="1087"/>
      <c r="FN116" s="1087"/>
      <c r="FO116" s="1087"/>
    </row>
    <row r="117" spans="1:171" s="1088" customFormat="1">
      <c r="A117" s="1089" t="s">
        <v>332</v>
      </c>
      <c r="B117" s="1090">
        <f t="shared" si="5"/>
        <v>112</v>
      </c>
      <c r="C117" s="1106">
        <v>43891</v>
      </c>
      <c r="D117" s="1092">
        <f t="shared" si="4"/>
        <v>43921</v>
      </c>
      <c r="E117" s="1093">
        <f>Sale_Data!D88</f>
        <v>2003</v>
      </c>
      <c r="F117" s="1094"/>
      <c r="G117" s="1095">
        <f t="shared" si="3"/>
        <v>1735</v>
      </c>
      <c r="H117" s="1096">
        <f>SUM($E$6:E116)-SUM($F$6:G116)</f>
        <v>194519</v>
      </c>
      <c r="I117" s="1097">
        <f>VLOOKUP(A117,'Usage Rate Calc'!$T$7:$U$13,2,0)</f>
        <v>0.8318481316963624</v>
      </c>
      <c r="J117" s="1098">
        <f>VLOOKUP(A117,WQ_Test!$A$3:$B$9,2,0)</f>
        <v>0.9</v>
      </c>
      <c r="K117" s="1099">
        <f>$H117*CoreData!$F$44*I117*J117</f>
        <v>11041.050394930864</v>
      </c>
      <c r="L117" s="1094">
        <f>$H117*CoreData!$F$45*I117*J117</f>
        <v>2860.2103919029028</v>
      </c>
      <c r="M117" s="1100">
        <f>$H117*CoreData!$F$46</f>
        <v>195.76734595426183</v>
      </c>
      <c r="N117" s="1101">
        <f t="shared" si="8"/>
        <v>7985.0726570736988</v>
      </c>
      <c r="O117" s="1076"/>
      <c r="P117" s="1076"/>
      <c r="Q117" s="1102">
        <f>H117*I117*J117*((Calculations!$D$29)/CoreData!$F$11+(Calculations!$D$31)/CoreData!$F$11*CoreData!$F$23)</f>
        <v>7492.466238463473</v>
      </c>
      <c r="R117" s="1103">
        <f>H117*I117*J117*((Calculations!$D$35)/CoreData!$F$11)</f>
        <v>124.61454876606093</v>
      </c>
      <c r="S117" s="1076">
        <v>0</v>
      </c>
      <c r="T117" s="1076">
        <v>0</v>
      </c>
      <c r="U117" s="1076">
        <v>0</v>
      </c>
      <c r="V117" s="1076">
        <v>0</v>
      </c>
      <c r="W117" s="1076">
        <v>0</v>
      </c>
      <c r="X117" s="1076">
        <v>0</v>
      </c>
      <c r="Y117" s="1076">
        <v>0</v>
      </c>
      <c r="Z117" s="1076">
        <f t="shared" si="9"/>
        <v>11041.050394930864</v>
      </c>
      <c r="AA117" s="1076"/>
      <c r="AB117" s="1076"/>
      <c r="AC117" s="1103">
        <f>H117*I117*J117*((Calculations!$D$58)/CoreData!$F$11+(Calculations!$D$60)/CoreData!$F$11*CoreData!$F$23)</f>
        <v>1917.7925498036091</v>
      </c>
      <c r="AD117" s="1103">
        <f>H117*I117*J117*((Calculations!$D$62)/CoreData!$F$11)</f>
        <v>43.32602595080759</v>
      </c>
      <c r="AE117" s="1104">
        <f>PS_Survey!$E$3</f>
        <v>0.82099999999999995</v>
      </c>
      <c r="AF117" s="1104">
        <f>PS_Survey!$E$4</f>
        <v>0.91199999999999992</v>
      </c>
      <c r="AG117" s="1076">
        <f>H117*I117*J117*CoreData!$F$7*PS_Survey!$E$5</f>
        <v>578085.46245108184</v>
      </c>
      <c r="AH117" s="1076">
        <f>H117*I117*J117*CoreData!$F$7*(1-CoreData!$F$66)*PS_Survey!$E$6*PS_Survey!$E$7</f>
        <v>258962.41549031288</v>
      </c>
      <c r="AI117" s="1076">
        <f>H117*I117*J117*CoreData!$F$7</f>
        <v>761640.92549549649</v>
      </c>
      <c r="AJ117" s="1103">
        <f>(Q117-AC117)*CoreData!$F$99+(R117-AD117)*CoreData!$F$130</f>
        <v>87.465052459059436</v>
      </c>
      <c r="AK117" s="1076">
        <f>PS_Survey!$E$8</f>
        <v>85</v>
      </c>
      <c r="AL117" s="1076">
        <f t="shared" si="10"/>
        <v>2860.2103919029028</v>
      </c>
      <c r="AM117" s="1103">
        <f>(Q117-AC117)/CoreData!$F$136</f>
        <v>34.379732893369493</v>
      </c>
      <c r="AN117" s="1076"/>
      <c r="AO117" s="1076"/>
      <c r="AP117" s="1103">
        <f t="shared" si="11"/>
        <v>5574.6736886598637</v>
      </c>
      <c r="AQ117" s="1103">
        <f t="shared" si="12"/>
        <v>81.288522815253344</v>
      </c>
      <c r="AR117" s="1104">
        <f t="shared" si="13"/>
        <v>0.82099999999999995</v>
      </c>
      <c r="AS117" s="1104">
        <f t="shared" si="14"/>
        <v>0.91199999999999992</v>
      </c>
      <c r="AT117" s="1103">
        <f t="shared" si="15"/>
        <v>578085.46245108184</v>
      </c>
      <c r="AU117" s="1103">
        <f t="shared" si="16"/>
        <v>258962.41549031288</v>
      </c>
      <c r="AV117" s="1103">
        <f t="shared" si="17"/>
        <v>761640.92549549649</v>
      </c>
      <c r="AW117" s="1103">
        <f t="shared" si="18"/>
        <v>87.465052459059436</v>
      </c>
      <c r="AX117" s="1103">
        <f t="shared" si="19"/>
        <v>85</v>
      </c>
      <c r="AY117" s="1103">
        <f t="shared" si="21"/>
        <v>7985.0726570736988</v>
      </c>
      <c r="AZ117" s="1105">
        <f t="shared" si="20"/>
        <v>34.379732893369493</v>
      </c>
      <c r="BA117" s="1076"/>
      <c r="BB117" s="1082">
        <f>H117*I117*J117*((Calculations!$D$29-Calculations!$D$58)/CoreData!$F$11+(Calculations!$D$31-Calculations!$D$60)/CoreData!$F$11*CoreData!$F$23)</f>
        <v>5574.6736886598637</v>
      </c>
      <c r="BC117" s="1082">
        <f>H117*I117*J117*((Calculations!$D$35-Calculations!$D$62)/CoreData!$F$11)</f>
        <v>81.288522815253344</v>
      </c>
      <c r="BD117" s="1083">
        <f>PS_Survey!$E$3</f>
        <v>0.82099999999999995</v>
      </c>
      <c r="BE117" s="1083">
        <f>PS_Survey!$E$4</f>
        <v>0.91199999999999992</v>
      </c>
      <c r="BF117" s="1084">
        <f>H117*I117*J117*CoreData!$F$7*PS_Survey!$E$5</f>
        <v>578085.46245108184</v>
      </c>
      <c r="BG117" s="1084">
        <f>H117*I117*J117*CoreData!$F$7*(1-CoreData!$F$66)*PS_Survey!$E$6*PS_Survey!$E$7</f>
        <v>258962.41549031288</v>
      </c>
      <c r="BH117" s="1082">
        <f>H117*I117*J117*CoreData!$F$7</f>
        <v>761640.92549549649</v>
      </c>
      <c r="BI117" s="1082">
        <f>BB117*CoreData!$F$99+Units_month!BC117*CoreData!$F$130</f>
        <v>87.465052459059436</v>
      </c>
      <c r="BJ117" s="1085">
        <f>PS_Survey!$E$8</f>
        <v>85</v>
      </c>
      <c r="BK117" s="1086">
        <f t="shared" si="6"/>
        <v>7985.0726570736988</v>
      </c>
      <c r="BL117" s="1082">
        <f>BB117/CoreData!$F$136</f>
        <v>34.379732893369493</v>
      </c>
      <c r="BM117" s="1087"/>
      <c r="BN117" s="1087"/>
      <c r="BO117" s="1087"/>
      <c r="BP117" s="1087"/>
      <c r="BQ117" s="1087"/>
      <c r="BR117" s="1087"/>
      <c r="BS117" s="1087"/>
      <c r="BT117" s="1087"/>
      <c r="BU117" s="1087"/>
      <c r="BV117" s="1087"/>
      <c r="BW117" s="1087"/>
      <c r="BX117" s="1087"/>
      <c r="BY117" s="1087"/>
      <c r="BZ117" s="1087"/>
      <c r="CA117" s="1087"/>
      <c r="CB117" s="1087"/>
      <c r="CC117" s="1087"/>
      <c r="CD117" s="1087"/>
      <c r="CE117" s="1087"/>
      <c r="CF117" s="1087"/>
      <c r="CG117" s="1087"/>
      <c r="CH117" s="1087"/>
      <c r="CI117" s="1087"/>
      <c r="CJ117" s="1087"/>
      <c r="CK117" s="1087"/>
      <c r="CL117" s="1087"/>
      <c r="CM117" s="1087"/>
      <c r="CN117" s="1087"/>
      <c r="CO117" s="1087"/>
      <c r="CP117" s="1087"/>
      <c r="CQ117" s="1087"/>
      <c r="CR117" s="1087"/>
      <c r="CS117" s="1087"/>
      <c r="CT117" s="1087"/>
      <c r="CU117" s="1087"/>
      <c r="CV117" s="1087"/>
      <c r="CW117" s="1087"/>
      <c r="CX117" s="1087"/>
      <c r="CY117" s="1087"/>
      <c r="CZ117" s="1087"/>
      <c r="DA117" s="1087"/>
      <c r="DB117" s="1087"/>
      <c r="DC117" s="1087"/>
      <c r="DD117" s="1087"/>
      <c r="DE117" s="1087"/>
      <c r="DF117" s="1087"/>
      <c r="DG117" s="1087"/>
      <c r="DH117" s="1087"/>
      <c r="DI117" s="1087"/>
      <c r="DJ117" s="1087"/>
      <c r="DK117" s="1087"/>
      <c r="DL117" s="1087"/>
      <c r="DM117" s="1087"/>
      <c r="DN117" s="1087"/>
      <c r="DO117" s="1087"/>
      <c r="DP117" s="1087"/>
      <c r="DQ117" s="1087"/>
      <c r="DR117" s="1087"/>
      <c r="DS117" s="1087"/>
      <c r="DT117" s="1087"/>
      <c r="DU117" s="1087"/>
      <c r="DV117" s="1087"/>
      <c r="DW117" s="1087"/>
      <c r="DX117" s="1087"/>
      <c r="DY117" s="1087"/>
      <c r="DZ117" s="1087"/>
      <c r="EA117" s="1087"/>
      <c r="EB117" s="1087"/>
      <c r="EC117" s="1087"/>
      <c r="ED117" s="1087"/>
      <c r="EE117" s="1087"/>
      <c r="EF117" s="1087"/>
      <c r="EG117" s="1087"/>
      <c r="EH117" s="1087"/>
      <c r="EI117" s="1087"/>
      <c r="EJ117" s="1087"/>
      <c r="EK117" s="1087"/>
      <c r="EL117" s="1087"/>
      <c r="EM117" s="1087"/>
      <c r="EN117" s="1087"/>
      <c r="EO117" s="1087"/>
      <c r="EP117" s="1087"/>
      <c r="EQ117" s="1087"/>
      <c r="ER117" s="1087"/>
      <c r="ES117" s="1087"/>
      <c r="ET117" s="1087"/>
      <c r="EU117" s="1087"/>
      <c r="EV117" s="1087"/>
      <c r="EW117" s="1087"/>
      <c r="EX117" s="1087"/>
      <c r="EY117" s="1087"/>
      <c r="EZ117" s="1087"/>
      <c r="FA117" s="1087"/>
      <c r="FB117" s="1087"/>
      <c r="FC117" s="1087"/>
      <c r="FD117" s="1087"/>
      <c r="FE117" s="1087"/>
      <c r="FF117" s="1087"/>
      <c r="FG117" s="1087"/>
      <c r="FH117" s="1087"/>
      <c r="FI117" s="1087"/>
      <c r="FJ117" s="1087"/>
      <c r="FK117" s="1087"/>
      <c r="FL117" s="1087"/>
      <c r="FM117" s="1087"/>
      <c r="FN117" s="1087"/>
      <c r="FO117" s="1087"/>
    </row>
    <row r="118" spans="1:171" s="1107" customFormat="1">
      <c r="A118" s="1089" t="s">
        <v>332</v>
      </c>
      <c r="B118" s="1090">
        <f t="shared" si="5"/>
        <v>113</v>
      </c>
      <c r="C118" s="1091">
        <v>43922</v>
      </c>
      <c r="D118" s="1092">
        <f t="shared" si="4"/>
        <v>43951</v>
      </c>
      <c r="E118" s="1093">
        <f>Sale_Data!D89</f>
        <v>1800</v>
      </c>
      <c r="F118" s="1094"/>
      <c r="G118" s="1095">
        <f t="shared" si="3"/>
        <v>3697</v>
      </c>
      <c r="H118" s="1096">
        <f>SUM($E$6:E117)-SUM($F$6:G117)</f>
        <v>194787</v>
      </c>
      <c r="I118" s="1097">
        <f>VLOOKUP(A118,'Usage Rate Calc'!$T$7:$U$13,2,0)</f>
        <v>0.8318481316963624</v>
      </c>
      <c r="J118" s="1098">
        <f>VLOOKUP(A118,WQ_Test!$A$3:$B$9,2,0)</f>
        <v>0.9</v>
      </c>
      <c r="K118" s="1099">
        <f>$H118*CoreData!$F$44*I118*J118</f>
        <v>11056.262284287901</v>
      </c>
      <c r="L118" s="1094">
        <f>$H118*CoreData!$F$45*I118*J118</f>
        <v>2864.151068058085</v>
      </c>
      <c r="M118" s="1100">
        <f>$H118*CoreData!$F$46</f>
        <v>196.03706587219139</v>
      </c>
      <c r="N118" s="1101">
        <f t="shared" si="8"/>
        <v>7996.0741503576246</v>
      </c>
      <c r="O118" s="1076"/>
      <c r="P118" s="1076"/>
      <c r="Q118" s="1102">
        <f>H118*I118*J118*((Calculations!$D$29)/CoreData!$F$11+(Calculations!$D$31)/CoreData!$F$11*CoreData!$F$23)</f>
        <v>7502.7890395878267</v>
      </c>
      <c r="R118" s="1103">
        <f>H118*I118*J118*((Calculations!$D$35)/CoreData!$F$11)</f>
        <v>124.78623738809426</v>
      </c>
      <c r="S118" s="1076">
        <v>0</v>
      </c>
      <c r="T118" s="1076">
        <v>0</v>
      </c>
      <c r="U118" s="1076">
        <v>0</v>
      </c>
      <c r="V118" s="1076">
        <v>0</v>
      </c>
      <c r="W118" s="1076">
        <v>0</v>
      </c>
      <c r="X118" s="1076">
        <v>0</v>
      </c>
      <c r="Y118" s="1076">
        <v>0</v>
      </c>
      <c r="Z118" s="1076">
        <f t="shared" si="9"/>
        <v>11056.262284287901</v>
      </c>
      <c r="AA118" s="1076"/>
      <c r="AB118" s="1076"/>
      <c r="AC118" s="1103">
        <f>H118*I118*J118*((Calculations!$D$58)/CoreData!$F$11+(Calculations!$D$60)/CoreData!$F$11*CoreData!$F$23)</f>
        <v>1920.4348027626893</v>
      </c>
      <c r="AD118" s="1103">
        <f>H118*I118*J118*((Calculations!$D$62)/CoreData!$F$11)</f>
        <v>43.385718705524688</v>
      </c>
      <c r="AE118" s="1104">
        <f>PS_Survey!$E$3</f>
        <v>0.82099999999999995</v>
      </c>
      <c r="AF118" s="1104">
        <f>PS_Survey!$E$4</f>
        <v>0.91199999999999992</v>
      </c>
      <c r="AG118" s="1076">
        <f>H118*I118*J118*CoreData!$F$7*PS_Survey!$E$5</f>
        <v>578881.92399950069</v>
      </c>
      <c r="AH118" s="1076">
        <f>H118*I118*J118*CoreData!$F$7*(1-CoreData!$F$66)*PS_Survey!$E$6*PS_Survey!$E$7</f>
        <v>259319.20288563881</v>
      </c>
      <c r="AI118" s="1076">
        <f>H118*I118*J118*CoreData!$F$7</f>
        <v>762690.28194927622</v>
      </c>
      <c r="AJ118" s="1103">
        <f>(Q118-AC118)*CoreData!$F$99+(R118-AD118)*CoreData!$F$130</f>
        <v>87.585558086062605</v>
      </c>
      <c r="AK118" s="1076">
        <f>PS_Survey!$E$8</f>
        <v>85</v>
      </c>
      <c r="AL118" s="1076">
        <f t="shared" si="10"/>
        <v>2864.151068058085</v>
      </c>
      <c r="AM118" s="1103">
        <f>(Q118-AC118)/CoreData!$F$136</f>
        <v>34.427099826241978</v>
      </c>
      <c r="AN118" s="1076"/>
      <c r="AO118" s="1076"/>
      <c r="AP118" s="1103">
        <f t="shared" si="11"/>
        <v>5582.3542368251374</v>
      </c>
      <c r="AQ118" s="1103">
        <f t="shared" si="12"/>
        <v>81.400518682569583</v>
      </c>
      <c r="AR118" s="1104">
        <f t="shared" si="13"/>
        <v>0.82099999999999995</v>
      </c>
      <c r="AS118" s="1104">
        <f t="shared" si="14"/>
        <v>0.91199999999999992</v>
      </c>
      <c r="AT118" s="1103">
        <f t="shared" si="15"/>
        <v>578881.92399950069</v>
      </c>
      <c r="AU118" s="1103">
        <f t="shared" si="16"/>
        <v>259319.20288563881</v>
      </c>
      <c r="AV118" s="1103">
        <f t="shared" si="17"/>
        <v>762690.28194927622</v>
      </c>
      <c r="AW118" s="1103">
        <f t="shared" si="18"/>
        <v>87.585558086062605</v>
      </c>
      <c r="AX118" s="1103">
        <f t="shared" si="19"/>
        <v>85</v>
      </c>
      <c r="AY118" s="1103">
        <f t="shared" si="21"/>
        <v>7996.0741503576246</v>
      </c>
      <c r="AZ118" s="1105">
        <f t="shared" si="20"/>
        <v>34.427099826241978</v>
      </c>
      <c r="BA118" s="1076"/>
      <c r="BB118" s="1082">
        <f>H118*I118*J118*((Calculations!$D$29-Calculations!$D$58)/CoreData!$F$11+(Calculations!$D$31-Calculations!$D$60)/CoreData!$F$11*CoreData!$F$23)</f>
        <v>5582.3542368251365</v>
      </c>
      <c r="BC118" s="1082">
        <f>H118*I118*J118*((Calculations!$D$35-Calculations!$D$62)/CoreData!$F$11)</f>
        <v>81.400518682569569</v>
      </c>
      <c r="BD118" s="1083">
        <f>PS_Survey!$E$3</f>
        <v>0.82099999999999995</v>
      </c>
      <c r="BE118" s="1083">
        <f>PS_Survey!$E$4</f>
        <v>0.91199999999999992</v>
      </c>
      <c r="BF118" s="1084">
        <f>H118*I118*J118*CoreData!$F$7*PS_Survey!$E$5</f>
        <v>578881.92399950069</v>
      </c>
      <c r="BG118" s="1084">
        <f>H118*I118*J118*CoreData!$F$7*(1-CoreData!$F$66)*PS_Survey!$E$6*PS_Survey!$E$7</f>
        <v>259319.20288563881</v>
      </c>
      <c r="BH118" s="1082">
        <f>H118*I118*J118*CoreData!$F$7</f>
        <v>762690.28194927622</v>
      </c>
      <c r="BI118" s="1082">
        <f>BB118*CoreData!$F$99+Units_month!BC118*CoreData!$F$130</f>
        <v>87.585558086062591</v>
      </c>
      <c r="BJ118" s="1085">
        <f>PS_Survey!$E$8</f>
        <v>85</v>
      </c>
      <c r="BK118" s="1086">
        <f t="shared" si="6"/>
        <v>7996.0741503576246</v>
      </c>
      <c r="BL118" s="1082">
        <f>BB118/CoreData!$F$136</f>
        <v>34.427099826241978</v>
      </c>
      <c r="BM118" s="1087"/>
      <c r="BN118" s="1087"/>
      <c r="BO118" s="1087"/>
      <c r="BP118" s="1087"/>
      <c r="BQ118" s="1087"/>
      <c r="BR118" s="1087"/>
      <c r="BS118" s="1087"/>
      <c r="BT118" s="1087"/>
      <c r="BU118" s="1087"/>
      <c r="BV118" s="1087"/>
      <c r="BW118" s="1087"/>
      <c r="BX118" s="1087"/>
      <c r="BY118" s="1087"/>
      <c r="BZ118" s="1087"/>
      <c r="CA118" s="1087"/>
      <c r="CB118" s="1087"/>
      <c r="CC118" s="1087"/>
      <c r="CD118" s="1087"/>
      <c r="CE118" s="1087"/>
      <c r="CF118" s="1087"/>
      <c r="CG118" s="1087"/>
      <c r="CH118" s="1087"/>
      <c r="CI118" s="1087"/>
      <c r="CJ118" s="1087"/>
      <c r="CK118" s="1087"/>
      <c r="CL118" s="1087"/>
      <c r="CM118" s="1087"/>
      <c r="CN118" s="1087"/>
      <c r="CO118" s="1087"/>
      <c r="CP118" s="1087"/>
      <c r="CQ118" s="1087"/>
      <c r="CR118" s="1087"/>
      <c r="CS118" s="1087"/>
      <c r="CT118" s="1087"/>
      <c r="CU118" s="1087"/>
      <c r="CV118" s="1087"/>
      <c r="CW118" s="1087"/>
      <c r="CX118" s="1087"/>
      <c r="CY118" s="1087"/>
      <c r="CZ118" s="1087"/>
      <c r="DA118" s="1087"/>
      <c r="DB118" s="1087"/>
      <c r="DC118" s="1087"/>
      <c r="DD118" s="1087"/>
      <c r="DE118" s="1087"/>
      <c r="DF118" s="1087"/>
      <c r="DG118" s="1087"/>
      <c r="DH118" s="1087"/>
      <c r="DI118" s="1087"/>
      <c r="DJ118" s="1087"/>
      <c r="DK118" s="1087"/>
      <c r="DL118" s="1087"/>
      <c r="DM118" s="1087"/>
      <c r="DN118" s="1087"/>
      <c r="DO118" s="1087"/>
      <c r="DP118" s="1087"/>
      <c r="DQ118" s="1087"/>
      <c r="DR118" s="1087"/>
      <c r="DS118" s="1087"/>
      <c r="DT118" s="1087"/>
      <c r="DU118" s="1087"/>
      <c r="DV118" s="1087"/>
      <c r="DW118" s="1087"/>
      <c r="DX118" s="1087"/>
      <c r="DY118" s="1087"/>
      <c r="DZ118" s="1087"/>
      <c r="EA118" s="1087"/>
      <c r="EB118" s="1087"/>
      <c r="EC118" s="1087"/>
      <c r="ED118" s="1087"/>
      <c r="EE118" s="1087"/>
      <c r="EF118" s="1087"/>
      <c r="EG118" s="1087"/>
      <c r="EH118" s="1087"/>
      <c r="EI118" s="1087"/>
      <c r="EJ118" s="1087"/>
      <c r="EK118" s="1087"/>
      <c r="EL118" s="1087"/>
      <c r="EM118" s="1087"/>
      <c r="EN118" s="1087"/>
      <c r="EO118" s="1087"/>
      <c r="EP118" s="1087"/>
      <c r="EQ118" s="1087"/>
      <c r="ER118" s="1087"/>
      <c r="ES118" s="1087"/>
      <c r="ET118" s="1087"/>
      <c r="EU118" s="1087"/>
      <c r="EV118" s="1087"/>
      <c r="EW118" s="1087"/>
      <c r="EX118" s="1087"/>
      <c r="EY118" s="1087"/>
      <c r="EZ118" s="1087"/>
      <c r="FA118" s="1087"/>
      <c r="FB118" s="1087"/>
      <c r="FC118" s="1087"/>
      <c r="FD118" s="1087"/>
      <c r="FE118" s="1087"/>
      <c r="FF118" s="1087"/>
      <c r="FG118" s="1087"/>
      <c r="FH118" s="1087"/>
      <c r="FI118" s="1087"/>
      <c r="FJ118" s="1087"/>
      <c r="FK118" s="1087"/>
      <c r="FL118" s="1087"/>
      <c r="FM118" s="1087"/>
      <c r="FN118" s="1087"/>
      <c r="FO118" s="1087"/>
    </row>
    <row r="119" spans="1:171" s="1088" customFormat="1">
      <c r="A119" s="1089" t="s">
        <v>332</v>
      </c>
      <c r="B119" s="1090">
        <f t="shared" si="5"/>
        <v>114</v>
      </c>
      <c r="C119" s="1091">
        <v>43952</v>
      </c>
      <c r="D119" s="1092">
        <f t="shared" si="4"/>
        <v>43982</v>
      </c>
      <c r="E119" s="1093">
        <f>Sale_Data!D90</f>
        <v>2099</v>
      </c>
      <c r="F119" s="1094"/>
      <c r="G119" s="1095">
        <f t="shared" si="3"/>
        <v>5191</v>
      </c>
      <c r="H119" s="1096">
        <f>SUM($E$6:E118)-SUM($F$6:G118)</f>
        <v>192890</v>
      </c>
      <c r="I119" s="1097">
        <f>VLOOKUP(A119,'Usage Rate Calc'!$T$7:$U$13,2,0)</f>
        <v>0.8318481316963624</v>
      </c>
      <c r="J119" s="1098">
        <f>VLOOKUP(A119,WQ_Test!$A$3:$B$9,2,0)</f>
        <v>0.9</v>
      </c>
      <c r="K119" s="1099">
        <f>$H119*CoreData!$F$44*I119*J119</f>
        <v>10948.587082383799</v>
      </c>
      <c r="L119" s="1094">
        <f>$H119*CoreData!$F$45*I119*J119</f>
        <v>2836.2575506462135</v>
      </c>
      <c r="M119" s="1100">
        <f>$H119*CoreData!$F$46</f>
        <v>194.12789167699589</v>
      </c>
      <c r="N119" s="1101">
        <f t="shared" si="8"/>
        <v>7918.2016400605899</v>
      </c>
      <c r="O119" s="1076"/>
      <c r="P119" s="1076"/>
      <c r="Q119" s="1102">
        <f>H119*I119*J119*((Calculations!$D$29)/CoreData!$F$11+(Calculations!$D$31)/CoreData!$F$11*CoreData!$F$23)</f>
        <v>7429.7205555098417</v>
      </c>
      <c r="R119" s="1103">
        <f>H119*I119*J119*((Calculations!$D$35)/CoreData!$F$11)</f>
        <v>123.57096382094031</v>
      </c>
      <c r="S119" s="1076">
        <v>0</v>
      </c>
      <c r="T119" s="1076">
        <v>0</v>
      </c>
      <c r="U119" s="1076">
        <v>0</v>
      </c>
      <c r="V119" s="1076">
        <v>0</v>
      </c>
      <c r="W119" s="1076">
        <v>0</v>
      </c>
      <c r="X119" s="1076">
        <v>0</v>
      </c>
      <c r="Y119" s="1076">
        <v>0</v>
      </c>
      <c r="Z119" s="1076">
        <f t="shared" si="9"/>
        <v>10948.587082383799</v>
      </c>
      <c r="AA119" s="1076"/>
      <c r="AB119" s="1076"/>
      <c r="AC119" s="1103">
        <f>H119*I119*J119*((Calculations!$D$58)/CoreData!$F$11+(Calculations!$D$60)/CoreData!$F$11*CoreData!$F$23)</f>
        <v>1901.7319898396458</v>
      </c>
      <c r="AD119" s="1103">
        <f>H119*I119*J119*((Calculations!$D$62)/CoreData!$F$11)</f>
        <v>42.963192005157715</v>
      </c>
      <c r="AE119" s="1104">
        <f>PS_Survey!$E$3</f>
        <v>0.82099999999999995</v>
      </c>
      <c r="AF119" s="1104">
        <f>PS_Survey!$E$4</f>
        <v>0.91199999999999992</v>
      </c>
      <c r="AG119" s="1076">
        <f>H119*I119*J119*CoreData!$F$7*PS_Survey!$E$5</f>
        <v>573244.28386013268</v>
      </c>
      <c r="AH119" s="1076">
        <f>H119*I119*J119*CoreData!$F$7*(1-CoreData!$F$66)*PS_Survey!$E$6*PS_Survey!$E$7</f>
        <v>256793.73389708175</v>
      </c>
      <c r="AI119" s="1076">
        <f>H119*I119*J119*CoreData!$F$7</f>
        <v>755262.56108054367</v>
      </c>
      <c r="AJ119" s="1103">
        <f>(Q119-AC119)*CoreData!$F$99+(R119-AD119)*CoreData!$F$130</f>
        <v>86.73257609193945</v>
      </c>
      <c r="AK119" s="1076">
        <f>PS_Survey!$E$8</f>
        <v>85</v>
      </c>
      <c r="AL119" s="1076">
        <f t="shared" si="10"/>
        <v>2836.2575506462135</v>
      </c>
      <c r="AM119" s="1103">
        <f>(Q119-AC119)/CoreData!$F$136</f>
        <v>34.091819708110975</v>
      </c>
      <c r="AN119" s="1076"/>
      <c r="AO119" s="1076"/>
      <c r="AP119" s="1103">
        <f t="shared" si="11"/>
        <v>5527.9885656701954</v>
      </c>
      <c r="AQ119" s="1103">
        <f t="shared" si="12"/>
        <v>80.607771815782598</v>
      </c>
      <c r="AR119" s="1104">
        <f t="shared" si="13"/>
        <v>0.82099999999999995</v>
      </c>
      <c r="AS119" s="1104">
        <f t="shared" si="14"/>
        <v>0.91199999999999992</v>
      </c>
      <c r="AT119" s="1103">
        <f t="shared" si="15"/>
        <v>573244.28386013268</v>
      </c>
      <c r="AU119" s="1103">
        <f t="shared" si="16"/>
        <v>256793.73389708175</v>
      </c>
      <c r="AV119" s="1103">
        <f t="shared" si="17"/>
        <v>755262.56108054367</v>
      </c>
      <c r="AW119" s="1103">
        <f t="shared" si="18"/>
        <v>86.73257609193945</v>
      </c>
      <c r="AX119" s="1103">
        <f t="shared" si="19"/>
        <v>85</v>
      </c>
      <c r="AY119" s="1103">
        <f t="shared" si="21"/>
        <v>7918.2016400605899</v>
      </c>
      <c r="AZ119" s="1105">
        <f t="shared" si="20"/>
        <v>34.091819708110975</v>
      </c>
      <c r="BA119" s="1076"/>
      <c r="BB119" s="1082">
        <f>H119*I119*J119*((Calculations!$D$29-Calculations!$D$58)/CoreData!$F$11+(Calculations!$D$31-Calculations!$D$60)/CoreData!$F$11*CoreData!$F$23)</f>
        <v>5527.9885656701954</v>
      </c>
      <c r="BC119" s="1082">
        <f>H119*I119*J119*((Calculations!$D$35-Calculations!$D$62)/CoreData!$F$11)</f>
        <v>80.607771815782584</v>
      </c>
      <c r="BD119" s="1083">
        <f>PS_Survey!$E$3</f>
        <v>0.82099999999999995</v>
      </c>
      <c r="BE119" s="1083">
        <f>PS_Survey!$E$4</f>
        <v>0.91199999999999992</v>
      </c>
      <c r="BF119" s="1084">
        <f>H119*I119*J119*CoreData!$F$7*PS_Survey!$E$5</f>
        <v>573244.28386013268</v>
      </c>
      <c r="BG119" s="1084">
        <f>H119*I119*J119*CoreData!$F$7*(1-CoreData!$F$66)*PS_Survey!$E$6*PS_Survey!$E$7</f>
        <v>256793.73389708175</v>
      </c>
      <c r="BH119" s="1082">
        <f>H119*I119*J119*CoreData!$F$7</f>
        <v>755262.56108054367</v>
      </c>
      <c r="BI119" s="1082">
        <f>BB119*CoreData!$F$99+Units_month!BC119*CoreData!$F$130</f>
        <v>86.73257609193945</v>
      </c>
      <c r="BJ119" s="1085">
        <f>PS_Survey!$E$8</f>
        <v>85</v>
      </c>
      <c r="BK119" s="1086">
        <f t="shared" si="6"/>
        <v>7918.2016400605899</v>
      </c>
      <c r="BL119" s="1082">
        <f>BB119/CoreData!$F$136</f>
        <v>34.091819708110975</v>
      </c>
      <c r="BM119" s="1087"/>
      <c r="BN119" s="1087"/>
      <c r="BO119" s="1087"/>
      <c r="BP119" s="1087"/>
      <c r="BQ119" s="1087"/>
      <c r="BR119" s="1087"/>
      <c r="BS119" s="1087"/>
      <c r="BT119" s="1087"/>
      <c r="BU119" s="1087"/>
      <c r="BV119" s="1087"/>
      <c r="BW119" s="1087"/>
      <c r="BX119" s="1087"/>
      <c r="BY119" s="1087"/>
      <c r="BZ119" s="1087"/>
      <c r="CA119" s="1087"/>
      <c r="CB119" s="1087"/>
      <c r="CC119" s="1087"/>
      <c r="CD119" s="1087"/>
      <c r="CE119" s="1087"/>
      <c r="CF119" s="1087"/>
      <c r="CG119" s="1087"/>
      <c r="CH119" s="1087"/>
      <c r="CI119" s="1087"/>
      <c r="CJ119" s="1087"/>
      <c r="CK119" s="1087"/>
      <c r="CL119" s="1087"/>
      <c r="CM119" s="1087"/>
      <c r="CN119" s="1087"/>
      <c r="CO119" s="1087"/>
      <c r="CP119" s="1087"/>
      <c r="CQ119" s="1087"/>
      <c r="CR119" s="1087"/>
      <c r="CS119" s="1087"/>
      <c r="CT119" s="1087"/>
      <c r="CU119" s="1087"/>
      <c r="CV119" s="1087"/>
      <c r="CW119" s="1087"/>
      <c r="CX119" s="1087"/>
      <c r="CY119" s="1087"/>
      <c r="CZ119" s="1087"/>
      <c r="DA119" s="1087"/>
      <c r="DB119" s="1087"/>
      <c r="DC119" s="1087"/>
      <c r="DD119" s="1087"/>
      <c r="DE119" s="1087"/>
      <c r="DF119" s="1087"/>
      <c r="DG119" s="1087"/>
      <c r="DH119" s="1087"/>
      <c r="DI119" s="1087"/>
      <c r="DJ119" s="1087"/>
      <c r="DK119" s="1087"/>
      <c r="DL119" s="1087"/>
      <c r="DM119" s="1087"/>
      <c r="DN119" s="1087"/>
      <c r="DO119" s="1087"/>
      <c r="DP119" s="1087"/>
      <c r="DQ119" s="1087"/>
      <c r="DR119" s="1087"/>
      <c r="DS119" s="1087"/>
      <c r="DT119" s="1087"/>
      <c r="DU119" s="1087"/>
      <c r="DV119" s="1087"/>
      <c r="DW119" s="1087"/>
      <c r="DX119" s="1087"/>
      <c r="DY119" s="1087"/>
      <c r="DZ119" s="1087"/>
      <c r="EA119" s="1087"/>
      <c r="EB119" s="1087"/>
      <c r="EC119" s="1087"/>
      <c r="ED119" s="1087"/>
      <c r="EE119" s="1087"/>
      <c r="EF119" s="1087"/>
      <c r="EG119" s="1087"/>
      <c r="EH119" s="1087"/>
      <c r="EI119" s="1087"/>
      <c r="EJ119" s="1087"/>
      <c r="EK119" s="1087"/>
      <c r="EL119" s="1087"/>
      <c r="EM119" s="1087"/>
      <c r="EN119" s="1087"/>
      <c r="EO119" s="1087"/>
      <c r="EP119" s="1087"/>
      <c r="EQ119" s="1087"/>
      <c r="ER119" s="1087"/>
      <c r="ES119" s="1087"/>
      <c r="ET119" s="1087"/>
      <c r="EU119" s="1087"/>
      <c r="EV119" s="1087"/>
      <c r="EW119" s="1087"/>
      <c r="EX119" s="1087"/>
      <c r="EY119" s="1087"/>
      <c r="EZ119" s="1087"/>
      <c r="FA119" s="1087"/>
      <c r="FB119" s="1087"/>
      <c r="FC119" s="1087"/>
      <c r="FD119" s="1087"/>
      <c r="FE119" s="1087"/>
      <c r="FF119" s="1087"/>
      <c r="FG119" s="1087"/>
      <c r="FH119" s="1087"/>
      <c r="FI119" s="1087"/>
      <c r="FJ119" s="1087"/>
      <c r="FK119" s="1087"/>
      <c r="FL119" s="1087"/>
      <c r="FM119" s="1087"/>
      <c r="FN119" s="1087"/>
      <c r="FO119" s="1087"/>
    </row>
    <row r="120" spans="1:171" s="1088" customFormat="1">
      <c r="A120" s="1089" t="s">
        <v>332</v>
      </c>
      <c r="B120" s="1090">
        <f t="shared" si="5"/>
        <v>115</v>
      </c>
      <c r="C120" s="1106">
        <v>43983</v>
      </c>
      <c r="D120" s="1092">
        <f t="shared" si="4"/>
        <v>44012</v>
      </c>
      <c r="E120" s="1093">
        <f>Sale_Data!D91</f>
        <v>2111</v>
      </c>
      <c r="F120" s="1094"/>
      <c r="G120" s="1095">
        <f t="shared" si="3"/>
        <v>3398</v>
      </c>
      <c r="H120" s="1096">
        <f>SUM($E$6:E119)-SUM($F$6:G119)</f>
        <v>189798</v>
      </c>
      <c r="I120" s="1097">
        <f>VLOOKUP(A120,'Usage Rate Calc'!$T$7:$U$13,2,0)</f>
        <v>0.8318481316963624</v>
      </c>
      <c r="J120" s="1098">
        <f>VLOOKUP(A120,WQ_Test!$A$3:$B$9,2,0)</f>
        <v>0.9</v>
      </c>
      <c r="K120" s="1099">
        <f>$H120*CoreData!$F$44*I120*J120</f>
        <v>10773.082746966043</v>
      </c>
      <c r="L120" s="1094">
        <f>$H120*CoreData!$F$45*I120*J120</f>
        <v>2790.7927347065688</v>
      </c>
      <c r="M120" s="1100">
        <f>$H120*CoreData!$F$46</f>
        <v>191.01604844476367</v>
      </c>
      <c r="N120" s="1101">
        <f t="shared" si="8"/>
        <v>7791.2739638147114</v>
      </c>
      <c r="O120" s="1076"/>
      <c r="P120" s="1076"/>
      <c r="Q120" s="1102">
        <f>H120*I120*J120*((Calculations!$D$29)/CoreData!$F$11+(Calculations!$D$31)/CoreData!$F$11*CoreData!$F$23)</f>
        <v>7310.6231634333417</v>
      </c>
      <c r="R120" s="1103">
        <f>H120*I120*J120*((Calculations!$D$35)/CoreData!$F$11)</f>
        <v>121.59013837568995</v>
      </c>
      <c r="S120" s="1076">
        <v>0</v>
      </c>
      <c r="T120" s="1076">
        <v>0</v>
      </c>
      <c r="U120" s="1076">
        <v>0</v>
      </c>
      <c r="V120" s="1076">
        <v>0</v>
      </c>
      <c r="W120" s="1076">
        <v>0</v>
      </c>
      <c r="X120" s="1076">
        <v>0</v>
      </c>
      <c r="Y120" s="1076">
        <v>0</v>
      </c>
      <c r="Z120" s="1076">
        <f t="shared" si="9"/>
        <v>10773.082746966043</v>
      </c>
      <c r="AA120" s="1076"/>
      <c r="AB120" s="1076"/>
      <c r="AC120" s="1103">
        <f>H120*I120*J120*((Calculations!$D$58)/CoreData!$F$11+(Calculations!$D$60)/CoreData!$F$11*CoreData!$F$23)</f>
        <v>1871.2474892818975</v>
      </c>
      <c r="AD120" s="1103">
        <f>H120*I120*J120*((Calculations!$D$62)/CoreData!$F$11)</f>
        <v>42.274497984317101</v>
      </c>
      <c r="AE120" s="1104">
        <f>PS_Survey!$E$3</f>
        <v>0.82099999999999995</v>
      </c>
      <c r="AF120" s="1104">
        <f>PS_Survey!$E$4</f>
        <v>0.91199999999999992</v>
      </c>
      <c r="AG120" s="1076">
        <f>H120*I120*J120*CoreData!$F$7*PS_Survey!$E$5</f>
        <v>564055.25733882259</v>
      </c>
      <c r="AH120" s="1076">
        <f>H120*I120*J120*CoreData!$F$7*(1-CoreData!$F$66)*PS_Survey!$E$6*PS_Survey!$E$7</f>
        <v>252677.36588832151</v>
      </c>
      <c r="AI120" s="1076">
        <f>H120*I120*J120*CoreData!$F$7</f>
        <v>743155.80677051726</v>
      </c>
      <c r="AJ120" s="1103">
        <f>(Q120-AC120)*CoreData!$F$99+(R120-AD120)*CoreData!$F$130</f>
        <v>85.342264902783612</v>
      </c>
      <c r="AK120" s="1076">
        <f>PS_Survey!$E$8</f>
        <v>85</v>
      </c>
      <c r="AL120" s="1076">
        <f t="shared" si="10"/>
        <v>2790.7927347065688</v>
      </c>
      <c r="AM120" s="1103">
        <f>(Q120-AC120)/CoreData!$F$136</f>
        <v>33.545332557209029</v>
      </c>
      <c r="AN120" s="1076"/>
      <c r="AO120" s="1076"/>
      <c r="AP120" s="1103">
        <f t="shared" si="11"/>
        <v>5439.3756741514444</v>
      </c>
      <c r="AQ120" s="1103">
        <f t="shared" si="12"/>
        <v>79.315640391372852</v>
      </c>
      <c r="AR120" s="1104">
        <f t="shared" si="13"/>
        <v>0.82099999999999995</v>
      </c>
      <c r="AS120" s="1104">
        <f t="shared" si="14"/>
        <v>0.91199999999999992</v>
      </c>
      <c r="AT120" s="1103">
        <f t="shared" si="15"/>
        <v>564055.25733882259</v>
      </c>
      <c r="AU120" s="1103">
        <f t="shared" si="16"/>
        <v>252677.36588832151</v>
      </c>
      <c r="AV120" s="1103">
        <f t="shared" si="17"/>
        <v>743155.80677051726</v>
      </c>
      <c r="AW120" s="1103">
        <f t="shared" si="18"/>
        <v>85.342264902783612</v>
      </c>
      <c r="AX120" s="1103">
        <f t="shared" si="19"/>
        <v>85</v>
      </c>
      <c r="AY120" s="1103">
        <f t="shared" si="21"/>
        <v>7791.2739638147114</v>
      </c>
      <c r="AZ120" s="1105">
        <f t="shared" si="20"/>
        <v>33.545332557209029</v>
      </c>
      <c r="BA120" s="1076"/>
      <c r="BB120" s="1082">
        <f>H120*I120*J120*((Calculations!$D$29-Calculations!$D$58)/CoreData!$F$11+(Calculations!$D$31-Calculations!$D$60)/CoreData!$F$11*CoreData!$F$23)</f>
        <v>5439.3756741514444</v>
      </c>
      <c r="BC120" s="1082">
        <f>H120*I120*J120*((Calculations!$D$35-Calculations!$D$62)/CoreData!$F$11)</f>
        <v>79.315640391372838</v>
      </c>
      <c r="BD120" s="1083">
        <f>PS_Survey!$E$3</f>
        <v>0.82099999999999995</v>
      </c>
      <c r="BE120" s="1083">
        <f>PS_Survey!$E$4</f>
        <v>0.91199999999999992</v>
      </c>
      <c r="BF120" s="1084">
        <f>H120*I120*J120*CoreData!$F$7*PS_Survey!$E$5</f>
        <v>564055.25733882259</v>
      </c>
      <c r="BG120" s="1084">
        <f>H120*I120*J120*CoreData!$F$7*(1-CoreData!$F$66)*PS_Survey!$E$6*PS_Survey!$E$7</f>
        <v>252677.36588832151</v>
      </c>
      <c r="BH120" s="1082">
        <f>H120*I120*J120*CoreData!$F$7</f>
        <v>743155.80677051726</v>
      </c>
      <c r="BI120" s="1082">
        <f>BB120*CoreData!$F$99+Units_month!BC120*CoreData!$F$130</f>
        <v>85.342264902783612</v>
      </c>
      <c r="BJ120" s="1085">
        <f>PS_Survey!$E$8</f>
        <v>85</v>
      </c>
      <c r="BK120" s="1086">
        <f t="shared" si="6"/>
        <v>7791.2739638147114</v>
      </c>
      <c r="BL120" s="1082">
        <f>BB120/CoreData!$F$136</f>
        <v>33.545332557209029</v>
      </c>
      <c r="BM120" s="1087"/>
      <c r="BN120" s="1087"/>
      <c r="BO120" s="1087"/>
      <c r="BP120" s="1087"/>
      <c r="BQ120" s="1087"/>
      <c r="BR120" s="1087"/>
      <c r="BS120" s="1087"/>
      <c r="BT120" s="1087"/>
      <c r="BU120" s="1087"/>
      <c r="BV120" s="1087"/>
      <c r="BW120" s="1087"/>
      <c r="BX120" s="1087"/>
      <c r="BY120" s="1087"/>
      <c r="BZ120" s="1087"/>
      <c r="CA120" s="1087"/>
      <c r="CB120" s="1087"/>
      <c r="CC120" s="1087"/>
      <c r="CD120" s="1087"/>
      <c r="CE120" s="1087"/>
      <c r="CF120" s="1087"/>
      <c r="CG120" s="1087"/>
      <c r="CH120" s="1087"/>
      <c r="CI120" s="1087"/>
      <c r="CJ120" s="1087"/>
      <c r="CK120" s="1087"/>
      <c r="CL120" s="1087"/>
      <c r="CM120" s="1087"/>
      <c r="CN120" s="1087"/>
      <c r="CO120" s="1087"/>
      <c r="CP120" s="1087"/>
      <c r="CQ120" s="1087"/>
      <c r="CR120" s="1087"/>
      <c r="CS120" s="1087"/>
      <c r="CT120" s="1087"/>
      <c r="CU120" s="1087"/>
      <c r="CV120" s="1087"/>
      <c r="CW120" s="1087"/>
      <c r="CX120" s="1087"/>
      <c r="CY120" s="1087"/>
      <c r="CZ120" s="1087"/>
      <c r="DA120" s="1087"/>
      <c r="DB120" s="1087"/>
      <c r="DC120" s="1087"/>
      <c r="DD120" s="1087"/>
      <c r="DE120" s="1087"/>
      <c r="DF120" s="1087"/>
      <c r="DG120" s="1087"/>
      <c r="DH120" s="1087"/>
      <c r="DI120" s="1087"/>
      <c r="DJ120" s="1087"/>
      <c r="DK120" s="1087"/>
      <c r="DL120" s="1087"/>
      <c r="DM120" s="1087"/>
      <c r="DN120" s="1087"/>
      <c r="DO120" s="1087"/>
      <c r="DP120" s="1087"/>
      <c r="DQ120" s="1087"/>
      <c r="DR120" s="1087"/>
      <c r="DS120" s="1087"/>
      <c r="DT120" s="1087"/>
      <c r="DU120" s="1087"/>
      <c r="DV120" s="1087"/>
      <c r="DW120" s="1087"/>
      <c r="DX120" s="1087"/>
      <c r="DY120" s="1087"/>
      <c r="DZ120" s="1087"/>
      <c r="EA120" s="1087"/>
      <c r="EB120" s="1087"/>
      <c r="EC120" s="1087"/>
      <c r="ED120" s="1087"/>
      <c r="EE120" s="1087"/>
      <c r="EF120" s="1087"/>
      <c r="EG120" s="1087"/>
      <c r="EH120" s="1087"/>
      <c r="EI120" s="1087"/>
      <c r="EJ120" s="1087"/>
      <c r="EK120" s="1087"/>
      <c r="EL120" s="1087"/>
      <c r="EM120" s="1087"/>
      <c r="EN120" s="1087"/>
      <c r="EO120" s="1087"/>
      <c r="EP120" s="1087"/>
      <c r="EQ120" s="1087"/>
      <c r="ER120" s="1087"/>
      <c r="ES120" s="1087"/>
      <c r="ET120" s="1087"/>
      <c r="EU120" s="1087"/>
      <c r="EV120" s="1087"/>
      <c r="EW120" s="1087"/>
      <c r="EX120" s="1087"/>
      <c r="EY120" s="1087"/>
      <c r="EZ120" s="1087"/>
      <c r="FA120" s="1087"/>
      <c r="FB120" s="1087"/>
      <c r="FC120" s="1087"/>
      <c r="FD120" s="1087"/>
      <c r="FE120" s="1087"/>
      <c r="FF120" s="1087"/>
      <c r="FG120" s="1087"/>
      <c r="FH120" s="1087"/>
      <c r="FI120" s="1087"/>
      <c r="FJ120" s="1087"/>
      <c r="FK120" s="1087"/>
      <c r="FL120" s="1087"/>
      <c r="FM120" s="1087"/>
      <c r="FN120" s="1087"/>
      <c r="FO120" s="1087"/>
    </row>
    <row r="121" spans="1:171" s="1088" customFormat="1">
      <c r="A121" s="1089" t="s">
        <v>332</v>
      </c>
      <c r="B121" s="1090">
        <f t="shared" si="5"/>
        <v>116</v>
      </c>
      <c r="C121" s="1091">
        <v>44013</v>
      </c>
      <c r="D121" s="1092">
        <f t="shared" si="4"/>
        <v>44043</v>
      </c>
      <c r="E121" s="1093">
        <f>Sale_Data!D92</f>
        <v>2234</v>
      </c>
      <c r="F121" s="1094"/>
      <c r="G121" s="1095">
        <f t="shared" si="3"/>
        <v>2951</v>
      </c>
      <c r="H121" s="1096">
        <f>SUM($E$6:E120)-SUM($F$6:G120)</f>
        <v>188511</v>
      </c>
      <c r="I121" s="1097">
        <f>VLOOKUP(A121,'Usage Rate Calc'!$T$7:$U$13,2,0)</f>
        <v>0.8318481316963624</v>
      </c>
      <c r="J121" s="1098">
        <f>VLOOKUP(A121,WQ_Test!$A$3:$B$9,2,0)</f>
        <v>0.9</v>
      </c>
      <c r="K121" s="1099">
        <f>$H121*CoreData!$F$44*I121*J121</f>
        <v>10700.031621583557</v>
      </c>
      <c r="L121" s="1094">
        <f>$H121*CoreData!$F$45*I121*J121</f>
        <v>2771.8686667523893</v>
      </c>
      <c r="M121" s="1100">
        <f>$H121*CoreData!$F$46</f>
        <v>189.72078898813919</v>
      </c>
      <c r="N121" s="1101">
        <f t="shared" si="8"/>
        <v>7738.4421658430292</v>
      </c>
      <c r="O121" s="1076"/>
      <c r="P121" s="1076"/>
      <c r="Q121" s="1102">
        <f>H121*I121*J121*((Calculations!$D$29)/CoreData!$F$11+(Calculations!$D$31)/CoreData!$F$11*CoreData!$F$23)</f>
        <v>7261.050607287656</v>
      </c>
      <c r="R121" s="1103">
        <f>H121*I121*J121*((Calculations!$D$35)/CoreData!$F$11)</f>
        <v>120.76564861241785</v>
      </c>
      <c r="S121" s="1076">
        <v>0</v>
      </c>
      <c r="T121" s="1076">
        <v>0</v>
      </c>
      <c r="U121" s="1076">
        <v>0</v>
      </c>
      <c r="V121" s="1076">
        <v>0</v>
      </c>
      <c r="W121" s="1076">
        <v>0</v>
      </c>
      <c r="X121" s="1076">
        <v>0</v>
      </c>
      <c r="Y121" s="1076">
        <v>0</v>
      </c>
      <c r="Z121" s="1076">
        <f t="shared" si="9"/>
        <v>10700.031621583557</v>
      </c>
      <c r="AA121" s="1076"/>
      <c r="AB121" s="1076"/>
      <c r="AC121" s="1103">
        <f>H121*I121*J121*((Calculations!$D$58)/CoreData!$F$11+(Calculations!$D$60)/CoreData!$F$11*CoreData!$F$23)</f>
        <v>1858.5587595866116</v>
      </c>
      <c r="AD121" s="1103">
        <f>H121*I121*J121*((Calculations!$D$62)/CoreData!$F$11)</f>
        <v>41.987839121179363</v>
      </c>
      <c r="AE121" s="1104">
        <f>PS_Survey!$E$3</f>
        <v>0.82099999999999995</v>
      </c>
      <c r="AF121" s="1104">
        <f>PS_Survey!$E$4</f>
        <v>0.91199999999999992</v>
      </c>
      <c r="AG121" s="1076">
        <f>H121*I121*J121*CoreData!$F$7*PS_Survey!$E$5</f>
        <v>560230.45878354227</v>
      </c>
      <c r="AH121" s="1076">
        <f>H121*I121*J121*CoreData!$F$7*(1-CoreData!$F$66)*PS_Survey!$E$6*PS_Survey!$E$7</f>
        <v>250963.98761300626</v>
      </c>
      <c r="AI121" s="1076">
        <f>H121*I121*J121*CoreData!$F$7</f>
        <v>738116.54648688051</v>
      </c>
      <c r="AJ121" s="1103">
        <f>(Q121-AC121)*CoreData!$F$99+(R121-AD121)*CoreData!$F$130</f>
        <v>84.763568104451238</v>
      </c>
      <c r="AK121" s="1076">
        <f>PS_Survey!$E$8</f>
        <v>85</v>
      </c>
      <c r="AL121" s="1076">
        <f t="shared" si="10"/>
        <v>2771.8686667523893</v>
      </c>
      <c r="AM121" s="1103">
        <f>(Q121-AC121)/CoreData!$F$136</f>
        <v>33.317865234048995</v>
      </c>
      <c r="AN121" s="1076"/>
      <c r="AO121" s="1076"/>
      <c r="AP121" s="1103">
        <f t="shared" si="11"/>
        <v>5402.4918477010442</v>
      </c>
      <c r="AQ121" s="1103">
        <f t="shared" si="12"/>
        <v>78.777809491238486</v>
      </c>
      <c r="AR121" s="1104">
        <f t="shared" si="13"/>
        <v>0.82099999999999995</v>
      </c>
      <c r="AS121" s="1104">
        <f t="shared" si="14"/>
        <v>0.91199999999999992</v>
      </c>
      <c r="AT121" s="1103">
        <f t="shared" si="15"/>
        <v>560230.45878354227</v>
      </c>
      <c r="AU121" s="1103">
        <f t="shared" si="16"/>
        <v>250963.98761300626</v>
      </c>
      <c r="AV121" s="1103">
        <f t="shared" si="17"/>
        <v>738116.54648688051</v>
      </c>
      <c r="AW121" s="1103">
        <f t="shared" si="18"/>
        <v>84.763568104451238</v>
      </c>
      <c r="AX121" s="1103">
        <f t="shared" si="19"/>
        <v>85</v>
      </c>
      <c r="AY121" s="1103">
        <f t="shared" si="21"/>
        <v>7738.4421658430292</v>
      </c>
      <c r="AZ121" s="1105">
        <f t="shared" si="20"/>
        <v>33.317865234048995</v>
      </c>
      <c r="BA121" s="1076"/>
      <c r="BB121" s="1082">
        <f>H121*I121*J121*((Calculations!$D$29-Calculations!$D$58)/CoreData!$F$11+(Calculations!$D$31-Calculations!$D$60)/CoreData!$F$11*CoreData!$F$23)</f>
        <v>5402.4918477010442</v>
      </c>
      <c r="BC121" s="1082">
        <f>H121*I121*J121*((Calculations!$D$35-Calculations!$D$62)/CoreData!$F$11)</f>
        <v>78.777809491238486</v>
      </c>
      <c r="BD121" s="1083">
        <f>PS_Survey!$E$3</f>
        <v>0.82099999999999995</v>
      </c>
      <c r="BE121" s="1083">
        <f>PS_Survey!$E$4</f>
        <v>0.91199999999999992</v>
      </c>
      <c r="BF121" s="1084">
        <f>H121*I121*J121*CoreData!$F$7*PS_Survey!$E$5</f>
        <v>560230.45878354227</v>
      </c>
      <c r="BG121" s="1084">
        <f>H121*I121*J121*CoreData!$F$7*(1-CoreData!$F$66)*PS_Survey!$E$6*PS_Survey!$E$7</f>
        <v>250963.98761300626</v>
      </c>
      <c r="BH121" s="1082">
        <f>H121*I121*J121*CoreData!$F$7</f>
        <v>738116.54648688051</v>
      </c>
      <c r="BI121" s="1082">
        <f>BB121*CoreData!$F$99+Units_month!BC121*CoreData!$F$130</f>
        <v>84.763568104451238</v>
      </c>
      <c r="BJ121" s="1085">
        <f>PS_Survey!$E$8</f>
        <v>85</v>
      </c>
      <c r="BK121" s="1086">
        <f t="shared" si="6"/>
        <v>7738.4421658430292</v>
      </c>
      <c r="BL121" s="1082">
        <f>BB121/CoreData!$F$136</f>
        <v>33.317865234048995</v>
      </c>
      <c r="BM121" s="1087"/>
      <c r="BN121" s="1087"/>
      <c r="BO121" s="1087"/>
      <c r="BP121" s="1087"/>
      <c r="BQ121" s="1087"/>
      <c r="BR121" s="1087"/>
      <c r="BS121" s="1087"/>
      <c r="BT121" s="1087"/>
      <c r="BU121" s="1087"/>
      <c r="BV121" s="1087"/>
      <c r="BW121" s="1087"/>
      <c r="BX121" s="1087"/>
      <c r="BY121" s="1087"/>
      <c r="BZ121" s="1087"/>
      <c r="CA121" s="1087"/>
      <c r="CB121" s="1087"/>
      <c r="CC121" s="1087"/>
      <c r="CD121" s="1087"/>
      <c r="CE121" s="1087"/>
      <c r="CF121" s="1087"/>
      <c r="CG121" s="1087"/>
      <c r="CH121" s="1087"/>
      <c r="CI121" s="1087"/>
      <c r="CJ121" s="1087"/>
      <c r="CK121" s="1087"/>
      <c r="CL121" s="1087"/>
      <c r="CM121" s="1087"/>
      <c r="CN121" s="1087"/>
      <c r="CO121" s="1087"/>
      <c r="CP121" s="1087"/>
      <c r="CQ121" s="1087"/>
      <c r="CR121" s="1087"/>
      <c r="CS121" s="1087"/>
      <c r="CT121" s="1087"/>
      <c r="CU121" s="1087"/>
      <c r="CV121" s="1087"/>
      <c r="CW121" s="1087"/>
      <c r="CX121" s="1087"/>
      <c r="CY121" s="1087"/>
      <c r="CZ121" s="1087"/>
      <c r="DA121" s="1087"/>
      <c r="DB121" s="1087"/>
      <c r="DC121" s="1087"/>
      <c r="DD121" s="1087"/>
      <c r="DE121" s="1087"/>
      <c r="DF121" s="1087"/>
      <c r="DG121" s="1087"/>
      <c r="DH121" s="1087"/>
      <c r="DI121" s="1087"/>
      <c r="DJ121" s="1087"/>
      <c r="DK121" s="1087"/>
      <c r="DL121" s="1087"/>
      <c r="DM121" s="1087"/>
      <c r="DN121" s="1087"/>
      <c r="DO121" s="1087"/>
      <c r="DP121" s="1087"/>
      <c r="DQ121" s="1087"/>
      <c r="DR121" s="1087"/>
      <c r="DS121" s="1087"/>
      <c r="DT121" s="1087"/>
      <c r="DU121" s="1087"/>
      <c r="DV121" s="1087"/>
      <c r="DW121" s="1087"/>
      <c r="DX121" s="1087"/>
      <c r="DY121" s="1087"/>
      <c r="DZ121" s="1087"/>
      <c r="EA121" s="1087"/>
      <c r="EB121" s="1087"/>
      <c r="EC121" s="1087"/>
      <c r="ED121" s="1087"/>
      <c r="EE121" s="1087"/>
      <c r="EF121" s="1087"/>
      <c r="EG121" s="1087"/>
      <c r="EH121" s="1087"/>
      <c r="EI121" s="1087"/>
      <c r="EJ121" s="1087"/>
      <c r="EK121" s="1087"/>
      <c r="EL121" s="1087"/>
      <c r="EM121" s="1087"/>
      <c r="EN121" s="1087"/>
      <c r="EO121" s="1087"/>
      <c r="EP121" s="1087"/>
      <c r="EQ121" s="1087"/>
      <c r="ER121" s="1087"/>
      <c r="ES121" s="1087"/>
      <c r="ET121" s="1087"/>
      <c r="EU121" s="1087"/>
      <c r="EV121" s="1087"/>
      <c r="EW121" s="1087"/>
      <c r="EX121" s="1087"/>
      <c r="EY121" s="1087"/>
      <c r="EZ121" s="1087"/>
      <c r="FA121" s="1087"/>
      <c r="FB121" s="1087"/>
      <c r="FC121" s="1087"/>
      <c r="FD121" s="1087"/>
      <c r="FE121" s="1087"/>
      <c r="FF121" s="1087"/>
      <c r="FG121" s="1087"/>
      <c r="FH121" s="1087"/>
      <c r="FI121" s="1087"/>
      <c r="FJ121" s="1087"/>
      <c r="FK121" s="1087"/>
      <c r="FL121" s="1087"/>
      <c r="FM121" s="1087"/>
      <c r="FN121" s="1087"/>
      <c r="FO121" s="1087"/>
    </row>
    <row r="122" spans="1:171" s="1088" customFormat="1">
      <c r="A122" s="1089" t="s">
        <v>332</v>
      </c>
      <c r="B122" s="1090">
        <f t="shared" si="5"/>
        <v>117</v>
      </c>
      <c r="C122" s="1091">
        <v>44044</v>
      </c>
      <c r="D122" s="1092">
        <f t="shared" si="4"/>
        <v>44074</v>
      </c>
      <c r="E122" s="1093">
        <f>Sale_Data!D93</f>
        <v>2245</v>
      </c>
      <c r="F122" s="1094"/>
      <c r="G122" s="1095">
        <f t="shared" si="3"/>
        <v>3906</v>
      </c>
      <c r="H122" s="1096">
        <f>SUM($E$6:E121)-SUM($F$6:G121)</f>
        <v>187794</v>
      </c>
      <c r="I122" s="1097">
        <f>VLOOKUP(A122,'Usage Rate Calc'!$T$7:$U$13,2,0)</f>
        <v>0.8318481316963624</v>
      </c>
      <c r="J122" s="1098">
        <f>VLOOKUP(A122,WQ_Test!$A$3:$B$9,2,0)</f>
        <v>0.9</v>
      </c>
      <c r="K122" s="1099">
        <f>$H122*CoreData!$F$44*I122*J122</f>
        <v>10659.334141475365</v>
      </c>
      <c r="L122" s="1094">
        <f>$H122*CoreData!$F$45*I122*J122</f>
        <v>2761.3258876357254</v>
      </c>
      <c r="M122" s="1100">
        <f>$H122*CoreData!$F$46</f>
        <v>188.99918756591717</v>
      </c>
      <c r="N122" s="1101">
        <f t="shared" ref="N122:N153" si="22">(K122-L122)-M122</f>
        <v>7709.009066273723</v>
      </c>
      <c r="O122" s="1076"/>
      <c r="P122" s="1076"/>
      <c r="Q122" s="1102">
        <f>H122*I122*J122*((Calculations!$D$29)/CoreData!$F$11+(Calculations!$D$31)/CoreData!$F$11*CoreData!$F$23)</f>
        <v>7233.4332624885446</v>
      </c>
      <c r="R122" s="1103">
        <f>H122*I122*J122*((Calculations!$D$35)/CoreData!$F$11)</f>
        <v>120.30631748555999</v>
      </c>
      <c r="S122" s="1076">
        <v>0</v>
      </c>
      <c r="T122" s="1076">
        <v>0</v>
      </c>
      <c r="U122" s="1076">
        <v>0</v>
      </c>
      <c r="V122" s="1076">
        <v>0</v>
      </c>
      <c r="W122" s="1076">
        <v>0</v>
      </c>
      <c r="X122" s="1076">
        <v>0</v>
      </c>
      <c r="Y122" s="1076">
        <v>0</v>
      </c>
      <c r="Z122" s="1076">
        <f t="shared" si="9"/>
        <v>10659.334141475365</v>
      </c>
      <c r="AA122" s="1076"/>
      <c r="AB122" s="1076"/>
      <c r="AC122" s="1103">
        <f>H122*I122*J122*((Calculations!$D$58)/CoreData!$F$11+(Calculations!$D$60)/CoreData!$F$11*CoreData!$F$23)</f>
        <v>1851.4897470057881</v>
      </c>
      <c r="AD122" s="1103">
        <f>H122*I122*J122*((Calculations!$D$62)/CoreData!$F$11)</f>
        <v>41.828138728895169</v>
      </c>
      <c r="AE122" s="1104">
        <f>PS_Survey!$E$3</f>
        <v>0.82099999999999995</v>
      </c>
      <c r="AF122" s="1104">
        <f>PS_Survey!$E$4</f>
        <v>0.91199999999999992</v>
      </c>
      <c r="AG122" s="1076">
        <f>H122*I122*J122*CoreData!$F$7*PS_Survey!$E$5</f>
        <v>558099.62695437693</v>
      </c>
      <c r="AH122" s="1076">
        <f>H122*I122*J122*CoreData!$F$7*(1-CoreData!$F$66)*PS_Survey!$E$6*PS_Survey!$E$7</f>
        <v>250009.44820088428</v>
      </c>
      <c r="AI122" s="1076">
        <f>H122*I122*J122*CoreData!$F$7</f>
        <v>735309.12642210396</v>
      </c>
      <c r="AJ122" s="1103">
        <f>(Q122-AC122)*CoreData!$F$99+(R122-AD122)*CoreData!$F$130</f>
        <v>84.441170587431586</v>
      </c>
      <c r="AK122" s="1076">
        <f>PS_Survey!$E$8</f>
        <v>85</v>
      </c>
      <c r="AL122" s="1076">
        <f t="shared" si="10"/>
        <v>2761.3258876357254</v>
      </c>
      <c r="AM122" s="1103">
        <f>(Q122-AC122)/CoreData!$F$136</f>
        <v>33.19114101438641</v>
      </c>
      <c r="AN122" s="1076"/>
      <c r="AO122" s="1076"/>
      <c r="AP122" s="1103">
        <f t="shared" si="11"/>
        <v>5381.943515482757</v>
      </c>
      <c r="AQ122" s="1103">
        <f t="shared" si="12"/>
        <v>78.478178756664818</v>
      </c>
      <c r="AR122" s="1104">
        <f t="shared" si="13"/>
        <v>0.82099999999999995</v>
      </c>
      <c r="AS122" s="1104">
        <f t="shared" si="14"/>
        <v>0.91199999999999992</v>
      </c>
      <c r="AT122" s="1103">
        <f t="shared" si="15"/>
        <v>558099.62695437693</v>
      </c>
      <c r="AU122" s="1103">
        <f t="shared" si="16"/>
        <v>250009.44820088428</v>
      </c>
      <c r="AV122" s="1103">
        <f t="shared" si="17"/>
        <v>735309.12642210396</v>
      </c>
      <c r="AW122" s="1103">
        <f t="shared" si="18"/>
        <v>84.441170587431586</v>
      </c>
      <c r="AX122" s="1103">
        <f t="shared" si="19"/>
        <v>85</v>
      </c>
      <c r="AY122" s="1103">
        <f t="shared" si="21"/>
        <v>7709.009066273723</v>
      </c>
      <c r="AZ122" s="1105">
        <f t="shared" si="20"/>
        <v>33.19114101438641</v>
      </c>
      <c r="BA122" s="1076"/>
      <c r="BB122" s="1082">
        <f>H122*I122*J122*((Calculations!$D$29-Calculations!$D$58)/CoreData!$F$11+(Calculations!$D$31-Calculations!$D$60)/CoreData!$F$11*CoreData!$F$23)</f>
        <v>5381.9435154827561</v>
      </c>
      <c r="BC122" s="1082">
        <f>H122*I122*J122*((Calculations!$D$35-Calculations!$D$62)/CoreData!$F$11)</f>
        <v>78.478178756664818</v>
      </c>
      <c r="BD122" s="1083">
        <f>PS_Survey!$E$3</f>
        <v>0.82099999999999995</v>
      </c>
      <c r="BE122" s="1083">
        <f>PS_Survey!$E$4</f>
        <v>0.91199999999999992</v>
      </c>
      <c r="BF122" s="1084">
        <f>H122*I122*J122*CoreData!$F$7*PS_Survey!$E$5</f>
        <v>558099.62695437693</v>
      </c>
      <c r="BG122" s="1084">
        <f>H122*I122*J122*CoreData!$F$7*(1-CoreData!$F$66)*PS_Survey!$E$6*PS_Survey!$E$7</f>
        <v>250009.44820088428</v>
      </c>
      <c r="BH122" s="1082">
        <f>H122*I122*J122*CoreData!$F$7</f>
        <v>735309.12642210396</v>
      </c>
      <c r="BI122" s="1082">
        <f>BB122*CoreData!$F$99+Units_month!BC122*CoreData!$F$130</f>
        <v>84.441170587431571</v>
      </c>
      <c r="BJ122" s="1085">
        <f>PS_Survey!$E$8</f>
        <v>85</v>
      </c>
      <c r="BK122" s="1086">
        <f t="shared" si="6"/>
        <v>7709.009066273723</v>
      </c>
      <c r="BL122" s="1082">
        <f>BB122/CoreData!$F$136</f>
        <v>33.19114101438641</v>
      </c>
      <c r="BM122" s="1087"/>
      <c r="BN122" s="1087"/>
      <c r="BO122" s="1087"/>
      <c r="BP122" s="1087"/>
      <c r="BQ122" s="1087"/>
      <c r="BR122" s="1087"/>
      <c r="BS122" s="1087"/>
      <c r="BT122" s="1087"/>
      <c r="BU122" s="1087"/>
      <c r="BV122" s="1087"/>
      <c r="BW122" s="1087"/>
      <c r="BX122" s="1087"/>
      <c r="BY122" s="1087"/>
      <c r="BZ122" s="1087"/>
      <c r="CA122" s="1087"/>
      <c r="CB122" s="1087"/>
      <c r="CC122" s="1087"/>
      <c r="CD122" s="1087"/>
      <c r="CE122" s="1087"/>
      <c r="CF122" s="1087"/>
      <c r="CG122" s="1087"/>
      <c r="CH122" s="1087"/>
      <c r="CI122" s="1087"/>
      <c r="CJ122" s="1087"/>
      <c r="CK122" s="1087"/>
      <c r="CL122" s="1087"/>
      <c r="CM122" s="1087"/>
      <c r="CN122" s="1087"/>
      <c r="CO122" s="1087"/>
      <c r="CP122" s="1087"/>
      <c r="CQ122" s="1087"/>
      <c r="CR122" s="1087"/>
      <c r="CS122" s="1087"/>
      <c r="CT122" s="1087"/>
      <c r="CU122" s="1087"/>
      <c r="CV122" s="1087"/>
      <c r="CW122" s="1087"/>
      <c r="CX122" s="1087"/>
      <c r="CY122" s="1087"/>
      <c r="CZ122" s="1087"/>
      <c r="DA122" s="1087"/>
      <c r="DB122" s="1087"/>
      <c r="DC122" s="1087"/>
      <c r="DD122" s="1087"/>
      <c r="DE122" s="1087"/>
      <c r="DF122" s="1087"/>
      <c r="DG122" s="1087"/>
      <c r="DH122" s="1087"/>
      <c r="DI122" s="1087"/>
      <c r="DJ122" s="1087"/>
      <c r="DK122" s="1087"/>
      <c r="DL122" s="1087"/>
      <c r="DM122" s="1087"/>
      <c r="DN122" s="1087"/>
      <c r="DO122" s="1087"/>
      <c r="DP122" s="1087"/>
      <c r="DQ122" s="1087"/>
      <c r="DR122" s="1087"/>
      <c r="DS122" s="1087"/>
      <c r="DT122" s="1087"/>
      <c r="DU122" s="1087"/>
      <c r="DV122" s="1087"/>
      <c r="DW122" s="1087"/>
      <c r="DX122" s="1087"/>
      <c r="DY122" s="1087"/>
      <c r="DZ122" s="1087"/>
      <c r="EA122" s="1087"/>
      <c r="EB122" s="1087"/>
      <c r="EC122" s="1087"/>
      <c r="ED122" s="1087"/>
      <c r="EE122" s="1087"/>
      <c r="EF122" s="1087"/>
      <c r="EG122" s="1087"/>
      <c r="EH122" s="1087"/>
      <c r="EI122" s="1087"/>
      <c r="EJ122" s="1087"/>
      <c r="EK122" s="1087"/>
      <c r="EL122" s="1087"/>
      <c r="EM122" s="1087"/>
      <c r="EN122" s="1087"/>
      <c r="EO122" s="1087"/>
      <c r="EP122" s="1087"/>
      <c r="EQ122" s="1087"/>
      <c r="ER122" s="1087"/>
      <c r="ES122" s="1087"/>
      <c r="ET122" s="1087"/>
      <c r="EU122" s="1087"/>
      <c r="EV122" s="1087"/>
      <c r="EW122" s="1087"/>
      <c r="EX122" s="1087"/>
      <c r="EY122" s="1087"/>
      <c r="EZ122" s="1087"/>
      <c r="FA122" s="1087"/>
      <c r="FB122" s="1087"/>
      <c r="FC122" s="1087"/>
      <c r="FD122" s="1087"/>
      <c r="FE122" s="1087"/>
      <c r="FF122" s="1087"/>
      <c r="FG122" s="1087"/>
      <c r="FH122" s="1087"/>
      <c r="FI122" s="1087"/>
      <c r="FJ122" s="1087"/>
      <c r="FK122" s="1087"/>
      <c r="FL122" s="1087"/>
      <c r="FM122" s="1087"/>
      <c r="FN122" s="1087"/>
      <c r="FO122" s="1087"/>
    </row>
    <row r="123" spans="1:171" s="1088" customFormat="1">
      <c r="A123" s="1089" t="s">
        <v>332</v>
      </c>
      <c r="B123" s="1090">
        <f t="shared" si="5"/>
        <v>118</v>
      </c>
      <c r="C123" s="1106">
        <v>44075</v>
      </c>
      <c r="D123" s="1092">
        <f t="shared" si="4"/>
        <v>44104</v>
      </c>
      <c r="E123" s="1093">
        <f>Sale_Data!D94</f>
        <v>5207</v>
      </c>
      <c r="F123" s="1094"/>
      <c r="G123" s="1095">
        <f t="shared" si="3"/>
        <v>2254</v>
      </c>
      <c r="H123" s="1096">
        <f>SUM($E$6:E122)-SUM($F$6:G122)</f>
        <v>186133</v>
      </c>
      <c r="I123" s="1097">
        <f>VLOOKUP(A123,'Usage Rate Calc'!$T$7:$U$13,2,0)</f>
        <v>0.8318481316963624</v>
      </c>
      <c r="J123" s="1098">
        <f>VLOOKUP(A123,WQ_Test!$A$3:$B$9,2,0)</f>
        <v>0.9</v>
      </c>
      <c r="K123" s="1099">
        <f>$H123*CoreData!$F$44*I123*J123</f>
        <v>10565.054483930446</v>
      </c>
      <c r="L123" s="1094">
        <f>$H123*CoreData!$F$45*I123*J123</f>
        <v>2736.9025178828952</v>
      </c>
      <c r="M123" s="1100">
        <f>$H123*CoreData!$F$46</f>
        <v>187.32752792531636</v>
      </c>
      <c r="N123" s="1101">
        <f t="shared" si="22"/>
        <v>7640.8244381222339</v>
      </c>
      <c r="O123" s="1076"/>
      <c r="P123" s="1076"/>
      <c r="Q123" s="1102">
        <f>H123*I123*J123*((Calculations!$D$29)/CoreData!$F$11+(Calculations!$D$31)/CoreData!$F$11*CoreData!$F$23)</f>
        <v>7169.4550062663366</v>
      </c>
      <c r="R123" s="1103">
        <f>H123*I123*J123*((Calculations!$D$35)/CoreData!$F$11)</f>
        <v>119.24223240646526</v>
      </c>
      <c r="S123" s="1076">
        <v>0</v>
      </c>
      <c r="T123" s="1076">
        <v>0</v>
      </c>
      <c r="U123" s="1076">
        <v>0</v>
      </c>
      <c r="V123" s="1076">
        <v>0</v>
      </c>
      <c r="W123" s="1076">
        <v>0</v>
      </c>
      <c r="X123" s="1076">
        <v>0</v>
      </c>
      <c r="Y123" s="1076">
        <v>0</v>
      </c>
      <c r="Z123" s="1076">
        <f t="shared" si="9"/>
        <v>10565.054483930446</v>
      </c>
      <c r="AA123" s="1076"/>
      <c r="AB123" s="1076"/>
      <c r="AC123" s="1103">
        <f>H123*I123*J123*((Calculations!$D$58)/CoreData!$F$11+(Calculations!$D$60)/CoreData!$F$11*CoreData!$F$23)</f>
        <v>1835.1136941511891</v>
      </c>
      <c r="AD123" s="1103">
        <f>H123*I123*J123*((Calculations!$D$62)/CoreData!$F$11)</f>
        <v>41.458177290144754</v>
      </c>
      <c r="AE123" s="1104">
        <f>PS_Survey!$E$3</f>
        <v>0.82099999999999995</v>
      </c>
      <c r="AF123" s="1104">
        <f>PS_Survey!$E$4</f>
        <v>0.91199999999999992</v>
      </c>
      <c r="AG123" s="1076">
        <f>H123*I123*J123*CoreData!$F$7*PS_Survey!$E$5</f>
        <v>553163.34847704961</v>
      </c>
      <c r="AH123" s="1076">
        <f>H123*I123*J123*CoreData!$F$7*(1-CoreData!$F$66)*PS_Survey!$E$6*PS_Survey!$E$7</f>
        <v>247798.16512761428</v>
      </c>
      <c r="AI123" s="1076">
        <f>H123*I123*J123*CoreData!$F$7</f>
        <v>728805.4657141628</v>
      </c>
      <c r="AJ123" s="1103">
        <f>(Q123-AC123)*CoreData!$F$99+(R123-AD123)*CoreData!$F$130</f>
        <v>83.694305488729171</v>
      </c>
      <c r="AK123" s="1076">
        <f>PS_Survey!$E$8</f>
        <v>85</v>
      </c>
      <c r="AL123" s="1076">
        <f t="shared" si="10"/>
        <v>2736.9025178828952</v>
      </c>
      <c r="AM123" s="1103">
        <f>(Q123-AC123)/CoreData!$F$136</f>
        <v>32.897572075949107</v>
      </c>
      <c r="AN123" s="1076"/>
      <c r="AO123" s="1076"/>
      <c r="AP123" s="1103">
        <f t="shared" si="11"/>
        <v>5334.341312115148</v>
      </c>
      <c r="AQ123" s="1103">
        <f t="shared" si="12"/>
        <v>77.784055116320502</v>
      </c>
      <c r="AR123" s="1104">
        <f t="shared" si="13"/>
        <v>0.82099999999999995</v>
      </c>
      <c r="AS123" s="1104">
        <f t="shared" si="14"/>
        <v>0.91199999999999992</v>
      </c>
      <c r="AT123" s="1103">
        <f t="shared" si="15"/>
        <v>553163.34847704961</v>
      </c>
      <c r="AU123" s="1103">
        <f t="shared" si="16"/>
        <v>247798.16512761428</v>
      </c>
      <c r="AV123" s="1103">
        <f t="shared" si="17"/>
        <v>728805.4657141628</v>
      </c>
      <c r="AW123" s="1103">
        <f t="shared" si="18"/>
        <v>83.694305488729171</v>
      </c>
      <c r="AX123" s="1103">
        <f t="shared" si="19"/>
        <v>85</v>
      </c>
      <c r="AY123" s="1103">
        <f t="shared" si="21"/>
        <v>7640.8244381222339</v>
      </c>
      <c r="AZ123" s="1105">
        <f t="shared" si="20"/>
        <v>32.897572075949107</v>
      </c>
      <c r="BA123" s="1076"/>
      <c r="BB123" s="1082">
        <f>H123*I123*J123*((Calculations!$D$29-Calculations!$D$58)/CoreData!$F$11+(Calculations!$D$31-Calculations!$D$60)/CoreData!$F$11*CoreData!$F$23)</f>
        <v>5334.341312115147</v>
      </c>
      <c r="BC123" s="1082">
        <f>H123*I123*J123*((Calculations!$D$35-Calculations!$D$62)/CoreData!$F$11)</f>
        <v>77.784055116320502</v>
      </c>
      <c r="BD123" s="1083">
        <f>PS_Survey!$E$3</f>
        <v>0.82099999999999995</v>
      </c>
      <c r="BE123" s="1083">
        <f>PS_Survey!$E$4</f>
        <v>0.91199999999999992</v>
      </c>
      <c r="BF123" s="1084">
        <f>H123*I123*J123*CoreData!$F$7*PS_Survey!$E$5</f>
        <v>553163.34847704961</v>
      </c>
      <c r="BG123" s="1084">
        <f>H123*I123*J123*CoreData!$F$7*(1-CoreData!$F$66)*PS_Survey!$E$6*PS_Survey!$E$7</f>
        <v>247798.16512761428</v>
      </c>
      <c r="BH123" s="1082">
        <f>H123*I123*J123*CoreData!$F$7</f>
        <v>728805.4657141628</v>
      </c>
      <c r="BI123" s="1082">
        <f>BB123*CoreData!$F$99+Units_month!BC123*CoreData!$F$130</f>
        <v>83.694305488729157</v>
      </c>
      <c r="BJ123" s="1085">
        <f>PS_Survey!$E$8</f>
        <v>85</v>
      </c>
      <c r="BK123" s="1086">
        <f t="shared" si="6"/>
        <v>7640.8244381222339</v>
      </c>
      <c r="BL123" s="1082">
        <f>BB123/CoreData!$F$136</f>
        <v>32.8975720759491</v>
      </c>
      <c r="BM123" s="1087"/>
      <c r="BN123" s="1087"/>
      <c r="BO123" s="1087"/>
      <c r="BP123" s="1087"/>
      <c r="BQ123" s="1087"/>
      <c r="BR123" s="1087"/>
      <c r="BS123" s="1087"/>
      <c r="BT123" s="1087"/>
      <c r="BU123" s="1087"/>
      <c r="BV123" s="1087"/>
      <c r="BW123" s="1087"/>
      <c r="BX123" s="1087"/>
      <c r="BY123" s="1087"/>
      <c r="BZ123" s="1087"/>
      <c r="CA123" s="1087"/>
      <c r="CB123" s="1087"/>
      <c r="CC123" s="1087"/>
      <c r="CD123" s="1087"/>
      <c r="CE123" s="1087"/>
      <c r="CF123" s="1087"/>
      <c r="CG123" s="1087"/>
      <c r="CH123" s="1087"/>
      <c r="CI123" s="1087"/>
      <c r="CJ123" s="1087"/>
      <c r="CK123" s="1087"/>
      <c r="CL123" s="1087"/>
      <c r="CM123" s="1087"/>
      <c r="CN123" s="1087"/>
      <c r="CO123" s="1087"/>
      <c r="CP123" s="1087"/>
      <c r="CQ123" s="1087"/>
      <c r="CR123" s="1087"/>
      <c r="CS123" s="1087"/>
      <c r="CT123" s="1087"/>
      <c r="CU123" s="1087"/>
      <c r="CV123" s="1087"/>
      <c r="CW123" s="1087"/>
      <c r="CX123" s="1087"/>
      <c r="CY123" s="1087"/>
      <c r="CZ123" s="1087"/>
      <c r="DA123" s="1087"/>
      <c r="DB123" s="1087"/>
      <c r="DC123" s="1087"/>
      <c r="DD123" s="1087"/>
      <c r="DE123" s="1087"/>
      <c r="DF123" s="1087"/>
      <c r="DG123" s="1087"/>
      <c r="DH123" s="1087"/>
      <c r="DI123" s="1087"/>
      <c r="DJ123" s="1087"/>
      <c r="DK123" s="1087"/>
      <c r="DL123" s="1087"/>
      <c r="DM123" s="1087"/>
      <c r="DN123" s="1087"/>
      <c r="DO123" s="1087"/>
      <c r="DP123" s="1087"/>
      <c r="DQ123" s="1087"/>
      <c r="DR123" s="1087"/>
      <c r="DS123" s="1087"/>
      <c r="DT123" s="1087"/>
      <c r="DU123" s="1087"/>
      <c r="DV123" s="1087"/>
      <c r="DW123" s="1087"/>
      <c r="DX123" s="1087"/>
      <c r="DY123" s="1087"/>
      <c r="DZ123" s="1087"/>
      <c r="EA123" s="1087"/>
      <c r="EB123" s="1087"/>
      <c r="EC123" s="1087"/>
      <c r="ED123" s="1087"/>
      <c r="EE123" s="1087"/>
      <c r="EF123" s="1087"/>
      <c r="EG123" s="1087"/>
      <c r="EH123" s="1087"/>
      <c r="EI123" s="1087"/>
      <c r="EJ123" s="1087"/>
      <c r="EK123" s="1087"/>
      <c r="EL123" s="1087"/>
      <c r="EM123" s="1087"/>
      <c r="EN123" s="1087"/>
      <c r="EO123" s="1087"/>
      <c r="EP123" s="1087"/>
      <c r="EQ123" s="1087"/>
      <c r="ER123" s="1087"/>
      <c r="ES123" s="1087"/>
      <c r="ET123" s="1087"/>
      <c r="EU123" s="1087"/>
      <c r="EV123" s="1087"/>
      <c r="EW123" s="1087"/>
      <c r="EX123" s="1087"/>
      <c r="EY123" s="1087"/>
      <c r="EZ123" s="1087"/>
      <c r="FA123" s="1087"/>
      <c r="FB123" s="1087"/>
      <c r="FC123" s="1087"/>
      <c r="FD123" s="1087"/>
      <c r="FE123" s="1087"/>
      <c r="FF123" s="1087"/>
      <c r="FG123" s="1087"/>
      <c r="FH123" s="1087"/>
      <c r="FI123" s="1087"/>
      <c r="FJ123" s="1087"/>
      <c r="FK123" s="1087"/>
      <c r="FL123" s="1087"/>
      <c r="FM123" s="1087"/>
      <c r="FN123" s="1087"/>
      <c r="FO123" s="1087"/>
    </row>
    <row r="124" spans="1:171" s="1088" customFormat="1">
      <c r="A124" s="1089" t="s">
        <v>332</v>
      </c>
      <c r="B124" s="1090">
        <f t="shared" si="5"/>
        <v>119</v>
      </c>
      <c r="C124" s="1091">
        <v>44105</v>
      </c>
      <c r="D124" s="1092">
        <f t="shared" si="4"/>
        <v>44135</v>
      </c>
      <c r="E124" s="1093">
        <f>Sale_Data!D95</f>
        <v>1510</v>
      </c>
      <c r="F124" s="1094"/>
      <c r="G124" s="1095">
        <f t="shared" si="3"/>
        <v>3795</v>
      </c>
      <c r="H124" s="1096">
        <f>SUM($E$6:E123)-SUM($F$6:G123)</f>
        <v>189086</v>
      </c>
      <c r="I124" s="1097">
        <f>VLOOKUP(A124,'Usage Rate Calc'!$T$7:$U$13,2,0)</f>
        <v>0.8318481316963624</v>
      </c>
      <c r="J124" s="1098">
        <f>VLOOKUP(A124,WQ_Test!$A$3:$B$9,2,0)</f>
        <v>0.9</v>
      </c>
      <c r="K124" s="1099">
        <f>$H124*CoreData!$F$44*I124*J124</f>
        <v>10732.669070763766</v>
      </c>
      <c r="L124" s="1094">
        <f>$H124*CoreData!$F$45*I124*J124</f>
        <v>2780.3234756674265</v>
      </c>
      <c r="M124" s="1100">
        <f>$H124*CoreData!$F$46</f>
        <v>190.29947911056271</v>
      </c>
      <c r="N124" s="1101">
        <f t="shared" si="22"/>
        <v>7762.0461159857769</v>
      </c>
      <c r="O124" s="1076"/>
      <c r="P124" s="1076"/>
      <c r="Q124" s="1102">
        <f>H124*I124*J124*((Calculations!$D$29)/CoreData!$F$11+(Calculations!$D$31)/CoreData!$F$11*CoreData!$F$23)</f>
        <v>7283.1984082074459</v>
      </c>
      <c r="R124" s="1103">
        <f>H124*I124*J124*((Calculations!$D$35)/CoreData!$F$11)</f>
        <v>121.13401039476553</v>
      </c>
      <c r="S124" s="1076">
        <v>0</v>
      </c>
      <c r="T124" s="1076">
        <v>0</v>
      </c>
      <c r="U124" s="1076">
        <v>0</v>
      </c>
      <c r="V124" s="1076">
        <v>0</v>
      </c>
      <c r="W124" s="1076">
        <v>0</v>
      </c>
      <c r="X124" s="1076">
        <v>0</v>
      </c>
      <c r="Y124" s="1076">
        <v>0</v>
      </c>
      <c r="Z124" s="1076">
        <f t="shared" si="9"/>
        <v>10732.669070763766</v>
      </c>
      <c r="AA124" s="1076"/>
      <c r="AB124" s="1076"/>
      <c r="AC124" s="1103">
        <f>H124*I124*J124*((Calculations!$D$58)/CoreData!$F$11+(Calculations!$D$60)/CoreData!$F$11*CoreData!$F$23)</f>
        <v>1864.2277724652358</v>
      </c>
      <c r="AD124" s="1103">
        <f>H124*I124*J124*((Calculations!$D$62)/CoreData!$F$11)</f>
        <v>42.115911262829869</v>
      </c>
      <c r="AE124" s="1104">
        <f>PS_Survey!$E$3</f>
        <v>0.82099999999999995</v>
      </c>
      <c r="AF124" s="1104">
        <f>PS_Survey!$E$4</f>
        <v>0.91199999999999992</v>
      </c>
      <c r="AG124" s="1076">
        <f>H124*I124*J124*CoreData!$F$7*PS_Survey!$E$5</f>
        <v>561939.28486690379</v>
      </c>
      <c r="AH124" s="1076">
        <f>H124*I124*J124*CoreData!$F$7*(1-CoreData!$F$66)*PS_Survey!$E$6*PS_Survey!$E$7</f>
        <v>251729.48295745559</v>
      </c>
      <c r="AI124" s="1076">
        <f>H124*I124*J124*CoreData!$F$7</f>
        <v>740367.96425152011</v>
      </c>
      <c r="AJ124" s="1103">
        <f>(Q124-AC124)*CoreData!$F$99+(R124-AD124)*CoreData!$F$130</f>
        <v>85.022115625073695</v>
      </c>
      <c r="AK124" s="1076">
        <f>PS_Survey!$E$8</f>
        <v>85</v>
      </c>
      <c r="AL124" s="1076">
        <f t="shared" si="10"/>
        <v>2780.3234756674265</v>
      </c>
      <c r="AM124" s="1103">
        <f>(Q124-AC124)/CoreData!$F$136</f>
        <v>33.419492048980636</v>
      </c>
      <c r="AN124" s="1076"/>
      <c r="AO124" s="1076"/>
      <c r="AP124" s="1103">
        <f t="shared" si="11"/>
        <v>5418.9706357422101</v>
      </c>
      <c r="AQ124" s="1103">
        <f t="shared" si="12"/>
        <v>79.018099131935656</v>
      </c>
      <c r="AR124" s="1104">
        <f t="shared" si="13"/>
        <v>0.82099999999999995</v>
      </c>
      <c r="AS124" s="1104">
        <f t="shared" si="14"/>
        <v>0.91199999999999992</v>
      </c>
      <c r="AT124" s="1103">
        <f t="shared" si="15"/>
        <v>561939.28486690379</v>
      </c>
      <c r="AU124" s="1103">
        <f t="shared" si="16"/>
        <v>251729.48295745559</v>
      </c>
      <c r="AV124" s="1103">
        <f t="shared" si="17"/>
        <v>740367.96425152011</v>
      </c>
      <c r="AW124" s="1103">
        <f t="shared" si="18"/>
        <v>85.022115625073695</v>
      </c>
      <c r="AX124" s="1103">
        <f t="shared" si="19"/>
        <v>85</v>
      </c>
      <c r="AY124" s="1103">
        <f t="shared" si="21"/>
        <v>7762.0461159857769</v>
      </c>
      <c r="AZ124" s="1105">
        <f t="shared" si="20"/>
        <v>33.419492048980636</v>
      </c>
      <c r="BA124" s="1076"/>
      <c r="BB124" s="1082">
        <f>H124*I124*J124*((Calculations!$D$29-Calculations!$D$58)/CoreData!$F$11+(Calculations!$D$31-Calculations!$D$60)/CoreData!$F$11*CoreData!$F$23)</f>
        <v>5418.9706357422092</v>
      </c>
      <c r="BC124" s="1082">
        <f>H124*I124*J124*((Calculations!$D$35-Calculations!$D$62)/CoreData!$F$11)</f>
        <v>79.018099131935656</v>
      </c>
      <c r="BD124" s="1083">
        <f>PS_Survey!$E$3</f>
        <v>0.82099999999999995</v>
      </c>
      <c r="BE124" s="1083">
        <f>PS_Survey!$E$4</f>
        <v>0.91199999999999992</v>
      </c>
      <c r="BF124" s="1084">
        <f>H124*I124*J124*CoreData!$F$7*PS_Survey!$E$5</f>
        <v>561939.28486690379</v>
      </c>
      <c r="BG124" s="1084">
        <f>H124*I124*J124*CoreData!$F$7*(1-CoreData!$F$66)*PS_Survey!$E$6*PS_Survey!$E$7</f>
        <v>251729.48295745559</v>
      </c>
      <c r="BH124" s="1082">
        <f>H124*I124*J124*CoreData!$F$7</f>
        <v>740367.96425152011</v>
      </c>
      <c r="BI124" s="1082">
        <f>BB124*CoreData!$F$99+Units_month!BC124*CoreData!$F$130</f>
        <v>85.022115625073681</v>
      </c>
      <c r="BJ124" s="1085">
        <f>PS_Survey!$E$8</f>
        <v>85</v>
      </c>
      <c r="BK124" s="1086">
        <f t="shared" si="6"/>
        <v>7762.0461159857769</v>
      </c>
      <c r="BL124" s="1082">
        <f>BB124/CoreData!$F$136</f>
        <v>33.419492048980629</v>
      </c>
      <c r="BM124" s="1087"/>
      <c r="BN124" s="1087"/>
      <c r="BO124" s="1087"/>
      <c r="BP124" s="1087"/>
      <c r="BQ124" s="1087"/>
      <c r="BR124" s="1087"/>
      <c r="BS124" s="1087"/>
      <c r="BT124" s="1087"/>
      <c r="BU124" s="1087"/>
      <c r="BV124" s="1087"/>
      <c r="BW124" s="1087"/>
      <c r="BX124" s="1087"/>
      <c r="BY124" s="1087"/>
      <c r="BZ124" s="1087"/>
      <c r="CA124" s="1087"/>
      <c r="CB124" s="1087"/>
      <c r="CC124" s="1087"/>
      <c r="CD124" s="1087"/>
      <c r="CE124" s="1087"/>
      <c r="CF124" s="1087"/>
      <c r="CG124" s="1087"/>
      <c r="CH124" s="1087"/>
      <c r="CI124" s="1087"/>
      <c r="CJ124" s="1087"/>
      <c r="CK124" s="1087"/>
      <c r="CL124" s="1087"/>
      <c r="CM124" s="1087"/>
      <c r="CN124" s="1087"/>
      <c r="CO124" s="1087"/>
      <c r="CP124" s="1087"/>
      <c r="CQ124" s="1087"/>
      <c r="CR124" s="1087"/>
      <c r="CS124" s="1087"/>
      <c r="CT124" s="1087"/>
      <c r="CU124" s="1087"/>
      <c r="CV124" s="1087"/>
      <c r="CW124" s="1087"/>
      <c r="CX124" s="1087"/>
      <c r="CY124" s="1087"/>
      <c r="CZ124" s="1087"/>
      <c r="DA124" s="1087"/>
      <c r="DB124" s="1087"/>
      <c r="DC124" s="1087"/>
      <c r="DD124" s="1087"/>
      <c r="DE124" s="1087"/>
      <c r="DF124" s="1087"/>
      <c r="DG124" s="1087"/>
      <c r="DH124" s="1087"/>
      <c r="DI124" s="1087"/>
      <c r="DJ124" s="1087"/>
      <c r="DK124" s="1087"/>
      <c r="DL124" s="1087"/>
      <c r="DM124" s="1087"/>
      <c r="DN124" s="1087"/>
      <c r="DO124" s="1087"/>
      <c r="DP124" s="1087"/>
      <c r="DQ124" s="1087"/>
      <c r="DR124" s="1087"/>
      <c r="DS124" s="1087"/>
      <c r="DT124" s="1087"/>
      <c r="DU124" s="1087"/>
      <c r="DV124" s="1087"/>
      <c r="DW124" s="1087"/>
      <c r="DX124" s="1087"/>
      <c r="DY124" s="1087"/>
      <c r="DZ124" s="1087"/>
      <c r="EA124" s="1087"/>
      <c r="EB124" s="1087"/>
      <c r="EC124" s="1087"/>
      <c r="ED124" s="1087"/>
      <c r="EE124" s="1087"/>
      <c r="EF124" s="1087"/>
      <c r="EG124" s="1087"/>
      <c r="EH124" s="1087"/>
      <c r="EI124" s="1087"/>
      <c r="EJ124" s="1087"/>
      <c r="EK124" s="1087"/>
      <c r="EL124" s="1087"/>
      <c r="EM124" s="1087"/>
      <c r="EN124" s="1087"/>
      <c r="EO124" s="1087"/>
      <c r="EP124" s="1087"/>
      <c r="EQ124" s="1087"/>
      <c r="ER124" s="1087"/>
      <c r="ES124" s="1087"/>
      <c r="ET124" s="1087"/>
      <c r="EU124" s="1087"/>
      <c r="EV124" s="1087"/>
      <c r="EW124" s="1087"/>
      <c r="EX124" s="1087"/>
      <c r="EY124" s="1087"/>
      <c r="EZ124" s="1087"/>
      <c r="FA124" s="1087"/>
      <c r="FB124" s="1087"/>
      <c r="FC124" s="1087"/>
      <c r="FD124" s="1087"/>
      <c r="FE124" s="1087"/>
      <c r="FF124" s="1087"/>
      <c r="FG124" s="1087"/>
      <c r="FH124" s="1087"/>
      <c r="FI124" s="1087"/>
      <c r="FJ124" s="1087"/>
      <c r="FK124" s="1087"/>
      <c r="FL124" s="1087"/>
      <c r="FM124" s="1087"/>
      <c r="FN124" s="1087"/>
      <c r="FO124" s="1087"/>
    </row>
    <row r="125" spans="1:171" s="1108" customFormat="1" ht="15.75" thickBot="1">
      <c r="A125" s="1089" t="s">
        <v>332</v>
      </c>
      <c r="B125" s="1090">
        <f t="shared" si="5"/>
        <v>120</v>
      </c>
      <c r="C125" s="1091">
        <v>44136</v>
      </c>
      <c r="D125" s="1092">
        <f t="shared" si="4"/>
        <v>44165</v>
      </c>
      <c r="E125" s="1093">
        <f>Sale_Data!D96</f>
        <v>1983</v>
      </c>
      <c r="F125" s="1094"/>
      <c r="G125" s="1095">
        <f t="shared" si="3"/>
        <v>5009</v>
      </c>
      <c r="H125" s="1096">
        <f>SUM($E$6:E124)-SUM($F$6:G124)</f>
        <v>186801</v>
      </c>
      <c r="I125" s="1097">
        <f>VLOOKUP(A125,'Usage Rate Calc'!$T$7:$U$13,2,0)</f>
        <v>0.8318481316963624</v>
      </c>
      <c r="J125" s="1098">
        <f>VLOOKUP(A125,WQ_Test!$A$3:$B$9,2,0)</f>
        <v>0.9</v>
      </c>
      <c r="K125" s="1099">
        <f>$H125*CoreData!$F$44*I125*J125</f>
        <v>10602.970685760672</v>
      </c>
      <c r="L125" s="1094">
        <f>$H125*CoreData!$F$45*I125*J125</f>
        <v>2746.7248002398433</v>
      </c>
      <c r="M125" s="1100">
        <f>$H125*CoreData!$F$46</f>
        <v>187.99981488493185</v>
      </c>
      <c r="N125" s="1101">
        <f t="shared" si="22"/>
        <v>7668.2460706358979</v>
      </c>
      <c r="O125" s="1076"/>
      <c r="P125" s="1076"/>
      <c r="Q125" s="1102">
        <f>H125*I125*J125*((Calculations!$D$29)/CoreData!$F$11+(Calculations!$D$31)/CoreData!$F$11*CoreData!$F$23)</f>
        <v>7195.1849732479359</v>
      </c>
      <c r="R125" s="1103">
        <f>H125*I125*J125*((Calculations!$D$35)/CoreData!$F$11)</f>
        <v>119.67017270317525</v>
      </c>
      <c r="S125" s="1076">
        <v>0</v>
      </c>
      <c r="T125" s="1076">
        <v>0</v>
      </c>
      <c r="U125" s="1076">
        <v>0</v>
      </c>
      <c r="V125" s="1076">
        <v>0</v>
      </c>
      <c r="W125" s="1076">
        <v>0</v>
      </c>
      <c r="X125" s="1076">
        <v>0</v>
      </c>
      <c r="Y125" s="1076">
        <v>0</v>
      </c>
      <c r="Z125" s="1076">
        <f t="shared" si="9"/>
        <v>10602.970685760672</v>
      </c>
      <c r="AA125" s="1076"/>
      <c r="AB125" s="1076"/>
      <c r="AC125" s="1103">
        <f>H125*I125*J125*((Calculations!$D$58)/CoreData!$F$11+(Calculations!$D$60)/CoreData!$F$11*CoreData!$F$23)</f>
        <v>1841.6996082432256</v>
      </c>
      <c r="AD125" s="1103">
        <f>H125*I125*J125*((Calculations!$D$62)/CoreData!$F$11)</f>
        <v>41.606963708618736</v>
      </c>
      <c r="AE125" s="1104">
        <f>PS_Survey!$E$3</f>
        <v>0.82099999999999995</v>
      </c>
      <c r="AF125" s="1104">
        <f>PS_Survey!$E$4</f>
        <v>0.91199999999999992</v>
      </c>
      <c r="AG125" s="1076">
        <f>H125*I125*J125*CoreData!$F$7*PS_Survey!$E$5</f>
        <v>555148.55860519817</v>
      </c>
      <c r="AH125" s="1076">
        <f>H125*I125*J125*CoreData!$F$7*(1-CoreData!$F$66)*PS_Survey!$E$6*PS_Survey!$E$7</f>
        <v>248687.47102342674</v>
      </c>
      <c r="AI125" s="1076">
        <f>H125*I125*J125*CoreData!$F$7</f>
        <v>731421.02583030064</v>
      </c>
      <c r="AJ125" s="1103">
        <f>(Q125-AC125)*CoreData!$F$99+(R125-AD125)*CoreData!$F$130</f>
        <v>83.994670260513175</v>
      </c>
      <c r="AK125" s="1076">
        <f>PS_Survey!$E$8</f>
        <v>85</v>
      </c>
      <c r="AL125" s="1076">
        <f t="shared" si="10"/>
        <v>2746.7248002398433</v>
      </c>
      <c r="AM125" s="1103">
        <f>(Q125-AC125)/CoreData!$F$136</f>
        <v>33.015635923556644</v>
      </c>
      <c r="AN125" s="1076"/>
      <c r="AO125" s="1076"/>
      <c r="AP125" s="1103">
        <f t="shared" si="11"/>
        <v>5353.4853650047098</v>
      </c>
      <c r="AQ125" s="1103">
        <f t="shared" si="12"/>
        <v>78.063208994556518</v>
      </c>
      <c r="AR125" s="1104">
        <f t="shared" si="13"/>
        <v>0.82099999999999995</v>
      </c>
      <c r="AS125" s="1104">
        <f t="shared" si="14"/>
        <v>0.91199999999999992</v>
      </c>
      <c r="AT125" s="1103">
        <f t="shared" si="15"/>
        <v>555148.55860519817</v>
      </c>
      <c r="AU125" s="1103">
        <f t="shared" si="16"/>
        <v>248687.47102342674</v>
      </c>
      <c r="AV125" s="1103">
        <f t="shared" si="17"/>
        <v>731421.02583030064</v>
      </c>
      <c r="AW125" s="1103">
        <f t="shared" si="18"/>
        <v>83.994670260513175</v>
      </c>
      <c r="AX125" s="1103">
        <f t="shared" si="19"/>
        <v>85</v>
      </c>
      <c r="AY125" s="1103">
        <f t="shared" si="21"/>
        <v>7668.2460706358979</v>
      </c>
      <c r="AZ125" s="1105">
        <f t="shared" si="20"/>
        <v>33.015635923556644</v>
      </c>
      <c r="BA125" s="1076"/>
      <c r="BB125" s="1082">
        <f>H125*I125*J125*((Calculations!$D$29-Calculations!$D$58)/CoreData!$F$11+(Calculations!$D$31-Calculations!$D$60)/CoreData!$F$11*CoreData!$F$23)</f>
        <v>5353.4853650047098</v>
      </c>
      <c r="BC125" s="1082">
        <f>H125*I125*J125*((Calculations!$D$35-Calculations!$D$62)/CoreData!$F$11)</f>
        <v>78.063208994556518</v>
      </c>
      <c r="BD125" s="1083">
        <f>PS_Survey!$E$3</f>
        <v>0.82099999999999995</v>
      </c>
      <c r="BE125" s="1083">
        <f>PS_Survey!$E$4</f>
        <v>0.91199999999999992</v>
      </c>
      <c r="BF125" s="1084">
        <f>H125*I125*J125*CoreData!$F$7*PS_Survey!$E$5</f>
        <v>555148.55860519817</v>
      </c>
      <c r="BG125" s="1084">
        <f>H125*I125*J125*CoreData!$F$7*(1-CoreData!$F$66)*PS_Survey!$E$6*PS_Survey!$E$7</f>
        <v>248687.47102342674</v>
      </c>
      <c r="BH125" s="1082">
        <f>H125*I125*J125*CoreData!$F$7</f>
        <v>731421.02583030064</v>
      </c>
      <c r="BI125" s="1082">
        <f>BB125*CoreData!$F$99+Units_month!BC125*CoreData!$F$130</f>
        <v>83.994670260513175</v>
      </c>
      <c r="BJ125" s="1085">
        <f>PS_Survey!$E$8</f>
        <v>85</v>
      </c>
      <c r="BK125" s="1086">
        <f t="shared" si="6"/>
        <v>7668.2460706358979</v>
      </c>
      <c r="BL125" s="1082">
        <f>BB125/CoreData!$F$136</f>
        <v>33.015635923556644</v>
      </c>
      <c r="BM125" s="1087"/>
      <c r="BN125" s="1087"/>
      <c r="BO125" s="1087"/>
      <c r="BP125" s="1087"/>
      <c r="BQ125" s="1087"/>
      <c r="BR125" s="1087"/>
      <c r="BS125" s="1087"/>
      <c r="BT125" s="1087"/>
      <c r="BU125" s="1087"/>
      <c r="BV125" s="1087"/>
      <c r="BW125" s="1087"/>
      <c r="BX125" s="1087"/>
      <c r="BY125" s="1087"/>
      <c r="BZ125" s="1087"/>
      <c r="CA125" s="1087"/>
      <c r="CB125" s="1087"/>
      <c r="CC125" s="1087"/>
      <c r="CD125" s="1087"/>
      <c r="CE125" s="1087"/>
      <c r="CF125" s="1087"/>
      <c r="CG125" s="1087"/>
      <c r="CH125" s="1087"/>
      <c r="CI125" s="1087"/>
      <c r="CJ125" s="1087"/>
      <c r="CK125" s="1087"/>
      <c r="CL125" s="1087"/>
      <c r="CM125" s="1087"/>
      <c r="CN125" s="1087"/>
      <c r="CO125" s="1087"/>
      <c r="CP125" s="1087"/>
      <c r="CQ125" s="1087"/>
      <c r="CR125" s="1087"/>
      <c r="CS125" s="1087"/>
      <c r="CT125" s="1087"/>
      <c r="CU125" s="1087"/>
      <c r="CV125" s="1087"/>
      <c r="CW125" s="1087"/>
      <c r="CX125" s="1087"/>
      <c r="CY125" s="1087"/>
      <c r="CZ125" s="1087"/>
      <c r="DA125" s="1087"/>
      <c r="DB125" s="1087"/>
      <c r="DC125" s="1087"/>
      <c r="DD125" s="1087"/>
      <c r="DE125" s="1087"/>
      <c r="DF125" s="1087"/>
      <c r="DG125" s="1087"/>
      <c r="DH125" s="1087"/>
      <c r="DI125" s="1087"/>
      <c r="DJ125" s="1087"/>
      <c r="DK125" s="1087"/>
      <c r="DL125" s="1087"/>
      <c r="DM125" s="1087"/>
      <c r="DN125" s="1087"/>
      <c r="DO125" s="1087"/>
      <c r="DP125" s="1087"/>
      <c r="DQ125" s="1087"/>
      <c r="DR125" s="1087"/>
      <c r="DS125" s="1087"/>
      <c r="DT125" s="1087"/>
      <c r="DU125" s="1087"/>
      <c r="DV125" s="1087"/>
      <c r="DW125" s="1087"/>
      <c r="DX125" s="1087"/>
      <c r="DY125" s="1087"/>
      <c r="DZ125" s="1087"/>
      <c r="EA125" s="1087"/>
      <c r="EB125" s="1087"/>
      <c r="EC125" s="1087"/>
      <c r="ED125" s="1087"/>
      <c r="EE125" s="1087"/>
      <c r="EF125" s="1087"/>
      <c r="EG125" s="1087"/>
      <c r="EH125" s="1087"/>
      <c r="EI125" s="1087"/>
      <c r="EJ125" s="1087"/>
      <c r="EK125" s="1087"/>
      <c r="EL125" s="1087"/>
      <c r="EM125" s="1087"/>
      <c r="EN125" s="1087"/>
      <c r="EO125" s="1087"/>
      <c r="EP125" s="1087"/>
      <c r="EQ125" s="1087"/>
      <c r="ER125" s="1087"/>
      <c r="ES125" s="1087"/>
      <c r="ET125" s="1087"/>
      <c r="EU125" s="1087"/>
      <c r="EV125" s="1087"/>
      <c r="EW125" s="1087"/>
      <c r="EX125" s="1087"/>
      <c r="EY125" s="1087"/>
      <c r="EZ125" s="1087"/>
      <c r="FA125" s="1087"/>
      <c r="FB125" s="1087"/>
      <c r="FC125" s="1087"/>
      <c r="FD125" s="1087"/>
      <c r="FE125" s="1087"/>
      <c r="FF125" s="1087"/>
      <c r="FG125" s="1087"/>
      <c r="FH125" s="1087"/>
      <c r="FI125" s="1087"/>
      <c r="FJ125" s="1087"/>
      <c r="FK125" s="1087"/>
      <c r="FL125" s="1087"/>
      <c r="FM125" s="1087"/>
      <c r="FN125" s="1087"/>
      <c r="FO125" s="1087"/>
    </row>
    <row r="126" spans="1:171" s="1088" customFormat="1" ht="15.75" thickBot="1">
      <c r="A126" s="1109" t="s">
        <v>332</v>
      </c>
      <c r="B126" s="1110">
        <f t="shared" si="5"/>
        <v>121</v>
      </c>
      <c r="C126" s="1111">
        <v>44166</v>
      </c>
      <c r="D126" s="1112">
        <f t="shared" si="4"/>
        <v>44196</v>
      </c>
      <c r="E126" s="1113">
        <f>Sale_Data!D97</f>
        <v>7312</v>
      </c>
      <c r="F126" s="1114"/>
      <c r="G126" s="1115">
        <f t="shared" si="3"/>
        <v>3857</v>
      </c>
      <c r="H126" s="1116">
        <f>SUM($E$6:E125)-SUM($F$6:G125)</f>
        <v>183775</v>
      </c>
      <c r="I126" s="1117">
        <f>VLOOKUP(A126,'Usage Rate Calc'!$T$7:$U$13,2,0)</f>
        <v>0.8318481316963624</v>
      </c>
      <c r="J126" s="1118">
        <f>VLOOKUP(A126,WQ_Test!$A$3:$B$9,2,0)</f>
        <v>0.9</v>
      </c>
      <c r="K126" s="1119">
        <f>$H126*CoreData!$F$44*I126*J126</f>
        <v>10431.212561900993</v>
      </c>
      <c r="L126" s="1114">
        <f>$H126*CoreData!$F$45*I126*J126</f>
        <v>2702.2304493234897</v>
      </c>
      <c r="M126" s="1120">
        <f>$H126*CoreData!$F$46</f>
        <v>184.95439521457783</v>
      </c>
      <c r="N126" s="1121">
        <f t="shared" si="22"/>
        <v>7544.0277173629256</v>
      </c>
      <c r="O126" s="1076"/>
      <c r="P126" s="1076"/>
      <c r="Q126" s="1122">
        <f>H126*I126*J126*((Calculations!$D$29)/CoreData!$F$11+(Calculations!$D$31)/CoreData!$F$11*CoreData!$F$23)</f>
        <v>7078.6297635378787</v>
      </c>
      <c r="R126" s="1123">
        <f>H126*I126*J126*((Calculations!$D$35)/CoreData!$F$11)</f>
        <v>117.73162878424651</v>
      </c>
      <c r="S126" s="1124">
        <v>0</v>
      </c>
      <c r="T126" s="1124">
        <v>0</v>
      </c>
      <c r="U126" s="1124">
        <v>0</v>
      </c>
      <c r="V126" s="1124">
        <v>0</v>
      </c>
      <c r="W126" s="1124">
        <v>0</v>
      </c>
      <c r="X126" s="1124">
        <v>0</v>
      </c>
      <c r="Y126" s="1124">
        <v>0</v>
      </c>
      <c r="Z126" s="1124">
        <f t="shared" si="9"/>
        <v>10431.212561900993</v>
      </c>
      <c r="AA126" s="1124"/>
      <c r="AB126" s="1124"/>
      <c r="AC126" s="1123">
        <f>H126*I126*J126*((Calculations!$D$58)/CoreData!$F$11+(Calculations!$D$60)/CoreData!$F$11*CoreData!$F$23)</f>
        <v>1811.8658117724142</v>
      </c>
      <c r="AD126" s="1123">
        <f>H126*I126*J126*((Calculations!$D$62)/CoreData!$F$11)</f>
        <v>40.932970142297997</v>
      </c>
      <c r="AE126" s="1125">
        <f>PS_Survey!$E$3</f>
        <v>0.82099999999999995</v>
      </c>
      <c r="AF126" s="1125">
        <f>PS_Survey!$E$4</f>
        <v>0.91199999999999992</v>
      </c>
      <c r="AG126" s="1124">
        <f>H126*I126*J126*CoreData!$F$7*PS_Survey!$E$5</f>
        <v>546155.67559954326</v>
      </c>
      <c r="AH126" s="1124">
        <f>H126*I126*J126*CoreData!$F$7*(1-CoreData!$F$66)*PS_Survey!$E$6*PS_Survey!$E$7</f>
        <v>244658.96856724666</v>
      </c>
      <c r="AI126" s="1124">
        <f>H126*I126*J126*CoreData!$F$7</f>
        <v>719572.69512456295</v>
      </c>
      <c r="AJ126" s="1123">
        <f>(Q126-AC126)*CoreData!$F$99+(R126-AD126)*CoreData!$F$130</f>
        <v>82.634035830246134</v>
      </c>
      <c r="AK126" s="1124">
        <f>PS_Survey!$E$8</f>
        <v>85</v>
      </c>
      <c r="AL126" s="1124">
        <f t="shared" si="10"/>
        <v>2702.2304493234897</v>
      </c>
      <c r="AM126" s="1123">
        <f>(Q126-AC126)/CoreData!$F$136</f>
        <v>32.480813763585964</v>
      </c>
      <c r="AN126" s="1124"/>
      <c r="AO126" s="1124"/>
      <c r="AP126" s="1123">
        <f t="shared" si="11"/>
        <v>5266.7639517654643</v>
      </c>
      <c r="AQ126" s="1123">
        <f t="shared" si="12"/>
        <v>76.798658641948521</v>
      </c>
      <c r="AR126" s="1125">
        <f t="shared" si="13"/>
        <v>0.82099999999999995</v>
      </c>
      <c r="AS126" s="1125">
        <f t="shared" si="14"/>
        <v>0.91199999999999992</v>
      </c>
      <c r="AT126" s="1123">
        <f t="shared" si="15"/>
        <v>546155.67559954326</v>
      </c>
      <c r="AU126" s="1123">
        <f t="shared" si="16"/>
        <v>244658.96856724666</v>
      </c>
      <c r="AV126" s="1123">
        <f t="shared" si="17"/>
        <v>719572.69512456295</v>
      </c>
      <c r="AW126" s="1123">
        <f t="shared" si="18"/>
        <v>82.634035830246134</v>
      </c>
      <c r="AX126" s="1123">
        <f t="shared" si="19"/>
        <v>85</v>
      </c>
      <c r="AY126" s="1123">
        <f t="shared" si="21"/>
        <v>7544.0277173629256</v>
      </c>
      <c r="AZ126" s="1126">
        <f t="shared" si="20"/>
        <v>32.480813763585964</v>
      </c>
      <c r="BA126" s="1076"/>
      <c r="BB126" s="1082">
        <f>H126*I126*J126*((Calculations!$D$29-Calculations!$D$58)/CoreData!$F$11+(Calculations!$D$31-Calculations!$D$60)/CoreData!$F$11*CoreData!$F$23)</f>
        <v>5266.7639517654643</v>
      </c>
      <c r="BC126" s="1082">
        <f>H126*I126*J126*((Calculations!$D$35-Calculations!$D$62)/CoreData!$F$11)</f>
        <v>76.798658641948506</v>
      </c>
      <c r="BD126" s="1083">
        <f>PS_Survey!$E$3</f>
        <v>0.82099999999999995</v>
      </c>
      <c r="BE126" s="1083">
        <f>PS_Survey!$E$4</f>
        <v>0.91199999999999992</v>
      </c>
      <c r="BF126" s="1084">
        <f>H126*I126*J126*CoreData!$F$7*PS_Survey!$E$5</f>
        <v>546155.67559954326</v>
      </c>
      <c r="BG126" s="1084">
        <f>H126*I126*J126*CoreData!$F$7*(1-CoreData!$F$66)*PS_Survey!$E$6*PS_Survey!$E$7</f>
        <v>244658.96856724666</v>
      </c>
      <c r="BH126" s="1082">
        <f>H126*I126*J126*CoreData!$F$7</f>
        <v>719572.69512456295</v>
      </c>
      <c r="BI126" s="1082">
        <f>BB126*CoreData!$F$99+Units_month!BC126*CoreData!$F$130</f>
        <v>82.634035830246134</v>
      </c>
      <c r="BJ126" s="1085">
        <f>PS_Survey!$E$8</f>
        <v>85</v>
      </c>
      <c r="BK126" s="1086">
        <f t="shared" si="6"/>
        <v>7544.0277173629256</v>
      </c>
      <c r="BL126" s="1082">
        <f>BB126/CoreData!$F$136</f>
        <v>32.480813763585964</v>
      </c>
      <c r="BM126" s="1087"/>
      <c r="BN126" s="1087"/>
      <c r="BO126" s="1087"/>
      <c r="BP126" s="1087"/>
      <c r="BQ126" s="1087"/>
      <c r="BR126" s="1087"/>
      <c r="BS126" s="1087"/>
      <c r="BT126" s="1087"/>
      <c r="BU126" s="1087"/>
      <c r="BV126" s="1087"/>
      <c r="BW126" s="1087"/>
      <c r="BX126" s="1087"/>
      <c r="BY126" s="1087"/>
      <c r="BZ126" s="1087"/>
      <c r="CA126" s="1087"/>
      <c r="CB126" s="1087"/>
      <c r="CC126" s="1087"/>
      <c r="CD126" s="1087"/>
      <c r="CE126" s="1087"/>
      <c r="CF126" s="1087"/>
      <c r="CG126" s="1087"/>
      <c r="CH126" s="1087"/>
      <c r="CI126" s="1087"/>
      <c r="CJ126" s="1087"/>
      <c r="CK126" s="1087"/>
      <c r="CL126" s="1087"/>
      <c r="CM126" s="1087"/>
      <c r="CN126" s="1087"/>
      <c r="CO126" s="1087"/>
      <c r="CP126" s="1087"/>
      <c r="CQ126" s="1087"/>
      <c r="CR126" s="1087"/>
      <c r="CS126" s="1087"/>
      <c r="CT126" s="1087"/>
      <c r="CU126" s="1087"/>
      <c r="CV126" s="1087"/>
      <c r="CW126" s="1087"/>
      <c r="CX126" s="1087"/>
      <c r="CY126" s="1087"/>
      <c r="CZ126" s="1087"/>
      <c r="DA126" s="1087"/>
      <c r="DB126" s="1087"/>
      <c r="DC126" s="1087"/>
      <c r="DD126" s="1087"/>
      <c r="DE126" s="1087"/>
      <c r="DF126" s="1087"/>
      <c r="DG126" s="1087"/>
      <c r="DH126" s="1087"/>
      <c r="DI126" s="1087"/>
      <c r="DJ126" s="1087"/>
      <c r="DK126" s="1087"/>
      <c r="DL126" s="1087"/>
      <c r="DM126" s="1087"/>
      <c r="DN126" s="1087"/>
      <c r="DO126" s="1087"/>
      <c r="DP126" s="1087"/>
      <c r="DQ126" s="1087"/>
      <c r="DR126" s="1087"/>
      <c r="DS126" s="1087"/>
      <c r="DT126" s="1087"/>
      <c r="DU126" s="1087"/>
      <c r="DV126" s="1087"/>
      <c r="DW126" s="1087"/>
      <c r="DX126" s="1087"/>
      <c r="DY126" s="1087"/>
      <c r="DZ126" s="1087"/>
      <c r="EA126" s="1087"/>
      <c r="EB126" s="1087"/>
      <c r="EC126" s="1087"/>
      <c r="ED126" s="1087"/>
      <c r="EE126" s="1087"/>
      <c r="EF126" s="1087"/>
      <c r="EG126" s="1087"/>
      <c r="EH126" s="1087"/>
      <c r="EI126" s="1087"/>
      <c r="EJ126" s="1087"/>
      <c r="EK126" s="1087"/>
      <c r="EL126" s="1087"/>
      <c r="EM126" s="1087"/>
      <c r="EN126" s="1087"/>
      <c r="EO126" s="1087"/>
      <c r="EP126" s="1087"/>
      <c r="EQ126" s="1087"/>
      <c r="ER126" s="1087"/>
      <c r="ES126" s="1087"/>
      <c r="ET126" s="1087"/>
      <c r="EU126" s="1087"/>
      <c r="EV126" s="1087"/>
      <c r="EW126" s="1087"/>
      <c r="EX126" s="1087"/>
      <c r="EY126" s="1087"/>
      <c r="EZ126" s="1087"/>
      <c r="FA126" s="1087"/>
      <c r="FB126" s="1087"/>
      <c r="FC126" s="1087"/>
      <c r="FD126" s="1087"/>
      <c r="FE126" s="1087"/>
      <c r="FF126" s="1087"/>
      <c r="FG126" s="1087"/>
      <c r="FH126" s="1087"/>
      <c r="FI126" s="1087"/>
      <c r="FJ126" s="1087"/>
      <c r="FK126" s="1087"/>
      <c r="FL126" s="1087"/>
      <c r="FM126" s="1087"/>
      <c r="FN126" s="1087"/>
      <c r="FO126" s="1087"/>
    </row>
    <row r="127" spans="1:171">
      <c r="A127" s="557" t="s">
        <v>333</v>
      </c>
      <c r="B127" s="557">
        <f t="shared" si="5"/>
        <v>122</v>
      </c>
      <c r="C127" s="528">
        <v>44197</v>
      </c>
      <c r="D127" s="540">
        <f t="shared" si="4"/>
        <v>44227</v>
      </c>
      <c r="E127" s="771">
        <f>Sale_Data!D98</f>
        <v>4200</v>
      </c>
      <c r="F127" s="772"/>
      <c r="G127" s="773">
        <f t="shared" si="3"/>
        <v>4791</v>
      </c>
      <c r="H127" s="774">
        <f>SUM($E$6:E126)-SUM($F$6:G126)</f>
        <v>187230</v>
      </c>
      <c r="I127" s="775">
        <f>VLOOKUP(A127,'Usage Rate Calc'!$T$7:$U$13,2,0)</f>
        <v>0.84012342119072481</v>
      </c>
      <c r="J127" s="776">
        <f>VLOOKUP(A127,WQ_Test!$A$3:$B$9,2,0)</f>
        <v>0.9</v>
      </c>
      <c r="K127" s="806">
        <f>$H127*CoreData!$F$44*I127*J127</f>
        <v>10733.042472017676</v>
      </c>
      <c r="L127" s="772">
        <f>$H127*CoreData!$F$45*I127*J127</f>
        <v>2780.4202061512642</v>
      </c>
      <c r="M127" s="777">
        <f>$H127*CoreData!$F$46</f>
        <v>188.43156803714001</v>
      </c>
      <c r="N127" s="778">
        <f t="shared" si="22"/>
        <v>7764.1906978292718</v>
      </c>
      <c r="O127" s="862"/>
      <c r="P127" s="862"/>
      <c r="Q127" s="949">
        <f>H127*I127*J127*((Calculations!$D$29)/CoreData!$F$11+(Calculations!$D$31)/CoreData!$F$11*CoreData!$F$23)</f>
        <v>7283.4517986176179</v>
      </c>
      <c r="R127" s="949">
        <f>H127*I127*J127*((Calculations!$D$35)/CoreData!$F$11)</f>
        <v>121.13822477900433</v>
      </c>
      <c r="S127" s="862">
        <v>0</v>
      </c>
      <c r="T127" s="862">
        <v>0</v>
      </c>
      <c r="U127" s="862">
        <v>0</v>
      </c>
      <c r="V127" s="862">
        <v>0</v>
      </c>
      <c r="W127" s="862">
        <v>0</v>
      </c>
      <c r="X127" s="862">
        <v>0</v>
      </c>
      <c r="Y127" s="862">
        <v>0</v>
      </c>
      <c r="Z127" s="862">
        <f t="shared" si="9"/>
        <v>10733.042472017676</v>
      </c>
      <c r="AA127" s="862"/>
      <c r="AB127" s="862"/>
      <c r="AC127" s="949">
        <f>H127*I127*J127*((Calculations!$D$58)/CoreData!$F$11+(Calculations!$D$60)/CoreData!$F$11*CoreData!$F$23)</f>
        <v>1864.2926309811573</v>
      </c>
      <c r="AD127" s="949">
        <f>H127*I127*J127*((Calculations!$D$62)/CoreData!$F$11)</f>
        <v>42.117376521282473</v>
      </c>
      <c r="AE127" s="950">
        <f>PS_Survey!$E$3</f>
        <v>0.82099999999999995</v>
      </c>
      <c r="AF127" s="950">
        <f>PS_Survey!$E$4</f>
        <v>0.91199999999999992</v>
      </c>
      <c r="AG127" s="862">
        <f>H127*I127*J127*CoreData!$F$7*PS_Survey!$E$5</f>
        <v>561958.83534705045</v>
      </c>
      <c r="AH127" s="862">
        <f>H127*I127*J127*CoreData!$F$7*(1-CoreData!$F$66)*PS_Survey!$E$6*PS_Survey!$E$7</f>
        <v>251738.24090051354</v>
      </c>
      <c r="AI127" s="862">
        <f>H127*I127*J127*CoreData!$F$7</f>
        <v>740393.72245988203</v>
      </c>
      <c r="AJ127" s="949">
        <f>(Q127-AC127)*CoreData!$F$99+(R127-AD127)*CoreData!$F$130</f>
        <v>85.025073637137154</v>
      </c>
      <c r="AK127" s="862">
        <f>PS_Survey!$E$8</f>
        <v>85</v>
      </c>
      <c r="AL127" s="862">
        <f t="shared" si="10"/>
        <v>2780.4202061512642</v>
      </c>
      <c r="AM127" s="949">
        <f>(Q127-AC127)/CoreData!$F$136</f>
        <v>33.420654749531053</v>
      </c>
      <c r="AN127" s="862"/>
      <c r="AO127" s="862"/>
      <c r="AP127" s="949">
        <f t="shared" si="11"/>
        <v>5419.1591676364606</v>
      </c>
      <c r="AQ127" s="949">
        <f t="shared" si="12"/>
        <v>79.020848257721866</v>
      </c>
      <c r="AR127" s="950">
        <f t="shared" si="13"/>
        <v>0.82099999999999995</v>
      </c>
      <c r="AS127" s="950">
        <f t="shared" si="14"/>
        <v>0.91199999999999992</v>
      </c>
      <c r="AT127" s="949">
        <f t="shared" si="15"/>
        <v>561958.83534705045</v>
      </c>
      <c r="AU127" s="949">
        <f t="shared" si="16"/>
        <v>251738.24090051354</v>
      </c>
      <c r="AV127" s="949">
        <f t="shared" si="17"/>
        <v>740393.72245988203</v>
      </c>
      <c r="AW127" s="949">
        <f t="shared" si="18"/>
        <v>85.025073637137154</v>
      </c>
      <c r="AX127" s="949">
        <f t="shared" si="19"/>
        <v>85</v>
      </c>
      <c r="AY127" s="949">
        <f t="shared" si="21"/>
        <v>7764.1906978292718</v>
      </c>
      <c r="AZ127" s="949">
        <f t="shared" si="20"/>
        <v>33.420654749531053</v>
      </c>
      <c r="BA127" s="974"/>
      <c r="BB127" s="875">
        <f>H127*I127*J127*((Calculations!$D$29-Calculations!$D$58)/CoreData!$F$11+(Calculations!$D$31-Calculations!$D$60)/CoreData!$F$11*CoreData!$F$23)</f>
        <v>5419.1591676364596</v>
      </c>
      <c r="BC127" s="875">
        <f>H127*I127*J127*((Calculations!$D$35-Calculations!$D$62)/CoreData!$F$11)</f>
        <v>79.020848257721866</v>
      </c>
      <c r="BD127" s="876">
        <f>PS_Survey!$E$3</f>
        <v>0.82099999999999995</v>
      </c>
      <c r="BE127" s="876">
        <f>PS_Survey!$E$4</f>
        <v>0.91199999999999992</v>
      </c>
      <c r="BF127" s="877">
        <f>H127*I127*J127*CoreData!$F$7*PS_Survey!$E$5</f>
        <v>561958.83534705045</v>
      </c>
      <c r="BG127" s="877">
        <f>H127*I127*J127*CoreData!$F$7*(1-CoreData!$F$66)*PS_Survey!$E$6*PS_Survey!$E$7</f>
        <v>251738.24090051354</v>
      </c>
      <c r="BH127" s="875">
        <f>H127*I127*J127*CoreData!$F$7</f>
        <v>740393.72245988203</v>
      </c>
      <c r="BI127" s="875">
        <f>BB127*CoreData!$F$99+Units_month!BC127*CoreData!$F$130</f>
        <v>85.02507363713714</v>
      </c>
      <c r="BJ127" s="878">
        <f>PS_Survey!$E$8</f>
        <v>85</v>
      </c>
      <c r="BK127" s="879">
        <f t="shared" si="6"/>
        <v>7764.1906978292718</v>
      </c>
      <c r="BL127" s="875">
        <f>BB127/CoreData!$F$136</f>
        <v>33.420654749531046</v>
      </c>
    </row>
    <row r="128" spans="1:171">
      <c r="A128" s="557" t="s">
        <v>333</v>
      </c>
      <c r="B128" s="557">
        <f t="shared" si="5"/>
        <v>123</v>
      </c>
      <c r="C128" s="529">
        <v>44228</v>
      </c>
      <c r="D128" s="540">
        <f t="shared" si="4"/>
        <v>44255</v>
      </c>
      <c r="E128" s="599">
        <f>Sale_Data!D99</f>
        <v>4200</v>
      </c>
      <c r="F128" s="541"/>
      <c r="G128" s="326">
        <f t="shared" si="3"/>
        <v>3840</v>
      </c>
      <c r="H128" s="610">
        <f>SUM($E$6:E127)-SUM($F$6:G127)</f>
        <v>186639</v>
      </c>
      <c r="I128" s="623">
        <f>VLOOKUP(A128,'Usage Rate Calc'!$T$7:$U$13,2,0)</f>
        <v>0.84012342119072481</v>
      </c>
      <c r="J128" s="624">
        <f>VLOOKUP(A128,WQ_Test!$A$3:$B$9,2,0)</f>
        <v>0.9</v>
      </c>
      <c r="K128" s="804">
        <f>$H128*CoreData!$F$44*I128*J128</f>
        <v>10699.16313590187</v>
      </c>
      <c r="L128" s="541">
        <f>$H128*CoreData!$F$45*I128*J128</f>
        <v>2771.6436834688129</v>
      </c>
      <c r="M128" s="576">
        <f>$H128*CoreData!$F$46</f>
        <v>187.83677523304905</v>
      </c>
      <c r="N128" s="761">
        <f t="shared" si="22"/>
        <v>7739.6826772000086</v>
      </c>
      <c r="O128" s="862"/>
      <c r="P128" s="862"/>
      <c r="Q128" s="949">
        <f>H128*I128*J128*((Calculations!$D$29)/CoreData!$F$11+(Calculations!$D$31)/CoreData!$F$11*CoreData!$F$23)</f>
        <v>7260.461252161479</v>
      </c>
      <c r="R128" s="949">
        <f>H128*I128*J128*((Calculations!$D$35)/CoreData!$F$11)</f>
        <v>120.75584646973557</v>
      </c>
      <c r="S128" s="862">
        <v>0</v>
      </c>
      <c r="T128" s="862">
        <v>0</v>
      </c>
      <c r="U128" s="862">
        <v>0</v>
      </c>
      <c r="V128" s="862">
        <v>0</v>
      </c>
      <c r="W128" s="862">
        <v>0</v>
      </c>
      <c r="X128" s="862">
        <v>0</v>
      </c>
      <c r="Y128" s="862">
        <v>0</v>
      </c>
      <c r="Z128" s="862">
        <f t="shared" si="9"/>
        <v>10699.16313590187</v>
      </c>
      <c r="AA128" s="862"/>
      <c r="AB128" s="862"/>
      <c r="AC128" s="949">
        <f>H128*I128*J128*((Calculations!$D$58)/CoreData!$F$11+(Calculations!$D$60)/CoreData!$F$11*CoreData!$F$23)</f>
        <v>1858.4079066052036</v>
      </c>
      <c r="AD128" s="949">
        <f>H128*I128*J128*((Calculations!$D$62)/CoreData!$F$11)</f>
        <v>41.984431109093848</v>
      </c>
      <c r="AE128" s="950">
        <f>PS_Survey!$E$3</f>
        <v>0.82099999999999995</v>
      </c>
      <c r="AF128" s="950">
        <f>PS_Survey!$E$4</f>
        <v>0.91199999999999992</v>
      </c>
      <c r="AG128" s="862">
        <f>H128*I128*J128*CoreData!$F$7*PS_Survey!$E$5</f>
        <v>560184.98675606563</v>
      </c>
      <c r="AH128" s="862">
        <f>H128*I128*J128*CoreData!$F$7*(1-CoreData!$F$66)*PS_Survey!$E$6*PS_Survey!$E$7</f>
        <v>250943.61770779765</v>
      </c>
      <c r="AI128" s="862">
        <f>H128*I128*J128*CoreData!$F$7</f>
        <v>738056.63604224718</v>
      </c>
      <c r="AJ128" s="949">
        <f>(Q128-AC128)*CoreData!$F$99+(R128-AD128)*CoreData!$F$130</f>
        <v>84.756688129902486</v>
      </c>
      <c r="AK128" s="862">
        <f>PS_Survey!$E$8</f>
        <v>85</v>
      </c>
      <c r="AL128" s="862">
        <f t="shared" si="10"/>
        <v>2771.6436834688129</v>
      </c>
      <c r="AM128" s="949">
        <f>(Q128-AC128)/CoreData!$F$136</f>
        <v>33.315160934667134</v>
      </c>
      <c r="AN128" s="862"/>
      <c r="AO128" s="862"/>
      <c r="AP128" s="949">
        <f t="shared" si="11"/>
        <v>5402.0533455562754</v>
      </c>
      <c r="AQ128" s="949">
        <f t="shared" si="12"/>
        <v>78.771415360641726</v>
      </c>
      <c r="AR128" s="950">
        <f t="shared" si="13"/>
        <v>0.82099999999999995</v>
      </c>
      <c r="AS128" s="950">
        <f t="shared" si="14"/>
        <v>0.91199999999999992</v>
      </c>
      <c r="AT128" s="949">
        <f t="shared" si="15"/>
        <v>560184.98675606563</v>
      </c>
      <c r="AU128" s="949">
        <f t="shared" si="16"/>
        <v>250943.61770779765</v>
      </c>
      <c r="AV128" s="949">
        <f t="shared" si="17"/>
        <v>738056.63604224718</v>
      </c>
      <c r="AW128" s="949">
        <f t="shared" si="18"/>
        <v>84.756688129902486</v>
      </c>
      <c r="AX128" s="949">
        <f t="shared" si="19"/>
        <v>85</v>
      </c>
      <c r="AY128" s="949">
        <f t="shared" si="21"/>
        <v>7739.6826772000086</v>
      </c>
      <c r="AZ128" s="949">
        <f t="shared" si="20"/>
        <v>33.315160934667134</v>
      </c>
      <c r="BA128" s="974"/>
      <c r="BB128" s="875">
        <f>H128*I128*J128*((Calculations!$D$29-Calculations!$D$58)/CoreData!$F$11+(Calculations!$D$31-Calculations!$D$60)/CoreData!$F$11*CoreData!$F$23)</f>
        <v>5402.0533455562745</v>
      </c>
      <c r="BC128" s="875">
        <f>H128*I128*J128*((Calculations!$D$35-Calculations!$D$62)/CoreData!$F$11)</f>
        <v>78.77141536064174</v>
      </c>
      <c r="BD128" s="876">
        <f>PS_Survey!$E$3</f>
        <v>0.82099999999999995</v>
      </c>
      <c r="BE128" s="876">
        <f>PS_Survey!$E$4</f>
        <v>0.91199999999999992</v>
      </c>
      <c r="BF128" s="877">
        <f>H128*I128*J128*CoreData!$F$7*PS_Survey!$E$5</f>
        <v>560184.98675606563</v>
      </c>
      <c r="BG128" s="877">
        <f>H128*I128*J128*CoreData!$F$7*(1-CoreData!$F$66)*PS_Survey!$E$6*PS_Survey!$E$7</f>
        <v>250943.61770779765</v>
      </c>
      <c r="BH128" s="875">
        <f>H128*I128*J128*CoreData!$F$7</f>
        <v>738056.63604224718</v>
      </c>
      <c r="BI128" s="875">
        <f>BB128*CoreData!$F$99+Units_month!BC128*CoreData!$F$130</f>
        <v>84.756688129902471</v>
      </c>
      <c r="BJ128" s="878">
        <f>PS_Survey!$E$8</f>
        <v>85</v>
      </c>
      <c r="BK128" s="879">
        <f t="shared" si="6"/>
        <v>7739.6826772000086</v>
      </c>
      <c r="BL128" s="875">
        <f>BB128/CoreData!$F$136</f>
        <v>33.315160934667126</v>
      </c>
    </row>
    <row r="129" spans="1:171">
      <c r="A129" s="557" t="s">
        <v>333</v>
      </c>
      <c r="B129" s="557">
        <f t="shared" si="5"/>
        <v>124</v>
      </c>
      <c r="C129" s="528">
        <v>44256</v>
      </c>
      <c r="D129" s="540">
        <f t="shared" si="4"/>
        <v>44286</v>
      </c>
      <c r="E129" s="599">
        <f>Sale_Data!D100</f>
        <v>3500</v>
      </c>
      <c r="F129" s="541"/>
      <c r="G129" s="326">
        <f t="shared" si="3"/>
        <v>3079</v>
      </c>
      <c r="H129" s="610">
        <f>SUM($E$6:E128)-SUM($F$6:G128)</f>
        <v>186999</v>
      </c>
      <c r="I129" s="623">
        <f>VLOOKUP(A129,'Usage Rate Calc'!$T$7:$U$13,2,0)</f>
        <v>0.84012342119072481</v>
      </c>
      <c r="J129" s="624">
        <f>VLOOKUP(A129,WQ_Test!$A$3:$B$9,2,0)</f>
        <v>0.9</v>
      </c>
      <c r="K129" s="804">
        <f>$H129*CoreData!$F$44*I129*J129</f>
        <v>10719.800294957184</v>
      </c>
      <c r="L129" s="541">
        <f>$H129*CoreData!$F$45*I129*J129</f>
        <v>2776.9897886560934</v>
      </c>
      <c r="M129" s="576">
        <f>$H129*CoreData!$F$46</f>
        <v>188.19908557056641</v>
      </c>
      <c r="N129" s="761">
        <f t="shared" si="22"/>
        <v>7754.6114207305236</v>
      </c>
      <c r="O129" s="862"/>
      <c r="P129" s="862"/>
      <c r="Q129" s="949">
        <f>H129*I129*J129*((Calculations!$D$29)/CoreData!$F$11+(Calculations!$D$31)/CoreData!$F$11*CoreData!$F$23)</f>
        <v>7274.4656459418693</v>
      </c>
      <c r="R129" s="949">
        <f>H129*I129*J129*((Calculations!$D$35)/CoreData!$F$11)</f>
        <v>120.98876726725972</v>
      </c>
      <c r="S129" s="862">
        <v>0</v>
      </c>
      <c r="T129" s="862">
        <v>0</v>
      </c>
      <c r="U129" s="862">
        <v>0</v>
      </c>
      <c r="V129" s="862">
        <v>0</v>
      </c>
      <c r="W129" s="862">
        <v>0</v>
      </c>
      <c r="X129" s="862">
        <v>0</v>
      </c>
      <c r="Y129" s="862">
        <v>0</v>
      </c>
      <c r="Z129" s="862">
        <f t="shared" si="9"/>
        <v>10719.800294957184</v>
      </c>
      <c r="AA129" s="862"/>
      <c r="AB129" s="862"/>
      <c r="AC129" s="949">
        <f>H129*I129*J129*((Calculations!$D$58)/CoreData!$F$11+(Calculations!$D$60)/CoreData!$F$11*CoreData!$F$23)</f>
        <v>1861.9925102859879</v>
      </c>
      <c r="AD129" s="949">
        <f>H129*I129*J129*((Calculations!$D$62)/CoreData!$F$11)</f>
        <v>42.065413086061547</v>
      </c>
      <c r="AE129" s="950">
        <f>PS_Survey!$E$3</f>
        <v>0.82099999999999995</v>
      </c>
      <c r="AF129" s="950">
        <f>PS_Survey!$E$4</f>
        <v>0.91199999999999992</v>
      </c>
      <c r="AG129" s="862">
        <f>H129*I129*J129*CoreData!$F$7*PS_Survey!$E$5</f>
        <v>561265.50366427982</v>
      </c>
      <c r="AH129" s="862">
        <f>H129*I129*J129*CoreData!$F$7*(1-CoreData!$F$66)*PS_Survey!$E$6*PS_Survey!$E$7</f>
        <v>251427.6521399089</v>
      </c>
      <c r="AI129" s="862">
        <f>H129*I129*J129*CoreData!$F$7</f>
        <v>739480.24198192335</v>
      </c>
      <c r="AJ129" s="949">
        <f>(Q129-AC129)*CoreData!$F$99+(R129-AD129)*CoreData!$F$130</f>
        <v>84.920171687608885</v>
      </c>
      <c r="AK129" s="862">
        <f>PS_Survey!$E$8</f>
        <v>85</v>
      </c>
      <c r="AL129" s="862">
        <f t="shared" si="10"/>
        <v>2776.9897886560934</v>
      </c>
      <c r="AM129" s="949">
        <f>(Q129-AC129)/CoreData!$F$136</f>
        <v>33.379421126462418</v>
      </c>
      <c r="AN129" s="862"/>
      <c r="AO129" s="862"/>
      <c r="AP129" s="949">
        <f t="shared" si="11"/>
        <v>5412.4731356558814</v>
      </c>
      <c r="AQ129" s="949">
        <f t="shared" si="12"/>
        <v>78.923354181198164</v>
      </c>
      <c r="AR129" s="950">
        <f t="shared" si="13"/>
        <v>0.82099999999999995</v>
      </c>
      <c r="AS129" s="950">
        <f t="shared" si="14"/>
        <v>0.91199999999999992</v>
      </c>
      <c r="AT129" s="949">
        <f t="shared" si="15"/>
        <v>561265.50366427982</v>
      </c>
      <c r="AU129" s="949">
        <f t="shared" si="16"/>
        <v>251427.6521399089</v>
      </c>
      <c r="AV129" s="949">
        <f t="shared" si="17"/>
        <v>739480.24198192335</v>
      </c>
      <c r="AW129" s="949">
        <f t="shared" si="18"/>
        <v>84.920171687608885</v>
      </c>
      <c r="AX129" s="949">
        <f t="shared" si="19"/>
        <v>85</v>
      </c>
      <c r="AY129" s="949">
        <f t="shared" si="21"/>
        <v>7754.6114207305236</v>
      </c>
      <c r="AZ129" s="949">
        <f t="shared" si="20"/>
        <v>33.379421126462418</v>
      </c>
      <c r="BA129" s="974"/>
      <c r="BB129" s="875">
        <f>H129*I129*J129*((Calculations!$D$29-Calculations!$D$58)/CoreData!$F$11+(Calculations!$D$31-Calculations!$D$60)/CoreData!$F$11*CoreData!$F$23)</f>
        <v>5412.4731356558805</v>
      </c>
      <c r="BC129" s="875">
        <f>H129*I129*J129*((Calculations!$D$35-Calculations!$D$62)/CoreData!$F$11)</f>
        <v>78.923354181198178</v>
      </c>
      <c r="BD129" s="876">
        <f>PS_Survey!$E$3</f>
        <v>0.82099999999999995</v>
      </c>
      <c r="BE129" s="876">
        <f>PS_Survey!$E$4</f>
        <v>0.91199999999999992</v>
      </c>
      <c r="BF129" s="877">
        <f>H129*I129*J129*CoreData!$F$7*PS_Survey!$E$5</f>
        <v>561265.50366427982</v>
      </c>
      <c r="BG129" s="877">
        <f>H129*I129*J129*CoreData!$F$7*(1-CoreData!$F$66)*PS_Survey!$E$6*PS_Survey!$E$7</f>
        <v>251427.6521399089</v>
      </c>
      <c r="BH129" s="875">
        <f>H129*I129*J129*CoreData!$F$7</f>
        <v>739480.24198192335</v>
      </c>
      <c r="BI129" s="875">
        <f>BB129*CoreData!$F$99+Units_month!BC129*CoreData!$F$130</f>
        <v>84.920171687608871</v>
      </c>
      <c r="BJ129" s="878">
        <f>PS_Survey!$E$8</f>
        <v>85</v>
      </c>
      <c r="BK129" s="879">
        <f t="shared" si="6"/>
        <v>7754.6114207305236</v>
      </c>
      <c r="BL129" s="875">
        <f>BB129/CoreData!$F$136</f>
        <v>33.379421126462411</v>
      </c>
    </row>
    <row r="130" spans="1:171" s="492" customFormat="1">
      <c r="A130" s="557" t="s">
        <v>333</v>
      </c>
      <c r="B130" s="557">
        <f t="shared" si="5"/>
        <v>125</v>
      </c>
      <c r="C130" s="529">
        <v>44287</v>
      </c>
      <c r="D130" s="540">
        <f t="shared" si="4"/>
        <v>44316</v>
      </c>
      <c r="E130" s="599">
        <f>Sale_Data!D101</f>
        <v>2800</v>
      </c>
      <c r="F130" s="541"/>
      <c r="G130" s="326">
        <f t="shared" si="3"/>
        <v>4861</v>
      </c>
      <c r="H130" s="610">
        <f>SUM($E$6:E129)-SUM($F$6:G129)</f>
        <v>187420</v>
      </c>
      <c r="I130" s="623">
        <f>VLOOKUP(A130,'Usage Rate Calc'!$T$7:$U$13,2,0)</f>
        <v>0.84012342119072481</v>
      </c>
      <c r="J130" s="624">
        <f>VLOOKUP(A130,WQ_Test!$A$3:$B$9,2,0)</f>
        <v>0.9</v>
      </c>
      <c r="K130" s="804">
        <f>$H130*CoreData!$F$44*I130*J130</f>
        <v>10743.934305963536</v>
      </c>
      <c r="L130" s="541">
        <f>$H130*CoreData!$F$45*I130*J130</f>
        <v>2783.2417616667735</v>
      </c>
      <c r="M130" s="576">
        <f>$H130*CoreData!$F$46</f>
        <v>188.62278738194084</v>
      </c>
      <c r="N130" s="761">
        <f t="shared" si="22"/>
        <v>7772.0697569148215</v>
      </c>
      <c r="O130" s="862"/>
      <c r="P130" s="862"/>
      <c r="Q130" s="949">
        <f>H130*I130*J130*((Calculations!$D$29)/CoreData!$F$11+(Calculations!$D$31)/CoreData!$F$11*CoreData!$F$23)</f>
        <v>7290.8430064461563</v>
      </c>
      <c r="R130" s="949">
        <f>H130*I130*J130*((Calculations!$D$35)/CoreData!$F$11)</f>
        <v>121.26115519991984</v>
      </c>
      <c r="S130" s="862">
        <v>0</v>
      </c>
      <c r="T130" s="862">
        <v>0</v>
      </c>
      <c r="U130" s="862">
        <v>0</v>
      </c>
      <c r="V130" s="862">
        <v>0</v>
      </c>
      <c r="W130" s="862">
        <v>0</v>
      </c>
      <c r="X130" s="862">
        <v>0</v>
      </c>
      <c r="Y130" s="862">
        <v>0</v>
      </c>
      <c r="Z130" s="862">
        <f t="shared" si="9"/>
        <v>10743.934305963536</v>
      </c>
      <c r="AA130" s="862"/>
      <c r="AB130" s="862"/>
      <c r="AC130" s="949">
        <f>H130*I130*J130*((Calculations!$D$58)/CoreData!$F$11+(Calculations!$D$60)/CoreData!$F$11*CoreData!$F$23)</f>
        <v>1866.1845051460157</v>
      </c>
      <c r="AD130" s="949">
        <f>H130*I130*J130*((Calculations!$D$62)/CoreData!$F$11)</f>
        <v>42.160117009126537</v>
      </c>
      <c r="AE130" s="950">
        <f>PS_Survey!$E$3</f>
        <v>0.82099999999999995</v>
      </c>
      <c r="AF130" s="950">
        <f>PS_Survey!$E$4</f>
        <v>0.91199999999999992</v>
      </c>
      <c r="AG130" s="862">
        <f>H130*I130*J130*CoreData!$F$7*PS_Survey!$E$5</f>
        <v>562529.10815971904</v>
      </c>
      <c r="AH130" s="862">
        <f>H130*I130*J130*CoreData!$F$7*(1-CoreData!$F$66)*PS_Survey!$E$6*PS_Survey!$E$7</f>
        <v>251993.70351746111</v>
      </c>
      <c r="AI130" s="862">
        <f>H130*I130*J130*CoreData!$F$7</f>
        <v>741145.07003915554</v>
      </c>
      <c r="AJ130" s="949">
        <f>(Q130-AC130)*CoreData!$F$99+(R130-AD130)*CoreData!$F$130</f>
        <v>85.111356625926618</v>
      </c>
      <c r="AK130" s="862">
        <f>PS_Survey!$E$8</f>
        <v>85</v>
      </c>
      <c r="AL130" s="862">
        <f t="shared" si="10"/>
        <v>2783.2417616667735</v>
      </c>
      <c r="AM130" s="949">
        <f>(Q130-AC130)/CoreData!$F$136</f>
        <v>33.454569850756336</v>
      </c>
      <c r="AN130" s="862"/>
      <c r="AO130" s="862"/>
      <c r="AP130" s="949">
        <f t="shared" si="11"/>
        <v>5424.6585013001404</v>
      </c>
      <c r="AQ130" s="949">
        <f t="shared" si="12"/>
        <v>79.101038190793304</v>
      </c>
      <c r="AR130" s="950">
        <f t="shared" si="13"/>
        <v>0.82099999999999995</v>
      </c>
      <c r="AS130" s="950">
        <f t="shared" si="14"/>
        <v>0.91199999999999992</v>
      </c>
      <c r="AT130" s="949">
        <f t="shared" si="15"/>
        <v>562529.10815971904</v>
      </c>
      <c r="AU130" s="949">
        <f t="shared" si="16"/>
        <v>251993.70351746111</v>
      </c>
      <c r="AV130" s="949">
        <f t="shared" si="17"/>
        <v>741145.07003915554</v>
      </c>
      <c r="AW130" s="949">
        <f t="shared" si="18"/>
        <v>85.111356625926618</v>
      </c>
      <c r="AX130" s="949">
        <f t="shared" si="19"/>
        <v>85</v>
      </c>
      <c r="AY130" s="949">
        <f t="shared" si="21"/>
        <v>7772.0697569148215</v>
      </c>
      <c r="AZ130" s="949">
        <f t="shared" si="20"/>
        <v>33.454569850756336</v>
      </c>
      <c r="BA130" s="974"/>
      <c r="BB130" s="875">
        <f>H130*I130*J130*((Calculations!$D$29-Calculations!$D$58)/CoreData!$F$11+(Calculations!$D$31-Calculations!$D$60)/CoreData!$F$11*CoreData!$F$23)</f>
        <v>5424.6585013001404</v>
      </c>
      <c r="BC130" s="875">
        <f>H130*I130*J130*((Calculations!$D$35-Calculations!$D$62)/CoreData!$F$11)</f>
        <v>79.101038190793304</v>
      </c>
      <c r="BD130" s="876">
        <f>PS_Survey!$E$3</f>
        <v>0.82099999999999995</v>
      </c>
      <c r="BE130" s="876">
        <f>PS_Survey!$E$4</f>
        <v>0.91199999999999992</v>
      </c>
      <c r="BF130" s="877">
        <f>H130*I130*J130*CoreData!$F$7*PS_Survey!$E$5</f>
        <v>562529.10815971904</v>
      </c>
      <c r="BG130" s="877">
        <f>H130*I130*J130*CoreData!$F$7*(1-CoreData!$F$66)*PS_Survey!$E$6*PS_Survey!$E$7</f>
        <v>251993.70351746111</v>
      </c>
      <c r="BH130" s="875">
        <f>H130*I130*J130*CoreData!$F$7</f>
        <v>741145.07003915554</v>
      </c>
      <c r="BI130" s="875">
        <f>BB130*CoreData!$F$99+Units_month!BC130*CoreData!$F$130</f>
        <v>85.111356625926618</v>
      </c>
      <c r="BJ130" s="878">
        <f>PS_Survey!$E$8</f>
        <v>85</v>
      </c>
      <c r="BK130" s="879">
        <f t="shared" si="6"/>
        <v>7772.0697569148215</v>
      </c>
      <c r="BL130" s="875">
        <f>BB130/CoreData!$F$136</f>
        <v>33.454569850756336</v>
      </c>
      <c r="BM130" s="538"/>
      <c r="BN130" s="538"/>
      <c r="BO130" s="538"/>
      <c r="BP130" s="863"/>
      <c r="BQ130" s="863"/>
      <c r="BR130" s="863"/>
      <c r="BS130" s="863"/>
      <c r="BT130" s="863"/>
      <c r="BU130" s="863"/>
      <c r="BV130" s="863"/>
      <c r="BW130" s="863"/>
      <c r="BX130" s="863"/>
      <c r="BY130" s="863"/>
      <c r="BZ130" s="863"/>
      <c r="CA130" s="863"/>
      <c r="CB130" s="863"/>
      <c r="CC130" s="863"/>
      <c r="CD130" s="863"/>
      <c r="CE130" s="863"/>
      <c r="CF130" s="863"/>
      <c r="CG130" s="863"/>
      <c r="CH130" s="863"/>
      <c r="CI130" s="863"/>
      <c r="CJ130" s="863"/>
      <c r="CK130" s="863"/>
      <c r="CL130" s="863"/>
      <c r="CM130" s="863"/>
      <c r="CN130" s="863"/>
      <c r="CO130" s="863"/>
      <c r="CP130" s="863"/>
      <c r="CQ130" s="863"/>
      <c r="CR130" s="863"/>
      <c r="CS130" s="863"/>
      <c r="CT130" s="863"/>
      <c r="CU130" s="863"/>
      <c r="CV130" s="863"/>
      <c r="CW130" s="863"/>
      <c r="CX130" s="863"/>
      <c r="CY130" s="863"/>
      <c r="CZ130" s="863"/>
      <c r="DA130" s="863"/>
      <c r="DB130" s="863"/>
      <c r="DC130" s="863"/>
      <c r="DD130" s="863"/>
      <c r="DE130" s="863"/>
      <c r="DF130" s="863"/>
      <c r="DG130" s="863"/>
      <c r="DH130" s="863"/>
      <c r="DI130" s="863"/>
      <c r="DJ130" s="863"/>
      <c r="DK130" s="863"/>
      <c r="DL130" s="863"/>
      <c r="DM130" s="863"/>
      <c r="DN130" s="863"/>
      <c r="DO130" s="863"/>
      <c r="DP130" s="863"/>
      <c r="DQ130" s="863"/>
      <c r="DR130" s="863"/>
      <c r="DS130" s="863"/>
      <c r="DT130" s="863"/>
      <c r="DU130" s="863"/>
      <c r="DV130" s="863"/>
      <c r="DW130" s="863"/>
      <c r="DX130" s="863"/>
      <c r="DY130" s="863"/>
      <c r="DZ130" s="863"/>
      <c r="EA130" s="863"/>
      <c r="EB130" s="863"/>
      <c r="EC130" s="863"/>
      <c r="ED130" s="863"/>
      <c r="EE130" s="863"/>
      <c r="EF130" s="863"/>
      <c r="EG130" s="863"/>
      <c r="EH130" s="863"/>
      <c r="EI130" s="863"/>
      <c r="EJ130" s="863"/>
      <c r="EK130" s="863"/>
      <c r="EL130" s="863"/>
      <c r="EM130" s="863"/>
      <c r="EN130" s="863"/>
      <c r="EO130" s="863"/>
      <c r="EP130" s="863"/>
      <c r="EQ130" s="863"/>
      <c r="ER130" s="863"/>
      <c r="ES130" s="863"/>
      <c r="ET130" s="863"/>
      <c r="EU130" s="863"/>
      <c r="EV130" s="863"/>
      <c r="EW130" s="863"/>
      <c r="EX130" s="863"/>
      <c r="EY130" s="863"/>
      <c r="EZ130" s="863"/>
      <c r="FA130" s="863"/>
      <c r="FB130" s="863"/>
      <c r="FC130" s="863"/>
      <c r="FD130" s="863"/>
      <c r="FE130" s="863"/>
      <c r="FF130" s="863"/>
      <c r="FG130" s="863"/>
      <c r="FH130" s="863"/>
      <c r="FI130" s="863"/>
      <c r="FJ130" s="863"/>
      <c r="FK130" s="863"/>
      <c r="FL130" s="863"/>
      <c r="FM130" s="863"/>
      <c r="FN130" s="863"/>
      <c r="FO130" s="863"/>
    </row>
    <row r="131" spans="1:171">
      <c r="A131" s="557" t="s">
        <v>333</v>
      </c>
      <c r="B131" s="557">
        <f t="shared" si="5"/>
        <v>126</v>
      </c>
      <c r="C131" s="529">
        <v>44317</v>
      </c>
      <c r="D131" s="540">
        <f t="shared" si="4"/>
        <v>44347</v>
      </c>
      <c r="E131" s="599">
        <f>Sale_Data!D102</f>
        <v>3000</v>
      </c>
      <c r="F131" s="541"/>
      <c r="G131" s="326">
        <f t="shared" si="3"/>
        <v>6614</v>
      </c>
      <c r="H131" s="610">
        <f>SUM($E$6:E130)-SUM($F$6:G130)</f>
        <v>185359</v>
      </c>
      <c r="I131" s="623">
        <f>VLOOKUP(A131,'Usage Rate Calc'!$T$7:$U$13,2,0)</f>
        <v>0.84012342119072481</v>
      </c>
      <c r="J131" s="624">
        <f>VLOOKUP(A131,WQ_Test!$A$3:$B$9,2,0)</f>
        <v>0.9</v>
      </c>
      <c r="K131" s="804">
        <f>$H131*CoreData!$F$44*I131*J131</f>
        <v>10625.786570371865</v>
      </c>
      <c r="L131" s="541">
        <f>$H131*CoreData!$F$45*I131*J131</f>
        <v>2752.6353094695946</v>
      </c>
      <c r="M131" s="576">
        <f>$H131*CoreData!$F$46</f>
        <v>186.5485606996541</v>
      </c>
      <c r="N131" s="761">
        <f t="shared" si="22"/>
        <v>7686.6027002026158</v>
      </c>
      <c r="O131" s="862"/>
      <c r="P131" s="862"/>
      <c r="Q131" s="949">
        <f>H131*I131*J131*((Calculations!$D$29)/CoreData!$F$11+(Calculations!$D$31)/CoreData!$F$11*CoreData!$F$23)</f>
        <v>7210.667852053426</v>
      </c>
      <c r="R131" s="949">
        <f>H131*I131*J131*((Calculations!$D$35)/CoreData!$F$11)</f>
        <v>119.92768363409424</v>
      </c>
      <c r="S131" s="862">
        <v>0</v>
      </c>
      <c r="T131" s="862">
        <v>0</v>
      </c>
      <c r="U131" s="862">
        <v>0</v>
      </c>
      <c r="V131" s="862">
        <v>0</v>
      </c>
      <c r="W131" s="862">
        <v>0</v>
      </c>
      <c r="X131" s="862">
        <v>0</v>
      </c>
      <c r="Y131" s="862">
        <v>0</v>
      </c>
      <c r="Z131" s="862">
        <f t="shared" si="9"/>
        <v>10625.786570371865</v>
      </c>
      <c r="AA131" s="862"/>
      <c r="AB131" s="862"/>
      <c r="AC131" s="949">
        <f>H131*I131*J131*((Calculations!$D$58)/CoreData!$F$11+(Calculations!$D$60)/CoreData!$F$11*CoreData!$F$23)</f>
        <v>1845.6626490735264</v>
      </c>
      <c r="AD131" s="949">
        <f>H131*I131*J131*((Calculations!$D$62)/CoreData!$F$11)</f>
        <v>41.696495190986482</v>
      </c>
      <c r="AE131" s="950">
        <f>PS_Survey!$E$3</f>
        <v>0.82099999999999995</v>
      </c>
      <c r="AF131" s="950">
        <f>PS_Survey!$E$4</f>
        <v>0.91199999999999992</v>
      </c>
      <c r="AG131" s="862">
        <f>H131*I131*J131*CoreData!$F$7*PS_Survey!$E$5</f>
        <v>556343.14886019297</v>
      </c>
      <c r="AH131" s="862">
        <f>H131*I131*J131*CoreData!$F$7*(1-CoreData!$F$66)*PS_Survey!$E$6*PS_Survey!$E$7</f>
        <v>249222.60639362436</v>
      </c>
      <c r="AI131" s="862">
        <f>H131*I131*J131*CoreData!$F$7</f>
        <v>732994.92603450979</v>
      </c>
      <c r="AJ131" s="949">
        <f>(Q131-AC131)*CoreData!$F$99+(R131-AD131)*CoreData!$F$130</f>
        <v>84.175413258057489</v>
      </c>
      <c r="AK131" s="862">
        <f>PS_Survey!$E$8</f>
        <v>85</v>
      </c>
      <c r="AL131" s="862">
        <f t="shared" si="10"/>
        <v>2752.6353094695946</v>
      </c>
      <c r="AM131" s="949">
        <f>(Q131-AC131)/CoreData!$F$136</f>
        <v>33.086680252728335</v>
      </c>
      <c r="AN131" s="862"/>
      <c r="AO131" s="862"/>
      <c r="AP131" s="949">
        <f t="shared" si="11"/>
        <v>5365.0052029798999</v>
      </c>
      <c r="AQ131" s="949">
        <f t="shared" si="12"/>
        <v>78.231188443107754</v>
      </c>
      <c r="AR131" s="950">
        <f t="shared" si="13"/>
        <v>0.82099999999999995</v>
      </c>
      <c r="AS131" s="950">
        <f t="shared" si="14"/>
        <v>0.91199999999999992</v>
      </c>
      <c r="AT131" s="949">
        <f t="shared" si="15"/>
        <v>556343.14886019297</v>
      </c>
      <c r="AU131" s="949">
        <f t="shared" si="16"/>
        <v>249222.60639362436</v>
      </c>
      <c r="AV131" s="949">
        <f t="shared" si="17"/>
        <v>732994.92603450979</v>
      </c>
      <c r="AW131" s="949">
        <f t="shared" si="18"/>
        <v>84.175413258057489</v>
      </c>
      <c r="AX131" s="949">
        <f t="shared" si="19"/>
        <v>85</v>
      </c>
      <c r="AY131" s="949">
        <f t="shared" si="21"/>
        <v>7686.6027002026158</v>
      </c>
      <c r="AZ131" s="949">
        <f t="shared" si="20"/>
        <v>33.086680252728335</v>
      </c>
      <c r="BA131" s="974"/>
      <c r="BB131" s="875">
        <f>H131*I131*J131*((Calculations!$D$29-Calculations!$D$58)/CoreData!$F$11+(Calculations!$D$31-Calculations!$D$60)/CoreData!$F$11*CoreData!$F$23)</f>
        <v>5365.005202979899</v>
      </c>
      <c r="BC131" s="875">
        <f>H131*I131*J131*((Calculations!$D$35-Calculations!$D$62)/CoreData!$F$11)</f>
        <v>78.231188443107769</v>
      </c>
      <c r="BD131" s="876">
        <f>PS_Survey!$E$3</f>
        <v>0.82099999999999995</v>
      </c>
      <c r="BE131" s="876">
        <f>PS_Survey!$E$4</f>
        <v>0.91199999999999992</v>
      </c>
      <c r="BF131" s="877">
        <f>H131*I131*J131*CoreData!$F$7*PS_Survey!$E$5</f>
        <v>556343.14886019297</v>
      </c>
      <c r="BG131" s="877">
        <f>H131*I131*J131*CoreData!$F$7*(1-CoreData!$F$66)*PS_Survey!$E$6*PS_Survey!$E$7</f>
        <v>249222.60639362436</v>
      </c>
      <c r="BH131" s="875">
        <f>H131*I131*J131*CoreData!$F$7</f>
        <v>732994.92603450979</v>
      </c>
      <c r="BI131" s="875">
        <f>BB131*CoreData!$F$99+Units_month!BC131*CoreData!$F$130</f>
        <v>84.175413258057475</v>
      </c>
      <c r="BJ131" s="878">
        <f>PS_Survey!$E$8</f>
        <v>85</v>
      </c>
      <c r="BK131" s="879">
        <f t="shared" si="6"/>
        <v>7686.6027002026158</v>
      </c>
      <c r="BL131" s="875">
        <f>BB131/CoreData!$F$136</f>
        <v>33.086680252728328</v>
      </c>
    </row>
    <row r="132" spans="1:171">
      <c r="A132" s="557" t="s">
        <v>333</v>
      </c>
      <c r="B132" s="557">
        <f t="shared" si="5"/>
        <v>127</v>
      </c>
      <c r="C132" s="528">
        <v>44348</v>
      </c>
      <c r="D132" s="540">
        <f t="shared" si="4"/>
        <v>44377</v>
      </c>
      <c r="E132" s="599">
        <f>Sale_Data!D103</f>
        <v>3200</v>
      </c>
      <c r="F132" s="541"/>
      <c r="G132" s="326">
        <f t="shared" ref="G132:G173" si="23">IF(B132&gt;=60,INDEX($B$6:$E$173,(B132-59),4),0)</f>
        <v>4050</v>
      </c>
      <c r="H132" s="610">
        <f>SUM($E$6:E131)-SUM($F$6:G131)</f>
        <v>181745</v>
      </c>
      <c r="I132" s="623">
        <f>VLOOKUP(A132,'Usage Rate Calc'!$T$7:$U$13,2,0)</f>
        <v>0.84012342119072481</v>
      </c>
      <c r="J132" s="624">
        <f>VLOOKUP(A132,WQ_Test!$A$3:$B$9,2,0)</f>
        <v>0.9</v>
      </c>
      <c r="K132" s="804">
        <f>$H132*CoreData!$F$44*I132*J132</f>
        <v>10418.612423633245</v>
      </c>
      <c r="L132" s="541">
        <f>$H132*CoreData!$F$45*I132*J132</f>
        <v>2698.9663535061773</v>
      </c>
      <c r="M132" s="576">
        <f>$H132*CoreData!$F$46</f>
        <v>182.91136747802176</v>
      </c>
      <c r="N132" s="761">
        <f t="shared" si="22"/>
        <v>7536.7347026490461</v>
      </c>
      <c r="O132" s="862"/>
      <c r="P132" s="862"/>
      <c r="Q132" s="949">
        <f>H132*I132*J132*((Calculations!$D$29)/CoreData!$F$11+(Calculations!$D$31)/CoreData!$F$11*CoreData!$F$23)</f>
        <v>7070.0792989358488</v>
      </c>
      <c r="R132" s="949">
        <f>H132*I132*J132*((Calculations!$D$35)/CoreData!$F$11)</f>
        <v>117.58941762783819</v>
      </c>
      <c r="S132" s="862">
        <v>0</v>
      </c>
      <c r="T132" s="862">
        <v>0</v>
      </c>
      <c r="U132" s="862">
        <v>0</v>
      </c>
      <c r="V132" s="862">
        <v>0</v>
      </c>
      <c r="W132" s="862">
        <v>0</v>
      </c>
      <c r="X132" s="862">
        <v>0</v>
      </c>
      <c r="Y132" s="862">
        <v>0</v>
      </c>
      <c r="Z132" s="862">
        <f t="shared" si="9"/>
        <v>10418.612423633245</v>
      </c>
      <c r="AA132" s="862"/>
      <c r="AB132" s="862"/>
      <c r="AC132" s="949">
        <f>H132*I132*J132*((Calculations!$D$58)/CoreData!$F$11+(Calculations!$D$60)/CoreData!$F$11*CoreData!$F$23)</f>
        <v>1809.6772110114321</v>
      </c>
      <c r="AD132" s="949">
        <f>H132*I132*J132*((Calculations!$D$62)/CoreData!$F$11)</f>
        <v>40.883526122205218</v>
      </c>
      <c r="AE132" s="950">
        <f>PS_Survey!$E$3</f>
        <v>0.82099999999999995</v>
      </c>
      <c r="AF132" s="950">
        <f>PS_Survey!$E$4</f>
        <v>0.91199999999999992</v>
      </c>
      <c r="AG132" s="862">
        <f>H132*I132*J132*CoreData!$F$7*PS_Survey!$E$5</f>
        <v>545495.95967606513</v>
      </c>
      <c r="AH132" s="862">
        <f>H132*I132*J132*CoreData!$F$7*(1-CoreData!$F$66)*PS_Survey!$E$6*PS_Survey!$E$7</f>
        <v>244363.43851126332</v>
      </c>
      <c r="AI132" s="862">
        <f>H132*I132*J132*CoreData!$F$7</f>
        <v>718703.50418453908</v>
      </c>
      <c r="AJ132" s="949">
        <f>(Q132-AC132)*CoreData!$F$99+(R132-AD132)*CoreData!$F$130</f>
        <v>82.534219987082679</v>
      </c>
      <c r="AK132" s="862">
        <f>PS_Survey!$E$8</f>
        <v>85</v>
      </c>
      <c r="AL132" s="862">
        <f t="shared" si="10"/>
        <v>2698.9663535061773</v>
      </c>
      <c r="AM132" s="949">
        <f>(Q132-AC132)/CoreData!$F$136</f>
        <v>32.441579327316781</v>
      </c>
      <c r="AN132" s="862"/>
      <c r="AO132" s="862"/>
      <c r="AP132" s="949">
        <f t="shared" si="11"/>
        <v>5260.4020879244163</v>
      </c>
      <c r="AQ132" s="949">
        <f t="shared" si="12"/>
        <v>76.705891505632962</v>
      </c>
      <c r="AR132" s="950">
        <f t="shared" si="13"/>
        <v>0.82099999999999995</v>
      </c>
      <c r="AS132" s="950">
        <f t="shared" si="14"/>
        <v>0.91199999999999992</v>
      </c>
      <c r="AT132" s="949">
        <f t="shared" si="15"/>
        <v>545495.95967606513</v>
      </c>
      <c r="AU132" s="949">
        <f t="shared" si="16"/>
        <v>244363.43851126332</v>
      </c>
      <c r="AV132" s="949">
        <f t="shared" si="17"/>
        <v>718703.50418453908</v>
      </c>
      <c r="AW132" s="949">
        <f t="shared" si="18"/>
        <v>82.534219987082679</v>
      </c>
      <c r="AX132" s="949">
        <f t="shared" si="19"/>
        <v>85</v>
      </c>
      <c r="AY132" s="949">
        <f t="shared" si="21"/>
        <v>7536.7347026490461</v>
      </c>
      <c r="AZ132" s="949">
        <f t="shared" si="20"/>
        <v>32.441579327316781</v>
      </c>
      <c r="BA132" s="974"/>
      <c r="BB132" s="875">
        <f>H132*I132*J132*((Calculations!$D$29-Calculations!$D$58)/CoreData!$F$11+(Calculations!$D$31-Calculations!$D$60)/CoreData!$F$11*CoreData!$F$23)</f>
        <v>5260.4020879244163</v>
      </c>
      <c r="BC132" s="875">
        <f>H132*I132*J132*((Calculations!$D$35-Calculations!$D$62)/CoreData!$F$11)</f>
        <v>76.705891505632962</v>
      </c>
      <c r="BD132" s="876">
        <f>PS_Survey!$E$3</f>
        <v>0.82099999999999995</v>
      </c>
      <c r="BE132" s="876">
        <f>PS_Survey!$E$4</f>
        <v>0.91199999999999992</v>
      </c>
      <c r="BF132" s="877">
        <f>H132*I132*J132*CoreData!$F$7*PS_Survey!$E$5</f>
        <v>545495.95967606513</v>
      </c>
      <c r="BG132" s="877">
        <f>H132*I132*J132*CoreData!$F$7*(1-CoreData!$F$66)*PS_Survey!$E$6*PS_Survey!$E$7</f>
        <v>244363.43851126332</v>
      </c>
      <c r="BH132" s="875">
        <f>H132*I132*J132*CoreData!$F$7</f>
        <v>718703.50418453908</v>
      </c>
      <c r="BI132" s="875">
        <f>BB132*CoreData!$F$99+Units_month!BC132*CoreData!$F$130</f>
        <v>82.534219987082679</v>
      </c>
      <c r="BJ132" s="878">
        <f>PS_Survey!$E$8</f>
        <v>85</v>
      </c>
      <c r="BK132" s="879">
        <f t="shared" si="6"/>
        <v>7536.7347026490461</v>
      </c>
      <c r="BL132" s="875">
        <f>BB132/CoreData!$F$136</f>
        <v>32.441579327316781</v>
      </c>
    </row>
    <row r="133" spans="1:171">
      <c r="A133" s="557" t="s">
        <v>333</v>
      </c>
      <c r="B133" s="557">
        <f t="shared" si="5"/>
        <v>128</v>
      </c>
      <c r="C133" s="529">
        <v>44378</v>
      </c>
      <c r="D133" s="540">
        <f t="shared" si="4"/>
        <v>44408</v>
      </c>
      <c r="E133" s="599">
        <f>Sale_Data!D104</f>
        <v>3500</v>
      </c>
      <c r="F133" s="541"/>
      <c r="G133" s="326">
        <f t="shared" si="23"/>
        <v>3577</v>
      </c>
      <c r="H133" s="610">
        <f>SUM($E$6:E132)-SUM($F$6:G132)</f>
        <v>180895</v>
      </c>
      <c r="I133" s="623">
        <f>VLOOKUP(A133,'Usage Rate Calc'!$T$7:$U$13,2,0)</f>
        <v>0.84012342119072481</v>
      </c>
      <c r="J133" s="624">
        <f>VLOOKUP(A133,WQ_Test!$A$3:$B$9,2,0)</f>
        <v>0.9</v>
      </c>
      <c r="K133" s="804">
        <f>$H133*CoreData!$F$44*I133*J133</f>
        <v>10369.885798085978</v>
      </c>
      <c r="L133" s="541">
        <f>$H133*CoreData!$F$45*I133*J133</f>
        <v>2686.3436051473218</v>
      </c>
      <c r="M133" s="576">
        <f>$H133*CoreData!$F$46</f>
        <v>182.05591251443917</v>
      </c>
      <c r="N133" s="761">
        <f t="shared" si="22"/>
        <v>7501.4862804242166</v>
      </c>
      <c r="O133" s="862"/>
      <c r="P133" s="862"/>
      <c r="Q133" s="949">
        <f>H133*I133*J133*((Calculations!$D$29)/CoreData!$F$11+(Calculations!$D$31)/CoreData!$F$11*CoreData!$F$23)</f>
        <v>7037.013369176595</v>
      </c>
      <c r="R133" s="949">
        <f>H133*I133*J133*((Calculations!$D$35)/CoreData!$F$11)</f>
        <v>117.03946574479511</v>
      </c>
      <c r="S133" s="862">
        <v>0</v>
      </c>
      <c r="T133" s="862">
        <v>0</v>
      </c>
      <c r="U133" s="862">
        <v>0</v>
      </c>
      <c r="V133" s="862">
        <v>0</v>
      </c>
      <c r="W133" s="862">
        <v>0</v>
      </c>
      <c r="X133" s="862">
        <v>0</v>
      </c>
      <c r="Y133" s="862">
        <v>0</v>
      </c>
      <c r="Z133" s="862">
        <f t="shared" si="9"/>
        <v>10369.885798085978</v>
      </c>
      <c r="AA133" s="862"/>
      <c r="AB133" s="862"/>
      <c r="AC133" s="949">
        <f>H133*I133*J133*((Calculations!$D$58)/CoreData!$F$11+(Calculations!$D$60)/CoreData!$F$11*CoreData!$F$23)</f>
        <v>1801.2135634318029</v>
      </c>
      <c r="AD133" s="949">
        <f>H133*I133*J133*((Calculations!$D$62)/CoreData!$F$11)</f>
        <v>40.69231867658705</v>
      </c>
      <c r="AE133" s="950">
        <f>PS_Survey!$E$3</f>
        <v>0.82099999999999995</v>
      </c>
      <c r="AF133" s="950">
        <f>PS_Survey!$E$4</f>
        <v>0.91199999999999992</v>
      </c>
      <c r="AG133" s="862">
        <f>H133*I133*J133*CoreData!$F$7*PS_Survey!$E$5</f>
        <v>542944.73919833731</v>
      </c>
      <c r="AH133" s="862">
        <f>H133*I133*J133*CoreData!$F$7*(1-CoreData!$F$66)*PS_Survey!$E$6*PS_Survey!$E$7</f>
        <v>243220.57943544514</v>
      </c>
      <c r="AI133" s="862">
        <f>H133*I133*J133*CoreData!$F$7</f>
        <v>715342.21238252602</v>
      </c>
      <c r="AJ133" s="949">
        <f>(Q133-AC133)*CoreData!$F$99+(R133-AD133)*CoreData!$F$130</f>
        <v>82.148217142498126</v>
      </c>
      <c r="AK133" s="862">
        <f>PS_Survey!$E$8</f>
        <v>85</v>
      </c>
      <c r="AL133" s="862">
        <f t="shared" si="10"/>
        <v>2686.3436051473218</v>
      </c>
      <c r="AM133" s="949">
        <f>(Q133-AC133)/CoreData!$F$136</f>
        <v>32.2898538744668</v>
      </c>
      <c r="AN133" s="862"/>
      <c r="AO133" s="862"/>
      <c r="AP133" s="949">
        <f t="shared" si="11"/>
        <v>5235.7998057447921</v>
      </c>
      <c r="AQ133" s="949">
        <f t="shared" si="12"/>
        <v>76.347147068208059</v>
      </c>
      <c r="AR133" s="950">
        <f t="shared" si="13"/>
        <v>0.82099999999999995</v>
      </c>
      <c r="AS133" s="950">
        <f t="shared" si="14"/>
        <v>0.91199999999999992</v>
      </c>
      <c r="AT133" s="949">
        <f t="shared" si="15"/>
        <v>542944.73919833731</v>
      </c>
      <c r="AU133" s="949">
        <f t="shared" si="16"/>
        <v>243220.57943544514</v>
      </c>
      <c r="AV133" s="949">
        <f t="shared" si="17"/>
        <v>715342.21238252602</v>
      </c>
      <c r="AW133" s="949">
        <f t="shared" si="18"/>
        <v>82.148217142498126</v>
      </c>
      <c r="AX133" s="949">
        <f t="shared" si="19"/>
        <v>85</v>
      </c>
      <c r="AY133" s="949">
        <f t="shared" si="21"/>
        <v>7501.4862804242166</v>
      </c>
      <c r="AZ133" s="949">
        <f t="shared" si="20"/>
        <v>32.2898538744668</v>
      </c>
      <c r="BA133" s="974"/>
      <c r="BB133" s="875">
        <f>H133*I133*J133*((Calculations!$D$29-Calculations!$D$58)/CoreData!$F$11+(Calculations!$D$31-Calculations!$D$60)/CoreData!$F$11*CoreData!$F$23)</f>
        <v>5235.7998057447921</v>
      </c>
      <c r="BC133" s="875">
        <f>H133*I133*J133*((Calculations!$D$35-Calculations!$D$62)/CoreData!$F$11)</f>
        <v>76.347147068208059</v>
      </c>
      <c r="BD133" s="876">
        <f>PS_Survey!$E$3</f>
        <v>0.82099999999999995</v>
      </c>
      <c r="BE133" s="876">
        <f>PS_Survey!$E$4</f>
        <v>0.91199999999999992</v>
      </c>
      <c r="BF133" s="877">
        <f>H133*I133*J133*CoreData!$F$7*PS_Survey!$E$5</f>
        <v>542944.73919833731</v>
      </c>
      <c r="BG133" s="877">
        <f>H133*I133*J133*CoreData!$F$7*(1-CoreData!$F$66)*PS_Survey!$E$6*PS_Survey!$E$7</f>
        <v>243220.57943544514</v>
      </c>
      <c r="BH133" s="875">
        <f>H133*I133*J133*CoreData!$F$7</f>
        <v>715342.21238252602</v>
      </c>
      <c r="BI133" s="875">
        <f>BB133*CoreData!$F$99+Units_month!BC133*CoreData!$F$130</f>
        <v>82.148217142498126</v>
      </c>
      <c r="BJ133" s="878">
        <f>PS_Survey!$E$8</f>
        <v>85</v>
      </c>
      <c r="BK133" s="879">
        <f t="shared" si="6"/>
        <v>7501.4862804242166</v>
      </c>
      <c r="BL133" s="875">
        <f>BB133/CoreData!$F$136</f>
        <v>32.2898538744668</v>
      </c>
    </row>
    <row r="134" spans="1:171">
      <c r="A134" s="557" t="s">
        <v>333</v>
      </c>
      <c r="B134" s="557">
        <f t="shared" si="5"/>
        <v>129</v>
      </c>
      <c r="C134" s="529">
        <v>44409</v>
      </c>
      <c r="D134" s="540">
        <f t="shared" si="4"/>
        <v>44439</v>
      </c>
      <c r="E134" s="599">
        <f>Sale_Data!D105</f>
        <v>3500</v>
      </c>
      <c r="F134" s="541"/>
      <c r="G134" s="326">
        <f t="shared" si="23"/>
        <v>5804</v>
      </c>
      <c r="H134" s="610">
        <f>SUM($E$6:E133)-SUM($F$6:G133)</f>
        <v>180818</v>
      </c>
      <c r="I134" s="623">
        <f>VLOOKUP(A134,'Usage Rate Calc'!$T$7:$U$13,2,0)</f>
        <v>0.84012342119072481</v>
      </c>
      <c r="J134" s="624">
        <f>VLOOKUP(A134,WQ_Test!$A$3:$B$9,2,0)</f>
        <v>0.9</v>
      </c>
      <c r="K134" s="804">
        <f>$H134*CoreData!$F$44*I134*J134</f>
        <v>10365.471739065813</v>
      </c>
      <c r="L134" s="541">
        <f>$H134*CoreData!$F$45*I134*J134</f>
        <v>2685.2001326489312</v>
      </c>
      <c r="M134" s="576">
        <f>$H134*CoreData!$F$46</f>
        <v>181.97841835891461</v>
      </c>
      <c r="N134" s="761">
        <f t="shared" si="22"/>
        <v>7498.2931880579672</v>
      </c>
      <c r="O134" s="862"/>
      <c r="P134" s="862"/>
      <c r="Q134" s="949">
        <f>H134*I134*J134*((Calculations!$D$29)/CoreData!$F$11+(Calculations!$D$31)/CoreData!$F$11*CoreData!$F$23)</f>
        <v>7034.0179849513461</v>
      </c>
      <c r="R134" s="949">
        <f>H134*I134*J134*((Calculations!$D$35)/CoreData!$F$11)</f>
        <v>116.98964657421358</v>
      </c>
      <c r="S134" s="862">
        <v>0</v>
      </c>
      <c r="T134" s="862">
        <v>0</v>
      </c>
      <c r="U134" s="862">
        <v>0</v>
      </c>
      <c r="V134" s="862">
        <v>0</v>
      </c>
      <c r="W134" s="862">
        <v>0</v>
      </c>
      <c r="X134" s="862">
        <v>0</v>
      </c>
      <c r="Y134" s="862">
        <v>0</v>
      </c>
      <c r="Z134" s="862">
        <f t="shared" si="9"/>
        <v>10365.471739065813</v>
      </c>
      <c r="AA134" s="862"/>
      <c r="AB134" s="862"/>
      <c r="AC134" s="949">
        <f>H134*I134*J134*((Calculations!$D$58)/CoreData!$F$11+(Calculations!$D$60)/CoreData!$F$11*CoreData!$F$23)</f>
        <v>1800.4468565334132</v>
      </c>
      <c r="AD134" s="949">
        <f>H134*I134*J134*((Calculations!$D$62)/CoreData!$F$11)</f>
        <v>40.674997531513412</v>
      </c>
      <c r="AE134" s="950">
        <f>PS_Survey!$E$3</f>
        <v>0.82099999999999995</v>
      </c>
      <c r="AF134" s="950">
        <f>PS_Survey!$E$4</f>
        <v>0.91199999999999992</v>
      </c>
      <c r="AG134" s="862">
        <f>H134*I134*J134*CoreData!$F$7*PS_Survey!$E$5</f>
        <v>542713.62863741384</v>
      </c>
      <c r="AH134" s="862">
        <f>H134*I134*J134*CoreData!$F$7*(1-CoreData!$F$66)*PS_Survey!$E$6*PS_Survey!$E$7</f>
        <v>243117.04984857695</v>
      </c>
      <c r="AI134" s="862">
        <f>H134*I134*J134*CoreData!$F$7</f>
        <v>715037.71888987324</v>
      </c>
      <c r="AJ134" s="949">
        <f>(Q134-AC134)*CoreData!$F$99+(R134-AD134)*CoreData!$F$130</f>
        <v>82.113249825988703</v>
      </c>
      <c r="AK134" s="862">
        <f>PS_Survey!$E$8</f>
        <v>85</v>
      </c>
      <c r="AL134" s="862">
        <f t="shared" si="10"/>
        <v>2685.2001326489312</v>
      </c>
      <c r="AM134" s="949">
        <f>(Q134-AC134)/CoreData!$F$136</f>
        <v>32.276109333443927</v>
      </c>
      <c r="AN134" s="862"/>
      <c r="AO134" s="862"/>
      <c r="AP134" s="949">
        <f t="shared" si="11"/>
        <v>5233.5711284179324</v>
      </c>
      <c r="AQ134" s="949">
        <f t="shared" si="12"/>
        <v>76.314649042700168</v>
      </c>
      <c r="AR134" s="950">
        <f t="shared" si="13"/>
        <v>0.82099999999999995</v>
      </c>
      <c r="AS134" s="950">
        <f t="shared" si="14"/>
        <v>0.91199999999999992</v>
      </c>
      <c r="AT134" s="949">
        <f t="shared" si="15"/>
        <v>542713.62863741384</v>
      </c>
      <c r="AU134" s="949">
        <f t="shared" si="16"/>
        <v>243117.04984857695</v>
      </c>
      <c r="AV134" s="949">
        <f t="shared" si="17"/>
        <v>715037.71888987324</v>
      </c>
      <c r="AW134" s="949">
        <f t="shared" si="18"/>
        <v>82.113249825988703</v>
      </c>
      <c r="AX134" s="949">
        <f t="shared" si="19"/>
        <v>85</v>
      </c>
      <c r="AY134" s="949">
        <f t="shared" si="21"/>
        <v>7498.2931880579672</v>
      </c>
      <c r="AZ134" s="949">
        <f t="shared" si="20"/>
        <v>32.276109333443927</v>
      </c>
      <c r="BA134" s="974"/>
      <c r="BB134" s="875">
        <f>H134*I134*J134*((Calculations!$D$29-Calculations!$D$58)/CoreData!$F$11+(Calculations!$D$31-Calculations!$D$60)/CoreData!$F$11*CoreData!$F$23)</f>
        <v>5233.5711284179324</v>
      </c>
      <c r="BC134" s="875">
        <f>H134*I134*J134*((Calculations!$D$35-Calculations!$D$62)/CoreData!$F$11)</f>
        <v>76.314649042700168</v>
      </c>
      <c r="BD134" s="876">
        <f>PS_Survey!$E$3</f>
        <v>0.82099999999999995</v>
      </c>
      <c r="BE134" s="876">
        <f>PS_Survey!$E$4</f>
        <v>0.91199999999999992</v>
      </c>
      <c r="BF134" s="877">
        <f>H134*I134*J134*CoreData!$F$7*PS_Survey!$E$5</f>
        <v>542713.62863741384</v>
      </c>
      <c r="BG134" s="877">
        <f>H134*I134*J134*CoreData!$F$7*(1-CoreData!$F$66)*PS_Survey!$E$6*PS_Survey!$E$7</f>
        <v>243117.04984857695</v>
      </c>
      <c r="BH134" s="875">
        <f>H134*I134*J134*CoreData!$F$7</f>
        <v>715037.71888987324</v>
      </c>
      <c r="BI134" s="875">
        <f>BB134*CoreData!$F$99+Units_month!BC134*CoreData!$F$130</f>
        <v>82.113249825988703</v>
      </c>
      <c r="BJ134" s="878">
        <f>PS_Survey!$E$8</f>
        <v>85</v>
      </c>
      <c r="BK134" s="879">
        <f t="shared" si="6"/>
        <v>7498.2931880579672</v>
      </c>
      <c r="BL134" s="875">
        <f>BB134/CoreData!$F$136</f>
        <v>32.276109333443927</v>
      </c>
    </row>
    <row r="135" spans="1:171">
      <c r="A135" s="557" t="s">
        <v>333</v>
      </c>
      <c r="B135" s="557">
        <f t="shared" si="5"/>
        <v>130</v>
      </c>
      <c r="C135" s="528">
        <v>44440</v>
      </c>
      <c r="D135" s="540">
        <f t="shared" ref="D135:D173" si="24">C136-1</f>
        <v>44469</v>
      </c>
      <c r="E135" s="599">
        <f>Sale_Data!D106</f>
        <v>3800</v>
      </c>
      <c r="F135" s="541"/>
      <c r="G135" s="326">
        <f t="shared" si="23"/>
        <v>3154</v>
      </c>
      <c r="H135" s="610">
        <f>SUM($E$6:E134)-SUM($F$6:G134)</f>
        <v>178514</v>
      </c>
      <c r="I135" s="623">
        <f>VLOOKUP(A135,'Usage Rate Calc'!$T$7:$U$13,2,0)</f>
        <v>0.84012342119072481</v>
      </c>
      <c r="J135" s="624">
        <f>VLOOKUP(A135,WQ_Test!$A$3:$B$9,2,0)</f>
        <v>0.9</v>
      </c>
      <c r="K135" s="804">
        <f>$H135*CoreData!$F$44*I135*J135</f>
        <v>10233.393921111807</v>
      </c>
      <c r="L135" s="541">
        <f>$H135*CoreData!$F$45*I135*J135</f>
        <v>2650.9850594503382</v>
      </c>
      <c r="M135" s="576">
        <f>$H135*CoreData!$F$46</f>
        <v>179.65963219880368</v>
      </c>
      <c r="N135" s="761">
        <f t="shared" si="22"/>
        <v>7402.7492294626645</v>
      </c>
      <c r="O135" s="862"/>
      <c r="P135" s="862"/>
      <c r="Q135" s="949">
        <f>H135*I135*J135*((Calculations!$D$29)/CoreData!$F$11+(Calculations!$D$31)/CoreData!$F$11*CoreData!$F$23)</f>
        <v>6944.3898647568512</v>
      </c>
      <c r="R135" s="949">
        <f>H135*I135*J135*((Calculations!$D$35)/CoreData!$F$11)</f>
        <v>115.49895347005916</v>
      </c>
      <c r="S135" s="862">
        <v>0</v>
      </c>
      <c r="T135" s="862">
        <v>0</v>
      </c>
      <c r="U135" s="862">
        <v>0</v>
      </c>
      <c r="V135" s="862">
        <v>0</v>
      </c>
      <c r="W135" s="862">
        <v>0</v>
      </c>
      <c r="X135" s="862">
        <v>0</v>
      </c>
      <c r="Y135" s="862">
        <v>0</v>
      </c>
      <c r="Z135" s="862">
        <f t="shared" si="9"/>
        <v>10233.393921111807</v>
      </c>
      <c r="AA135" s="862"/>
      <c r="AB135" s="862"/>
      <c r="AC135" s="949">
        <f>H135*I135*J135*((Calculations!$D$58)/CoreData!$F$11+(Calculations!$D$60)/CoreData!$F$11*CoreData!$F$23)</f>
        <v>1777.5053929763942</v>
      </c>
      <c r="AD135" s="949">
        <f>H135*I135*J135*((Calculations!$D$62)/CoreData!$F$11)</f>
        <v>40.156712878920146</v>
      </c>
      <c r="AE135" s="950">
        <f>PS_Survey!$E$3</f>
        <v>0.82099999999999995</v>
      </c>
      <c r="AF135" s="950">
        <f>PS_Survey!$E$4</f>
        <v>0.91199999999999992</v>
      </c>
      <c r="AG135" s="862">
        <f>H135*I135*J135*CoreData!$F$7*PS_Survey!$E$5</f>
        <v>535798.320424843</v>
      </c>
      <c r="AH135" s="862">
        <f>H135*I135*J135*CoreData!$F$7*(1-CoreData!$F$66)*PS_Survey!$E$6*PS_Survey!$E$7</f>
        <v>240019.22948306505</v>
      </c>
      <c r="AI135" s="862">
        <f>H135*I135*J135*CoreData!$F$7</f>
        <v>705926.64087594603</v>
      </c>
      <c r="AJ135" s="949">
        <f>(Q135-AC135)*CoreData!$F$99+(R135-AD135)*CoreData!$F$130</f>
        <v>81.066955056667723</v>
      </c>
      <c r="AK135" s="862">
        <f>PS_Survey!$E$8</f>
        <v>85</v>
      </c>
      <c r="AL135" s="862">
        <f t="shared" si="10"/>
        <v>2650.9850594503382</v>
      </c>
      <c r="AM135" s="949">
        <f>(Q135-AC135)/CoreData!$F$136</f>
        <v>31.864844105954095</v>
      </c>
      <c r="AN135" s="862"/>
      <c r="AO135" s="862"/>
      <c r="AP135" s="949">
        <f t="shared" si="11"/>
        <v>5166.8844717804568</v>
      </c>
      <c r="AQ135" s="949">
        <f t="shared" si="12"/>
        <v>75.342240591139017</v>
      </c>
      <c r="AR135" s="950">
        <f t="shared" si="13"/>
        <v>0.82099999999999995</v>
      </c>
      <c r="AS135" s="950">
        <f t="shared" si="14"/>
        <v>0.91199999999999992</v>
      </c>
      <c r="AT135" s="949">
        <f t="shared" si="15"/>
        <v>535798.320424843</v>
      </c>
      <c r="AU135" s="949">
        <f t="shared" si="16"/>
        <v>240019.22948306505</v>
      </c>
      <c r="AV135" s="949">
        <f t="shared" si="17"/>
        <v>705926.64087594603</v>
      </c>
      <c r="AW135" s="949">
        <f t="shared" si="18"/>
        <v>81.066955056667723</v>
      </c>
      <c r="AX135" s="949">
        <f t="shared" si="19"/>
        <v>85</v>
      </c>
      <c r="AY135" s="949">
        <f t="shared" si="21"/>
        <v>7402.7492294626645</v>
      </c>
      <c r="AZ135" s="949">
        <f t="shared" si="20"/>
        <v>31.864844105954095</v>
      </c>
      <c r="BA135" s="974"/>
      <c r="BB135" s="875">
        <f>H135*I135*J135*((Calculations!$D$29-Calculations!$D$58)/CoreData!$F$11+(Calculations!$D$31-Calculations!$D$60)/CoreData!$F$11*CoreData!$F$23)</f>
        <v>5166.8844717804568</v>
      </c>
      <c r="BC135" s="875">
        <f>H135*I135*J135*((Calculations!$D$35-Calculations!$D$62)/CoreData!$F$11)</f>
        <v>75.342240591139017</v>
      </c>
      <c r="BD135" s="876">
        <f>PS_Survey!$E$3</f>
        <v>0.82099999999999995</v>
      </c>
      <c r="BE135" s="876">
        <f>PS_Survey!$E$4</f>
        <v>0.91199999999999992</v>
      </c>
      <c r="BF135" s="877">
        <f>H135*I135*J135*CoreData!$F$7*PS_Survey!$E$5</f>
        <v>535798.320424843</v>
      </c>
      <c r="BG135" s="877">
        <f>H135*I135*J135*CoreData!$F$7*(1-CoreData!$F$66)*PS_Survey!$E$6*PS_Survey!$E$7</f>
        <v>240019.22948306505</v>
      </c>
      <c r="BH135" s="875">
        <f>H135*I135*J135*CoreData!$F$7</f>
        <v>705926.64087594603</v>
      </c>
      <c r="BI135" s="875">
        <f>BB135*CoreData!$F$99+Units_month!BC135*CoreData!$F$130</f>
        <v>81.066955056667723</v>
      </c>
      <c r="BJ135" s="878">
        <f>PS_Survey!$E$8</f>
        <v>85</v>
      </c>
      <c r="BK135" s="879">
        <f t="shared" ref="BK135:BK166" si="25">N135</f>
        <v>7402.7492294626645</v>
      </c>
      <c r="BL135" s="875">
        <f>BB135/CoreData!$F$136</f>
        <v>31.864844105954095</v>
      </c>
    </row>
    <row r="136" spans="1:171">
      <c r="A136" s="557" t="s">
        <v>333</v>
      </c>
      <c r="B136" s="557">
        <f t="shared" si="5"/>
        <v>131</v>
      </c>
      <c r="C136" s="529">
        <v>44470</v>
      </c>
      <c r="D136" s="540">
        <f t="shared" si="24"/>
        <v>44500</v>
      </c>
      <c r="E136" s="599">
        <f>Sale_Data!D107</f>
        <v>3800</v>
      </c>
      <c r="F136" s="541"/>
      <c r="G136" s="326">
        <f t="shared" si="23"/>
        <v>4090</v>
      </c>
      <c r="H136" s="610">
        <f>SUM($E$6:E135)-SUM($F$6:G135)</f>
        <v>179160</v>
      </c>
      <c r="I136" s="623">
        <f>VLOOKUP(A136,'Usage Rate Calc'!$T$7:$U$13,2,0)</f>
        <v>0.84012342119072481</v>
      </c>
      <c r="J136" s="624">
        <f>VLOOKUP(A136,WQ_Test!$A$3:$B$9,2,0)</f>
        <v>0.9</v>
      </c>
      <c r="K136" s="804">
        <f>$H136*CoreData!$F$44*I136*J136</f>
        <v>10270.42615652773</v>
      </c>
      <c r="L136" s="541">
        <f>$H136*CoreData!$F$45*I136*J136</f>
        <v>2660.5783482030683</v>
      </c>
      <c r="M136" s="576">
        <f>$H136*CoreData!$F$46</f>
        <v>180.30977797112646</v>
      </c>
      <c r="N136" s="761">
        <f t="shared" si="22"/>
        <v>7429.5380303535358</v>
      </c>
      <c r="O136" s="862"/>
      <c r="P136" s="862"/>
      <c r="Q136" s="949">
        <f>H136*I136*J136*((Calculations!$D$29)/CoreData!$F$11+(Calculations!$D$31)/CoreData!$F$11*CoreData!$F$23)</f>
        <v>6969.5199713738848</v>
      </c>
      <c r="R136" s="949">
        <f>H136*I136*J136*((Calculations!$D$35)/CoreData!$F$11)</f>
        <v>115.91691690117192</v>
      </c>
      <c r="S136" s="862">
        <v>0</v>
      </c>
      <c r="T136" s="862">
        <v>0</v>
      </c>
      <c r="U136" s="862">
        <v>0</v>
      </c>
      <c r="V136" s="862">
        <v>0</v>
      </c>
      <c r="W136" s="862">
        <v>0</v>
      </c>
      <c r="X136" s="862">
        <v>0</v>
      </c>
      <c r="Y136" s="862">
        <v>0</v>
      </c>
      <c r="Z136" s="862">
        <f t="shared" si="9"/>
        <v>10270.42615652773</v>
      </c>
      <c r="AA136" s="862"/>
      <c r="AB136" s="862"/>
      <c r="AC136" s="949">
        <f>H136*I136*J136*((Calculations!$D$58)/CoreData!$F$11+(Calculations!$D$60)/CoreData!$F$11*CoreData!$F$23)</f>
        <v>1783.9377651369127</v>
      </c>
      <c r="AD136" s="949">
        <f>H136*I136*J136*((Calculations!$D$62)/CoreData!$F$11)</f>
        <v>40.302030537589964</v>
      </c>
      <c r="AE136" s="950">
        <f>PS_Survey!$E$3</f>
        <v>0.82099999999999995</v>
      </c>
      <c r="AF136" s="950">
        <f>PS_Survey!$E$4</f>
        <v>0.91199999999999992</v>
      </c>
      <c r="AG136" s="862">
        <f>H136*I136*J136*CoreData!$F$7*PS_Survey!$E$5</f>
        <v>537737.24798791634</v>
      </c>
      <c r="AH136" s="862">
        <f>H136*I136*J136*CoreData!$F$7*(1-CoreData!$F$66)*PS_Survey!$E$6*PS_Survey!$E$7</f>
        <v>240887.80238068689</v>
      </c>
      <c r="AI136" s="862">
        <f>H136*I136*J136*CoreData!$F$7</f>
        <v>708481.22264547599</v>
      </c>
      <c r="AJ136" s="949">
        <f>(Q136-AC136)*CoreData!$F$99+(R136-AD136)*CoreData!$F$130</f>
        <v>81.360317218551998</v>
      </c>
      <c r="AK136" s="862">
        <f>PS_Survey!$E$8</f>
        <v>85</v>
      </c>
      <c r="AL136" s="862">
        <f t="shared" si="10"/>
        <v>2660.5783482030683</v>
      </c>
      <c r="AM136" s="949">
        <f>(Q136-AC136)/CoreData!$F$136</f>
        <v>31.980155450120083</v>
      </c>
      <c r="AN136" s="862"/>
      <c r="AO136" s="862"/>
      <c r="AP136" s="949">
        <f t="shared" si="11"/>
        <v>5185.5822062369716</v>
      </c>
      <c r="AQ136" s="949">
        <f t="shared" si="12"/>
        <v>75.614886363581945</v>
      </c>
      <c r="AR136" s="950">
        <f t="shared" si="13"/>
        <v>0.82099999999999995</v>
      </c>
      <c r="AS136" s="950">
        <f t="shared" si="14"/>
        <v>0.91199999999999992</v>
      </c>
      <c r="AT136" s="949">
        <f t="shared" si="15"/>
        <v>537737.24798791634</v>
      </c>
      <c r="AU136" s="949">
        <f t="shared" si="16"/>
        <v>240887.80238068689</v>
      </c>
      <c r="AV136" s="949">
        <f t="shared" si="17"/>
        <v>708481.22264547599</v>
      </c>
      <c r="AW136" s="949">
        <f t="shared" si="18"/>
        <v>81.360317218551998</v>
      </c>
      <c r="AX136" s="949">
        <f t="shared" si="19"/>
        <v>85</v>
      </c>
      <c r="AY136" s="949">
        <f t="shared" si="21"/>
        <v>7429.5380303535358</v>
      </c>
      <c r="AZ136" s="949">
        <f t="shared" si="20"/>
        <v>31.980155450120083</v>
      </c>
      <c r="BA136" s="974"/>
      <c r="BB136" s="875">
        <f>H136*I136*J136*((Calculations!$D$29-Calculations!$D$58)/CoreData!$F$11+(Calculations!$D$31-Calculations!$D$60)/CoreData!$F$11*CoreData!$F$23)</f>
        <v>5185.5822062369716</v>
      </c>
      <c r="BC136" s="875">
        <f>H136*I136*J136*((Calculations!$D$35-Calculations!$D$62)/CoreData!$F$11)</f>
        <v>75.614886363581959</v>
      </c>
      <c r="BD136" s="876">
        <f>PS_Survey!$E$3</f>
        <v>0.82099999999999995</v>
      </c>
      <c r="BE136" s="876">
        <f>PS_Survey!$E$4</f>
        <v>0.91199999999999992</v>
      </c>
      <c r="BF136" s="877">
        <f>H136*I136*J136*CoreData!$F$7*PS_Survey!$E$5</f>
        <v>537737.24798791634</v>
      </c>
      <c r="BG136" s="877">
        <f>H136*I136*J136*CoreData!$F$7*(1-CoreData!$F$66)*PS_Survey!$E$6*PS_Survey!$E$7</f>
        <v>240887.80238068689</v>
      </c>
      <c r="BH136" s="875">
        <f>H136*I136*J136*CoreData!$F$7</f>
        <v>708481.22264547599</v>
      </c>
      <c r="BI136" s="875">
        <f>BB136*CoreData!$F$99+Units_month!BC136*CoreData!$F$130</f>
        <v>81.360317218551998</v>
      </c>
      <c r="BJ136" s="878">
        <f>PS_Survey!$E$8</f>
        <v>85</v>
      </c>
      <c r="BK136" s="879">
        <f t="shared" si="25"/>
        <v>7429.5380303535358</v>
      </c>
      <c r="BL136" s="875">
        <f>BB136/CoreData!$F$136</f>
        <v>31.980155450120083</v>
      </c>
    </row>
    <row r="137" spans="1:171" s="490" customFormat="1" ht="15.75" thickBot="1">
      <c r="A137" s="557" t="s">
        <v>333</v>
      </c>
      <c r="B137" s="557">
        <f t="shared" si="5"/>
        <v>132</v>
      </c>
      <c r="C137" s="529">
        <v>44501</v>
      </c>
      <c r="D137" s="540">
        <f t="shared" si="24"/>
        <v>44530</v>
      </c>
      <c r="E137" s="599">
        <f>Sale_Data!D108</f>
        <v>4000</v>
      </c>
      <c r="F137" s="541"/>
      <c r="G137" s="326">
        <f t="shared" si="23"/>
        <v>5674</v>
      </c>
      <c r="H137" s="610">
        <f>SUM($E$6:E136)-SUM($F$6:G136)</f>
        <v>178870</v>
      </c>
      <c r="I137" s="623">
        <f>VLOOKUP(A137,'Usage Rate Calc'!$T$7:$U$13,2,0)</f>
        <v>0.84012342119072481</v>
      </c>
      <c r="J137" s="624">
        <f>VLOOKUP(A137,WQ_Test!$A$3:$B$9,2,0)</f>
        <v>0.9</v>
      </c>
      <c r="K137" s="804">
        <f>$H137*CoreData!$F$44*I137*J137</f>
        <v>10253.801778399838</v>
      </c>
      <c r="L137" s="541">
        <f>$H137*CoreData!$F$45*I137*J137</f>
        <v>2656.2717634688711</v>
      </c>
      <c r="M137" s="576">
        <f>$H137*CoreData!$F$46</f>
        <v>180.01791686590417</v>
      </c>
      <c r="N137" s="761">
        <f t="shared" si="22"/>
        <v>7417.5120980650636</v>
      </c>
      <c r="O137" s="862"/>
      <c r="P137" s="862"/>
      <c r="Q137" s="949">
        <f>H137*I137*J137*((Calculations!$D$29)/CoreData!$F$11+(Calculations!$D$31)/CoreData!$F$11*CoreData!$F$23)</f>
        <v>6958.2386541619044</v>
      </c>
      <c r="R137" s="949">
        <f>H137*I137*J137*((Calculations!$D$35)/CoreData!$F$11)</f>
        <v>115.72928625872193</v>
      </c>
      <c r="S137" s="862">
        <v>0</v>
      </c>
      <c r="T137" s="862">
        <v>0</v>
      </c>
      <c r="U137" s="862">
        <v>0</v>
      </c>
      <c r="V137" s="862">
        <v>0</v>
      </c>
      <c r="W137" s="862">
        <v>0</v>
      </c>
      <c r="X137" s="862">
        <v>0</v>
      </c>
      <c r="Y137" s="862">
        <v>0</v>
      </c>
      <c r="Z137" s="862">
        <f t="shared" si="9"/>
        <v>10253.801778399838</v>
      </c>
      <c r="AA137" s="862"/>
      <c r="AB137" s="862"/>
      <c r="AC137" s="949">
        <f>H137*I137*J137*((Calculations!$D$58)/CoreData!$F$11+(Calculations!$D$60)/CoreData!$F$11*CoreData!$F$23)</f>
        <v>1781.0501677273921</v>
      </c>
      <c r="AD137" s="949">
        <f>H137*I137*J137*((Calculations!$D$62)/CoreData!$F$11)</f>
        <v>40.236795056143762</v>
      </c>
      <c r="AE137" s="950">
        <f>PS_Survey!$E$3</f>
        <v>0.82099999999999995</v>
      </c>
      <c r="AF137" s="950">
        <f>PS_Survey!$E$4</f>
        <v>0.91199999999999992</v>
      </c>
      <c r="AG137" s="862">
        <f>H137*I137*J137*CoreData!$F$7*PS_Survey!$E$5</f>
        <v>536866.83158963267</v>
      </c>
      <c r="AH137" s="862">
        <f>H137*I137*J137*CoreData!$F$7*(1-CoreData!$F$66)*PS_Survey!$E$6*PS_Survey!$E$7</f>
        <v>240497.88575481952</v>
      </c>
      <c r="AI137" s="862">
        <f>H137*I137*J137*CoreData!$F$7</f>
        <v>707334.42897184798</v>
      </c>
      <c r="AJ137" s="949">
        <f>(Q137-AC137)*CoreData!$F$99+(R137-AD137)*CoreData!$F$130</f>
        <v>81.228622130399629</v>
      </c>
      <c r="AK137" s="862">
        <f>PS_Survey!$E$8</f>
        <v>85</v>
      </c>
      <c r="AL137" s="862">
        <f t="shared" si="10"/>
        <v>2656.2717634688711</v>
      </c>
      <c r="AM137" s="949">
        <f>(Q137-AC137)/CoreData!$F$136</f>
        <v>31.928390295618328</v>
      </c>
      <c r="AN137" s="862"/>
      <c r="AO137" s="862"/>
      <c r="AP137" s="949">
        <f t="shared" si="11"/>
        <v>5177.188486434512</v>
      </c>
      <c r="AQ137" s="949">
        <f t="shared" si="12"/>
        <v>75.492491202578165</v>
      </c>
      <c r="AR137" s="950">
        <f t="shared" si="13"/>
        <v>0.82099999999999995</v>
      </c>
      <c r="AS137" s="950">
        <f t="shared" si="14"/>
        <v>0.91199999999999992</v>
      </c>
      <c r="AT137" s="949">
        <f t="shared" si="15"/>
        <v>536866.83158963267</v>
      </c>
      <c r="AU137" s="949">
        <f t="shared" si="16"/>
        <v>240497.88575481952</v>
      </c>
      <c r="AV137" s="949">
        <f t="shared" si="17"/>
        <v>707334.42897184798</v>
      </c>
      <c r="AW137" s="949">
        <f t="shared" si="18"/>
        <v>81.228622130399629</v>
      </c>
      <c r="AX137" s="949">
        <f t="shared" si="19"/>
        <v>85</v>
      </c>
      <c r="AY137" s="949">
        <f t="shared" si="21"/>
        <v>7417.5120980650636</v>
      </c>
      <c r="AZ137" s="949">
        <f t="shared" si="20"/>
        <v>31.928390295618328</v>
      </c>
      <c r="BA137" s="974"/>
      <c r="BB137" s="875">
        <f>H137*I137*J137*((Calculations!$D$29-Calculations!$D$58)/CoreData!$F$11+(Calculations!$D$31-Calculations!$D$60)/CoreData!$F$11*CoreData!$F$23)</f>
        <v>5177.188486434512</v>
      </c>
      <c r="BC137" s="875">
        <f>H137*I137*J137*((Calculations!$D$35-Calculations!$D$62)/CoreData!$F$11)</f>
        <v>75.492491202578165</v>
      </c>
      <c r="BD137" s="876">
        <f>PS_Survey!$E$3</f>
        <v>0.82099999999999995</v>
      </c>
      <c r="BE137" s="876">
        <f>PS_Survey!$E$4</f>
        <v>0.91199999999999992</v>
      </c>
      <c r="BF137" s="877">
        <f>H137*I137*J137*CoreData!$F$7*PS_Survey!$E$5</f>
        <v>536866.83158963267</v>
      </c>
      <c r="BG137" s="877">
        <f>H137*I137*J137*CoreData!$F$7*(1-CoreData!$F$66)*PS_Survey!$E$6*PS_Survey!$E$7</f>
        <v>240497.88575481952</v>
      </c>
      <c r="BH137" s="875">
        <f>H137*I137*J137*CoreData!$F$7</f>
        <v>707334.42897184798</v>
      </c>
      <c r="BI137" s="875">
        <f>BB137*CoreData!$F$99+Units_month!BC137*CoreData!$F$130</f>
        <v>81.228622130399629</v>
      </c>
      <c r="BJ137" s="878">
        <f>PS_Survey!$E$8</f>
        <v>85</v>
      </c>
      <c r="BK137" s="879">
        <f t="shared" si="25"/>
        <v>7417.5120980650636</v>
      </c>
      <c r="BL137" s="875">
        <f>BB137/CoreData!$F$136</f>
        <v>31.928390295618328</v>
      </c>
      <c r="BM137" s="538"/>
      <c r="BN137" s="538"/>
      <c r="BO137" s="538"/>
      <c r="BP137" s="863"/>
      <c r="BQ137" s="863"/>
      <c r="BR137" s="863"/>
      <c r="BS137" s="863"/>
      <c r="BT137" s="863"/>
      <c r="BU137" s="863"/>
      <c r="BV137" s="863"/>
      <c r="BW137" s="863"/>
      <c r="BX137" s="863"/>
      <c r="BY137" s="863"/>
      <c r="BZ137" s="863"/>
      <c r="CA137" s="863"/>
      <c r="CB137" s="863"/>
      <c r="CC137" s="863"/>
      <c r="CD137" s="863"/>
      <c r="CE137" s="863"/>
      <c r="CF137" s="863"/>
      <c r="CG137" s="863"/>
      <c r="CH137" s="863"/>
      <c r="CI137" s="863"/>
      <c r="CJ137" s="863"/>
      <c r="CK137" s="863"/>
      <c r="CL137" s="863"/>
      <c r="CM137" s="863"/>
      <c r="CN137" s="863"/>
      <c r="CO137" s="863"/>
      <c r="CP137" s="863"/>
      <c r="CQ137" s="863"/>
      <c r="CR137" s="863"/>
      <c r="CS137" s="863"/>
      <c r="CT137" s="863"/>
      <c r="CU137" s="863"/>
      <c r="CV137" s="863"/>
      <c r="CW137" s="863"/>
      <c r="CX137" s="863"/>
      <c r="CY137" s="863"/>
      <c r="CZ137" s="863"/>
      <c r="DA137" s="863"/>
      <c r="DB137" s="863"/>
      <c r="DC137" s="863"/>
      <c r="DD137" s="863"/>
      <c r="DE137" s="863"/>
      <c r="DF137" s="863"/>
      <c r="DG137" s="863"/>
      <c r="DH137" s="863"/>
      <c r="DI137" s="863"/>
      <c r="DJ137" s="863"/>
      <c r="DK137" s="863"/>
      <c r="DL137" s="863"/>
      <c r="DM137" s="863"/>
      <c r="DN137" s="863"/>
      <c r="DO137" s="863"/>
      <c r="DP137" s="863"/>
      <c r="DQ137" s="863"/>
      <c r="DR137" s="863"/>
      <c r="DS137" s="863"/>
      <c r="DT137" s="863"/>
      <c r="DU137" s="863"/>
      <c r="DV137" s="863"/>
      <c r="DW137" s="863"/>
      <c r="DX137" s="863"/>
      <c r="DY137" s="863"/>
      <c r="DZ137" s="863"/>
      <c r="EA137" s="863"/>
      <c r="EB137" s="863"/>
      <c r="EC137" s="863"/>
      <c r="ED137" s="863"/>
      <c r="EE137" s="863"/>
      <c r="EF137" s="863"/>
      <c r="EG137" s="863"/>
      <c r="EH137" s="863"/>
      <c r="EI137" s="863"/>
      <c r="EJ137" s="863"/>
      <c r="EK137" s="863"/>
      <c r="EL137" s="863"/>
      <c r="EM137" s="863"/>
      <c r="EN137" s="863"/>
      <c r="EO137" s="863"/>
      <c r="EP137" s="863"/>
      <c r="EQ137" s="863"/>
      <c r="ER137" s="863"/>
      <c r="ES137" s="863"/>
      <c r="ET137" s="863"/>
      <c r="EU137" s="863"/>
      <c r="EV137" s="863"/>
      <c r="EW137" s="863"/>
      <c r="EX137" s="863"/>
      <c r="EY137" s="863"/>
      <c r="EZ137" s="863"/>
      <c r="FA137" s="863"/>
      <c r="FB137" s="863"/>
      <c r="FC137" s="863"/>
      <c r="FD137" s="863"/>
      <c r="FE137" s="863"/>
      <c r="FF137" s="863"/>
      <c r="FG137" s="863"/>
      <c r="FH137" s="863"/>
      <c r="FI137" s="863"/>
      <c r="FJ137" s="863"/>
      <c r="FK137" s="863"/>
      <c r="FL137" s="863"/>
      <c r="FM137" s="863"/>
      <c r="FN137" s="863"/>
      <c r="FO137" s="863"/>
    </row>
    <row r="138" spans="1:171" s="331" customFormat="1">
      <c r="A138" s="557" t="s">
        <v>333</v>
      </c>
      <c r="B138" s="557">
        <f t="shared" ref="B138:B174" si="26">B137+1</f>
        <v>133</v>
      </c>
      <c r="C138" s="528">
        <v>44531</v>
      </c>
      <c r="D138" s="540">
        <f t="shared" si="24"/>
        <v>44561</v>
      </c>
      <c r="E138" s="599">
        <f>Sale_Data!D109</f>
        <v>4200</v>
      </c>
      <c r="F138" s="541"/>
      <c r="G138" s="326">
        <f t="shared" si="23"/>
        <v>7198</v>
      </c>
      <c r="H138" s="610">
        <f>SUM($E$6:E137)-SUM($F$6:G137)</f>
        <v>177196</v>
      </c>
      <c r="I138" s="623">
        <f>VLOOKUP(A138,'Usage Rate Calc'!$T$7:$U$13,2,0)</f>
        <v>0.84012342119072481</v>
      </c>
      <c r="J138" s="624">
        <f>VLOOKUP(A138,WQ_Test!$A$3:$B$9,2,0)</f>
        <v>0.9</v>
      </c>
      <c r="K138" s="804">
        <f>$H138*CoreData!$F$44*I138*J138</f>
        <v>10157.83898879263</v>
      </c>
      <c r="L138" s="541">
        <f>$H138*CoreData!$F$45*I138*J138</f>
        <v>2631.4123743480181</v>
      </c>
      <c r="M138" s="576">
        <f>$H138*CoreData!$F$46</f>
        <v>178.33317379644856</v>
      </c>
      <c r="N138" s="761">
        <f t="shared" si="22"/>
        <v>7348.0934406481638</v>
      </c>
      <c r="O138" s="862"/>
      <c r="P138" s="862"/>
      <c r="Q138" s="949">
        <f>H138*I138*J138*((Calculations!$D$29)/CoreData!$F$11+(Calculations!$D$31)/CoreData!$F$11*CoreData!$F$23)</f>
        <v>6893.1182230830918</v>
      </c>
      <c r="R138" s="949">
        <f>H138*I138*J138*((Calculations!$D$35)/CoreData!$F$11)</f>
        <v>114.64620455023476</v>
      </c>
      <c r="S138" s="862">
        <v>0</v>
      </c>
      <c r="T138" s="862">
        <v>0</v>
      </c>
      <c r="U138" s="862">
        <v>0</v>
      </c>
      <c r="V138" s="862">
        <v>0</v>
      </c>
      <c r="W138" s="862">
        <v>0</v>
      </c>
      <c r="X138" s="862">
        <v>0</v>
      </c>
      <c r="Y138" s="862">
        <v>0</v>
      </c>
      <c r="Z138" s="862">
        <f t="shared" si="9"/>
        <v>10157.83898879263</v>
      </c>
      <c r="AA138" s="862"/>
      <c r="AB138" s="862"/>
      <c r="AC138" s="949">
        <f>H138*I138*J138*((Calculations!$D$58)/CoreData!$F$11+(Calculations!$D$60)/CoreData!$F$11*CoreData!$F$23)</f>
        <v>1764.3817606117457</v>
      </c>
      <c r="AD138" s="949">
        <f>H138*I138*J138*((Calculations!$D$62)/CoreData!$F$11)</f>
        <v>39.860228863243975</v>
      </c>
      <c r="AE138" s="950">
        <f>PS_Survey!$E$3</f>
        <v>0.82099999999999995</v>
      </c>
      <c r="AF138" s="950">
        <f>PS_Survey!$E$4</f>
        <v>0.91199999999999992</v>
      </c>
      <c r="AG138" s="862">
        <f>H138*I138*J138*CoreData!$F$7*PS_Survey!$E$5</f>
        <v>531842.42796643672</v>
      </c>
      <c r="AH138" s="862">
        <f>H138*I138*J138*CoreData!$F$7*(1-CoreData!$F$66)*PS_Survey!$E$6*PS_Survey!$E$7</f>
        <v>238247.1256455023</v>
      </c>
      <c r="AI138" s="862">
        <f>H138*I138*J138*CoreData!$F$7</f>
        <v>700714.6613523541</v>
      </c>
      <c r="AJ138" s="949">
        <f>(Q138-AC138)*CoreData!$F$99+(R138-AD138)*CoreData!$F$130</f>
        <v>80.468423587064862</v>
      </c>
      <c r="AK138" s="862">
        <f>PS_Survey!$E$8</f>
        <v>85</v>
      </c>
      <c r="AL138" s="862">
        <f t="shared" si="10"/>
        <v>2631.4123743480181</v>
      </c>
      <c r="AM138" s="949">
        <f>(Q138-AC138)/CoreData!$F$136</f>
        <v>31.629580403770252</v>
      </c>
      <c r="AN138" s="862"/>
      <c r="AO138" s="862"/>
      <c r="AP138" s="949">
        <f t="shared" si="11"/>
        <v>5128.7364624713464</v>
      </c>
      <c r="AQ138" s="949">
        <f t="shared" si="12"/>
        <v>74.785975686990781</v>
      </c>
      <c r="AR138" s="950">
        <f t="shared" si="13"/>
        <v>0.82099999999999995</v>
      </c>
      <c r="AS138" s="950">
        <f t="shared" si="14"/>
        <v>0.91199999999999992</v>
      </c>
      <c r="AT138" s="949">
        <f t="shared" si="15"/>
        <v>531842.42796643672</v>
      </c>
      <c r="AU138" s="949">
        <f t="shared" si="16"/>
        <v>238247.1256455023</v>
      </c>
      <c r="AV138" s="949">
        <f t="shared" si="17"/>
        <v>700714.6613523541</v>
      </c>
      <c r="AW138" s="949">
        <f t="shared" si="18"/>
        <v>80.468423587064862</v>
      </c>
      <c r="AX138" s="949">
        <f t="shared" si="19"/>
        <v>85</v>
      </c>
      <c r="AY138" s="949">
        <f t="shared" si="21"/>
        <v>7348.0934406481638</v>
      </c>
      <c r="AZ138" s="949">
        <f t="shared" si="20"/>
        <v>31.629580403770252</v>
      </c>
      <c r="BA138" s="974"/>
      <c r="BB138" s="875">
        <f>H138*I138*J138*((Calculations!$D$29-Calculations!$D$58)/CoreData!$F$11+(Calculations!$D$31-Calculations!$D$60)/CoreData!$F$11*CoreData!$F$23)</f>
        <v>5128.7364624713464</v>
      </c>
      <c r="BC138" s="875">
        <f>H138*I138*J138*((Calculations!$D$35-Calculations!$D$62)/CoreData!$F$11)</f>
        <v>74.785975686990781</v>
      </c>
      <c r="BD138" s="876">
        <f>PS_Survey!$E$3</f>
        <v>0.82099999999999995</v>
      </c>
      <c r="BE138" s="876">
        <f>PS_Survey!$E$4</f>
        <v>0.91199999999999992</v>
      </c>
      <c r="BF138" s="877">
        <f>H138*I138*J138*CoreData!$F$7*PS_Survey!$E$5</f>
        <v>531842.42796643672</v>
      </c>
      <c r="BG138" s="877">
        <f>H138*I138*J138*CoreData!$F$7*(1-CoreData!$F$66)*PS_Survey!$E$6*PS_Survey!$E$7</f>
        <v>238247.1256455023</v>
      </c>
      <c r="BH138" s="875">
        <f>H138*I138*J138*CoreData!$F$7</f>
        <v>700714.6613523541</v>
      </c>
      <c r="BI138" s="875">
        <f>BB138*CoreData!$F$99+Units_month!BC138*CoreData!$F$130</f>
        <v>80.468423587064862</v>
      </c>
      <c r="BJ138" s="878">
        <f>PS_Survey!$E$8</f>
        <v>85</v>
      </c>
      <c r="BK138" s="879">
        <f t="shared" si="25"/>
        <v>7348.0934406481638</v>
      </c>
      <c r="BL138" s="875">
        <f>BB138/CoreData!$F$136</f>
        <v>31.629580403770252</v>
      </c>
      <c r="BM138" s="538"/>
      <c r="BN138" s="538"/>
      <c r="BO138" s="538"/>
      <c r="BP138" s="863"/>
      <c r="BQ138" s="863"/>
      <c r="BR138" s="863"/>
      <c r="BS138" s="863"/>
      <c r="BT138" s="863"/>
      <c r="BU138" s="863"/>
      <c r="BV138" s="863"/>
      <c r="BW138" s="863"/>
      <c r="BX138" s="863"/>
      <c r="BY138" s="863"/>
      <c r="BZ138" s="863"/>
      <c r="CA138" s="863"/>
      <c r="CB138" s="863"/>
      <c r="CC138" s="863"/>
      <c r="CD138" s="863"/>
      <c r="CE138" s="863"/>
      <c r="CF138" s="863"/>
      <c r="CG138" s="863"/>
      <c r="CH138" s="863"/>
      <c r="CI138" s="863"/>
      <c r="CJ138" s="863"/>
      <c r="CK138" s="863"/>
      <c r="CL138" s="863"/>
      <c r="CM138" s="863"/>
      <c r="CN138" s="863"/>
      <c r="CO138" s="863"/>
      <c r="CP138" s="863"/>
      <c r="CQ138" s="863"/>
      <c r="CR138" s="863"/>
      <c r="CS138" s="863"/>
      <c r="CT138" s="863"/>
      <c r="CU138" s="863"/>
      <c r="CV138" s="863"/>
      <c r="CW138" s="863"/>
      <c r="CX138" s="863"/>
      <c r="CY138" s="863"/>
      <c r="CZ138" s="863"/>
      <c r="DA138" s="863"/>
      <c r="DB138" s="863"/>
      <c r="DC138" s="863"/>
      <c r="DD138" s="863"/>
      <c r="DE138" s="863"/>
      <c r="DF138" s="863"/>
      <c r="DG138" s="863"/>
      <c r="DH138" s="863"/>
      <c r="DI138" s="863"/>
      <c r="DJ138" s="863"/>
      <c r="DK138" s="863"/>
      <c r="DL138" s="863"/>
      <c r="DM138" s="863"/>
      <c r="DN138" s="863"/>
      <c r="DO138" s="863"/>
      <c r="DP138" s="863"/>
      <c r="DQ138" s="863"/>
      <c r="DR138" s="863"/>
      <c r="DS138" s="863"/>
      <c r="DT138" s="863"/>
      <c r="DU138" s="863"/>
      <c r="DV138" s="863"/>
      <c r="DW138" s="863"/>
      <c r="DX138" s="863"/>
      <c r="DY138" s="863"/>
      <c r="DZ138" s="863"/>
      <c r="EA138" s="863"/>
      <c r="EB138" s="863"/>
      <c r="EC138" s="863"/>
      <c r="ED138" s="863"/>
      <c r="EE138" s="863"/>
      <c r="EF138" s="863"/>
      <c r="EG138" s="863"/>
      <c r="EH138" s="863"/>
      <c r="EI138" s="863"/>
      <c r="EJ138" s="863"/>
      <c r="EK138" s="863"/>
      <c r="EL138" s="863"/>
      <c r="EM138" s="863"/>
      <c r="EN138" s="863"/>
      <c r="EO138" s="863"/>
      <c r="EP138" s="863"/>
      <c r="EQ138" s="863"/>
      <c r="ER138" s="863"/>
      <c r="ES138" s="863"/>
      <c r="ET138" s="863"/>
      <c r="EU138" s="863"/>
      <c r="EV138" s="863"/>
      <c r="EW138" s="863"/>
      <c r="EX138" s="863"/>
      <c r="EY138" s="863"/>
      <c r="EZ138" s="863"/>
      <c r="FA138" s="863"/>
      <c r="FB138" s="863"/>
      <c r="FC138" s="863"/>
      <c r="FD138" s="863"/>
      <c r="FE138" s="863"/>
      <c r="FF138" s="863"/>
      <c r="FG138" s="863"/>
      <c r="FH138" s="863"/>
      <c r="FI138" s="863"/>
      <c r="FJ138" s="863"/>
      <c r="FK138" s="863"/>
      <c r="FL138" s="863"/>
      <c r="FM138" s="863"/>
      <c r="FN138" s="863"/>
      <c r="FO138" s="863"/>
    </row>
    <row r="139" spans="1:171">
      <c r="A139" s="557" t="s">
        <v>334</v>
      </c>
      <c r="B139" s="557">
        <f t="shared" si="26"/>
        <v>134</v>
      </c>
      <c r="C139" s="529">
        <v>44562</v>
      </c>
      <c r="D139" s="540">
        <f t="shared" si="24"/>
        <v>44592</v>
      </c>
      <c r="E139" s="599">
        <f>Sale_Data!D110</f>
        <v>4200</v>
      </c>
      <c r="F139" s="541"/>
      <c r="G139" s="326">
        <f t="shared" si="23"/>
        <v>4971</v>
      </c>
      <c r="H139" s="610">
        <f>SUM($E$6:E138)-SUM($F$6:G138)</f>
        <v>174198</v>
      </c>
      <c r="I139" s="623">
        <f>VLOOKUP(A139,'Usage Rate Calc'!$T$7:$U$13,2,0)</f>
        <v>0.83958676178013258</v>
      </c>
      <c r="J139" s="624">
        <f>VLOOKUP(A139,WQ_Test!$A$3:$B$9,2,0)</f>
        <v>0.9</v>
      </c>
      <c r="K139" s="804">
        <f>$H139*CoreData!$F$44*I139*J139</f>
        <v>9979.5984077779358</v>
      </c>
      <c r="L139" s="541">
        <f>$H139*CoreData!$F$45*I139*J139</f>
        <v>2585.2387274718931</v>
      </c>
      <c r="M139" s="576">
        <f>$H139*CoreData!$F$46</f>
        <v>175.31593381901254</v>
      </c>
      <c r="N139" s="761">
        <f t="shared" si="22"/>
        <v>7219.0437464870301</v>
      </c>
      <c r="O139" s="862"/>
      <c r="P139" s="862"/>
      <c r="Q139" s="949">
        <f>H139*I139*J139*((Calculations!$D$29)/CoreData!$F$11+(Calculations!$D$31)/CoreData!$F$11*CoreData!$F$23)</f>
        <v>6772.1640124049281</v>
      </c>
      <c r="R139" s="949">
        <f>H139*I139*J139*((Calculations!$D$35)/CoreData!$F$11)</f>
        <v>112.63449653510386</v>
      </c>
      <c r="S139" s="862">
        <v>0</v>
      </c>
      <c r="T139" s="862">
        <v>0</v>
      </c>
      <c r="U139" s="862">
        <v>0</v>
      </c>
      <c r="V139" s="862">
        <v>0</v>
      </c>
      <c r="W139" s="862">
        <v>0</v>
      </c>
      <c r="X139" s="862">
        <v>0</v>
      </c>
      <c r="Y139" s="862">
        <v>0</v>
      </c>
      <c r="Z139" s="862">
        <f t="shared" si="9"/>
        <v>9979.5984077779358</v>
      </c>
      <c r="AA139" s="862"/>
      <c r="AB139" s="862"/>
      <c r="AC139" s="949">
        <f>H139*I139*J139*((Calculations!$D$58)/CoreData!$F$11+(Calculations!$D$60)/CoreData!$F$11*CoreData!$F$23)</f>
        <v>1733.4219835873075</v>
      </c>
      <c r="AD139" s="949">
        <f>H139*I139*J139*((Calculations!$D$62)/CoreData!$F$11)</f>
        <v>39.160797580684566</v>
      </c>
      <c r="AE139" s="950">
        <f>PS_Survey!$E$3</f>
        <v>0.82099999999999995</v>
      </c>
      <c r="AF139" s="950">
        <f>PS_Survey!$E$4</f>
        <v>0.91199999999999992</v>
      </c>
      <c r="AG139" s="862">
        <f>H139*I139*J139*CoreData!$F$7*PS_Survey!$E$5</f>
        <v>522510.13755766052</v>
      </c>
      <c r="AH139" s="862">
        <f>H139*I139*J139*CoreData!$F$7*(1-CoreData!$F$66)*PS_Survey!$E$6*PS_Survey!$E$7</f>
        <v>234066.58033985336</v>
      </c>
      <c r="AI139" s="862">
        <f>H139*I139*J139*CoreData!$F$7</f>
        <v>688419.15356740518</v>
      </c>
      <c r="AJ139" s="949">
        <f>(Q139-AC139)*CoreData!$F$99+(R139-AD139)*CoreData!$F$130</f>
        <v>79.056436392808351</v>
      </c>
      <c r="AK139" s="862">
        <f>PS_Survey!$E$8</f>
        <v>85</v>
      </c>
      <c r="AL139" s="862">
        <f t="shared" si="10"/>
        <v>2585.2387274718931</v>
      </c>
      <c r="AM139" s="949">
        <f>(Q139-AC139)/CoreData!$F$136</f>
        <v>31.074573104024797</v>
      </c>
      <c r="AN139" s="862"/>
      <c r="AO139" s="862"/>
      <c r="AP139" s="949">
        <f t="shared" si="11"/>
        <v>5038.7420288176208</v>
      </c>
      <c r="AQ139" s="949">
        <f t="shared" si="12"/>
        <v>73.473698954419291</v>
      </c>
      <c r="AR139" s="950">
        <f t="shared" si="13"/>
        <v>0.82099999999999995</v>
      </c>
      <c r="AS139" s="950">
        <f t="shared" si="14"/>
        <v>0.91199999999999992</v>
      </c>
      <c r="AT139" s="949">
        <f t="shared" si="15"/>
        <v>522510.13755766052</v>
      </c>
      <c r="AU139" s="949">
        <f t="shared" si="16"/>
        <v>234066.58033985336</v>
      </c>
      <c r="AV139" s="949">
        <f t="shared" si="17"/>
        <v>688419.15356740518</v>
      </c>
      <c r="AW139" s="949">
        <f t="shared" si="18"/>
        <v>79.056436392808351</v>
      </c>
      <c r="AX139" s="949">
        <f t="shared" si="19"/>
        <v>85</v>
      </c>
      <c r="AY139" s="949">
        <f t="shared" si="21"/>
        <v>7219.0437464870301</v>
      </c>
      <c r="AZ139" s="949">
        <f t="shared" si="20"/>
        <v>31.074573104024797</v>
      </c>
      <c r="BA139" s="974"/>
      <c r="BB139" s="875">
        <f>H139*I139*J139*((Calculations!$D$29-Calculations!$D$58)/CoreData!$F$11+(Calculations!$D$31-Calculations!$D$60)/CoreData!$F$11*CoreData!$F$23)</f>
        <v>5038.7420288176199</v>
      </c>
      <c r="BC139" s="875">
        <f>H139*I139*J139*((Calculations!$D$35-Calculations!$D$62)/CoreData!$F$11)</f>
        <v>73.473698954419305</v>
      </c>
      <c r="BD139" s="876">
        <f>PS_Survey!$E$3</f>
        <v>0.82099999999999995</v>
      </c>
      <c r="BE139" s="876">
        <f>PS_Survey!$E$4</f>
        <v>0.91199999999999992</v>
      </c>
      <c r="BF139" s="877">
        <f>H139*I139*J139*CoreData!$F$7*PS_Survey!$E$5</f>
        <v>522510.13755766052</v>
      </c>
      <c r="BG139" s="877">
        <f>H139*I139*J139*CoreData!$F$7*(1-CoreData!$F$66)*PS_Survey!$E$6*PS_Survey!$E$7</f>
        <v>234066.58033985336</v>
      </c>
      <c r="BH139" s="875">
        <f>H139*I139*J139*CoreData!$F$7</f>
        <v>688419.15356740518</v>
      </c>
      <c r="BI139" s="875">
        <f>BB139*CoreData!$F$99+Units_month!BC139*CoreData!$F$130</f>
        <v>79.056436392808337</v>
      </c>
      <c r="BJ139" s="878">
        <f>PS_Survey!$E$8</f>
        <v>85</v>
      </c>
      <c r="BK139" s="879">
        <f t="shared" si="25"/>
        <v>7219.0437464870301</v>
      </c>
      <c r="BL139" s="875">
        <f>BB139/CoreData!$F$136</f>
        <v>31.07457310402479</v>
      </c>
    </row>
    <row r="140" spans="1:171">
      <c r="A140" s="557" t="s">
        <v>334</v>
      </c>
      <c r="B140" s="557">
        <f t="shared" si="26"/>
        <v>135</v>
      </c>
      <c r="C140" s="529">
        <v>44593</v>
      </c>
      <c r="D140" s="540">
        <f t="shared" si="24"/>
        <v>44620</v>
      </c>
      <c r="E140" s="599">
        <f>Sale_Data!D111</f>
        <v>4200</v>
      </c>
      <c r="F140" s="541"/>
      <c r="G140" s="326">
        <f t="shared" si="23"/>
        <v>4522</v>
      </c>
      <c r="H140" s="610">
        <f>SUM($E$6:E139)-SUM($F$6:G139)</f>
        <v>173427</v>
      </c>
      <c r="I140" s="623">
        <f>VLOOKUP(A140,'Usage Rate Calc'!$T$7:$U$13,2,0)</f>
        <v>0.83958676178013258</v>
      </c>
      <c r="J140" s="624">
        <f>VLOOKUP(A140,WQ_Test!$A$3:$B$9,2,0)</f>
        <v>0.9</v>
      </c>
      <c r="K140" s="804">
        <f>$H140*CoreData!$F$44*I140*J140</f>
        <v>9935.4287251616206</v>
      </c>
      <c r="L140" s="541">
        <f>$H140*CoreData!$F$45*I140*J140</f>
        <v>2573.796466028703</v>
      </c>
      <c r="M140" s="576">
        <f>$H140*CoreData!$F$46</f>
        <v>174.53998584616292</v>
      </c>
      <c r="N140" s="761">
        <f t="shared" si="22"/>
        <v>7187.0922732867539</v>
      </c>
      <c r="O140" s="862"/>
      <c r="P140" s="862"/>
      <c r="Q140" s="949">
        <f>H140*I140*J140*((Calculations!$D$29)/CoreData!$F$11+(Calculations!$D$31)/CoreData!$F$11*CoreData!$F$23)</f>
        <v>6742.1904280149556</v>
      </c>
      <c r="R140" s="949">
        <f>H140*I140*J140*((Calculations!$D$35)/CoreData!$F$11)</f>
        <v>112.13597647845242</v>
      </c>
      <c r="S140" s="862">
        <v>0</v>
      </c>
      <c r="T140" s="862">
        <v>0</v>
      </c>
      <c r="U140" s="862">
        <v>0</v>
      </c>
      <c r="V140" s="862">
        <v>0</v>
      </c>
      <c r="W140" s="862">
        <v>0</v>
      </c>
      <c r="X140" s="862">
        <v>0</v>
      </c>
      <c r="Y140" s="862">
        <v>0</v>
      </c>
      <c r="Z140" s="862">
        <f t="shared" si="9"/>
        <v>9935.4287251616206</v>
      </c>
      <c r="AA140" s="862"/>
      <c r="AB140" s="862"/>
      <c r="AC140" s="949">
        <f>H140*I140*J140*((Calculations!$D$58)/CoreData!$F$11+(Calculations!$D$60)/CoreData!$F$11*CoreData!$F$23)</f>
        <v>1725.7498613508535</v>
      </c>
      <c r="AD140" s="949">
        <f>H140*I140*J140*((Calculations!$D$62)/CoreData!$F$11)</f>
        <v>38.98747196882502</v>
      </c>
      <c r="AE140" s="950">
        <f>PS_Survey!$E$3</f>
        <v>0.82099999999999995</v>
      </c>
      <c r="AF140" s="950">
        <f>PS_Survey!$E$4</f>
        <v>0.91199999999999992</v>
      </c>
      <c r="AG140" s="862">
        <f>H140*I140*J140*CoreData!$F$7*PS_Survey!$E$5</f>
        <v>520197.50873266271</v>
      </c>
      <c r="AH140" s="862">
        <f>H140*I140*J140*CoreData!$F$7*(1-CoreData!$F$66)*PS_Survey!$E$6*PS_Survey!$E$7</f>
        <v>233030.60212287022</v>
      </c>
      <c r="AI140" s="862">
        <f>H140*I140*J140*CoreData!$F$7</f>
        <v>685372.2117689891</v>
      </c>
      <c r="AJ140" s="949">
        <f>(Q140-AC140)*CoreData!$F$99+(R140-AD140)*CoreData!$F$130</f>
        <v>78.706532763266921</v>
      </c>
      <c r="AK140" s="862">
        <f>PS_Survey!$E$8</f>
        <v>85</v>
      </c>
      <c r="AL140" s="862">
        <f t="shared" si="10"/>
        <v>2573.796466028703</v>
      </c>
      <c r="AM140" s="949">
        <f>(Q140-AC140)/CoreData!$F$136</f>
        <v>30.937037105544878</v>
      </c>
      <c r="AN140" s="862"/>
      <c r="AO140" s="862"/>
      <c r="AP140" s="949">
        <f t="shared" si="11"/>
        <v>5016.4405666641023</v>
      </c>
      <c r="AQ140" s="949">
        <f t="shared" si="12"/>
        <v>73.148504509627401</v>
      </c>
      <c r="AR140" s="950">
        <f t="shared" si="13"/>
        <v>0.82099999999999995</v>
      </c>
      <c r="AS140" s="950">
        <f t="shared" si="14"/>
        <v>0.91199999999999992</v>
      </c>
      <c r="AT140" s="949">
        <f t="shared" si="15"/>
        <v>520197.50873266271</v>
      </c>
      <c r="AU140" s="949">
        <f t="shared" si="16"/>
        <v>233030.60212287022</v>
      </c>
      <c r="AV140" s="949">
        <f t="shared" si="17"/>
        <v>685372.2117689891</v>
      </c>
      <c r="AW140" s="949">
        <f t="shared" si="18"/>
        <v>78.706532763266921</v>
      </c>
      <c r="AX140" s="949">
        <f t="shared" si="19"/>
        <v>85</v>
      </c>
      <c r="AY140" s="949">
        <f t="shared" si="21"/>
        <v>7187.0922732867539</v>
      </c>
      <c r="AZ140" s="949">
        <f t="shared" si="20"/>
        <v>30.937037105544878</v>
      </c>
      <c r="BA140" s="974"/>
      <c r="BB140" s="875">
        <f>H140*I140*J140*((Calculations!$D$29-Calculations!$D$58)/CoreData!$F$11+(Calculations!$D$31-Calculations!$D$60)/CoreData!$F$11*CoreData!$F$23)</f>
        <v>5016.4405666641023</v>
      </c>
      <c r="BC140" s="875">
        <f>H140*I140*J140*((Calculations!$D$35-Calculations!$D$62)/CoreData!$F$11)</f>
        <v>73.148504509627401</v>
      </c>
      <c r="BD140" s="876">
        <f>PS_Survey!$E$3</f>
        <v>0.82099999999999995</v>
      </c>
      <c r="BE140" s="876">
        <f>PS_Survey!$E$4</f>
        <v>0.91199999999999992</v>
      </c>
      <c r="BF140" s="877">
        <f>H140*I140*J140*CoreData!$F$7*PS_Survey!$E$5</f>
        <v>520197.50873266271</v>
      </c>
      <c r="BG140" s="877">
        <f>H140*I140*J140*CoreData!$F$7*(1-CoreData!$F$66)*PS_Survey!$E$6*PS_Survey!$E$7</f>
        <v>233030.60212287022</v>
      </c>
      <c r="BH140" s="875">
        <f>H140*I140*J140*CoreData!$F$7</f>
        <v>685372.2117689891</v>
      </c>
      <c r="BI140" s="875">
        <f>BB140*CoreData!$F$99+Units_month!BC140*CoreData!$F$130</f>
        <v>78.706532763266921</v>
      </c>
      <c r="BJ140" s="878">
        <f>PS_Survey!$E$8</f>
        <v>85</v>
      </c>
      <c r="BK140" s="879">
        <f t="shared" si="25"/>
        <v>7187.0922732867539</v>
      </c>
      <c r="BL140" s="875">
        <f>BB140/CoreData!$F$136</f>
        <v>30.937037105544878</v>
      </c>
    </row>
    <row r="141" spans="1:171">
      <c r="A141" s="557" t="s">
        <v>334</v>
      </c>
      <c r="B141" s="557">
        <f t="shared" si="26"/>
        <v>136</v>
      </c>
      <c r="C141" s="528">
        <v>44621</v>
      </c>
      <c r="D141" s="540">
        <f t="shared" si="24"/>
        <v>44651</v>
      </c>
      <c r="E141" s="599">
        <f>Sale_Data!D112</f>
        <v>3500</v>
      </c>
      <c r="F141" s="541"/>
      <c r="G141" s="326">
        <f t="shared" si="23"/>
        <v>4309</v>
      </c>
      <c r="H141" s="610">
        <f>SUM($E$6:E140)-SUM($F$6:G140)</f>
        <v>173105</v>
      </c>
      <c r="I141" s="623">
        <f>VLOOKUP(A141,'Usage Rate Calc'!$T$7:$U$13,2,0)</f>
        <v>0.83958676178013258</v>
      </c>
      <c r="J141" s="624">
        <f>VLOOKUP(A141,WQ_Test!$A$3:$B$9,2,0)</f>
        <v>0.9</v>
      </c>
      <c r="K141" s="804">
        <f>$H141*CoreData!$F$44*I141*J141</f>
        <v>9916.9817241208257</v>
      </c>
      <c r="L141" s="541">
        <f>$H141*CoreData!$F$45*I141*J141</f>
        <v>2569.0177264895242</v>
      </c>
      <c r="M141" s="576">
        <f>$H141*CoreData!$F$46</f>
        <v>174.21591937760573</v>
      </c>
      <c r="N141" s="761">
        <f t="shared" si="22"/>
        <v>7173.748078253695</v>
      </c>
      <c r="O141" s="862"/>
      <c r="P141" s="862"/>
      <c r="Q141" s="949">
        <f>H141*I141*J141*((Calculations!$D$29)/CoreData!$F$11+(Calculations!$D$31)/CoreData!$F$11*CoreData!$F$23)</f>
        <v>6729.6722773358761</v>
      </c>
      <c r="R141" s="949">
        <f>H141*I141*J141*((Calculations!$D$35)/CoreData!$F$11)</f>
        <v>111.92777484649164</v>
      </c>
      <c r="S141" s="862">
        <v>0</v>
      </c>
      <c r="T141" s="862">
        <v>0</v>
      </c>
      <c r="U141" s="862">
        <v>0</v>
      </c>
      <c r="V141" s="862">
        <v>0</v>
      </c>
      <c r="W141" s="862">
        <v>0</v>
      </c>
      <c r="X141" s="862">
        <v>0</v>
      </c>
      <c r="Y141" s="862">
        <v>0</v>
      </c>
      <c r="Z141" s="862">
        <f t="shared" si="9"/>
        <v>9916.9817241208257</v>
      </c>
      <c r="AA141" s="862"/>
      <c r="AB141" s="862"/>
      <c r="AC141" s="949">
        <f>H141*I141*J141*((Calculations!$D$58)/CoreData!$F$11+(Calculations!$D$60)/CoreData!$F$11*CoreData!$F$23)</f>
        <v>1722.5456805984045</v>
      </c>
      <c r="AD141" s="949">
        <f>H141*I141*J141*((Calculations!$D$62)/CoreData!$F$11)</f>
        <v>38.915084359202751</v>
      </c>
      <c r="AE141" s="950">
        <f>PS_Survey!$E$3</f>
        <v>0.82099999999999995</v>
      </c>
      <c r="AF141" s="950">
        <f>PS_Survey!$E$4</f>
        <v>0.91199999999999992</v>
      </c>
      <c r="AG141" s="862">
        <f>H141*I141*J141*CoreData!$F$7*PS_Survey!$E$5</f>
        <v>519231.66374997888</v>
      </c>
      <c r="AH141" s="862">
        <f>H141*I141*J141*CoreData!$F$7*(1-CoreData!$F$66)*PS_Survey!$E$6*PS_Survey!$E$7</f>
        <v>232597.93677154911</v>
      </c>
      <c r="AI141" s="862">
        <f>H141*I141*J141*CoreData!$F$7</f>
        <v>684099.68873515003</v>
      </c>
      <c r="AJ141" s="949">
        <f>(Q141-AC141)*CoreData!$F$99+(R141-AD141)*CoreData!$F$130</f>
        <v>78.560399211110834</v>
      </c>
      <c r="AK141" s="862">
        <f>PS_Survey!$E$8</f>
        <v>85</v>
      </c>
      <c r="AL141" s="862">
        <f t="shared" si="10"/>
        <v>2569.0177264895242</v>
      </c>
      <c r="AM141" s="949">
        <f>(Q141-AC141)/CoreData!$F$136</f>
        <v>30.879596649629793</v>
      </c>
      <c r="AN141" s="862"/>
      <c r="AO141" s="862"/>
      <c r="AP141" s="949">
        <f t="shared" si="11"/>
        <v>5007.1265967374711</v>
      </c>
      <c r="AQ141" s="949">
        <f t="shared" si="12"/>
        <v>73.012690487288893</v>
      </c>
      <c r="AR141" s="950">
        <f t="shared" si="13"/>
        <v>0.82099999999999995</v>
      </c>
      <c r="AS141" s="950">
        <f t="shared" si="14"/>
        <v>0.91199999999999992</v>
      </c>
      <c r="AT141" s="949">
        <f t="shared" si="15"/>
        <v>519231.66374997888</v>
      </c>
      <c r="AU141" s="949">
        <f t="shared" si="16"/>
        <v>232597.93677154911</v>
      </c>
      <c r="AV141" s="949">
        <f t="shared" si="17"/>
        <v>684099.68873515003</v>
      </c>
      <c r="AW141" s="949">
        <f t="shared" si="18"/>
        <v>78.560399211110834</v>
      </c>
      <c r="AX141" s="949">
        <f t="shared" si="19"/>
        <v>85</v>
      </c>
      <c r="AY141" s="949">
        <f t="shared" si="21"/>
        <v>7173.748078253695</v>
      </c>
      <c r="AZ141" s="949">
        <f t="shared" si="20"/>
        <v>30.879596649629793</v>
      </c>
      <c r="BA141" s="974"/>
      <c r="BB141" s="875">
        <f>H141*I141*J141*((Calculations!$D$29-Calculations!$D$58)/CoreData!$F$11+(Calculations!$D$31-Calculations!$D$60)/CoreData!$F$11*CoreData!$F$23)</f>
        <v>5007.1265967374711</v>
      </c>
      <c r="BC141" s="875">
        <f>H141*I141*J141*((Calculations!$D$35-Calculations!$D$62)/CoreData!$F$11)</f>
        <v>73.012690487288907</v>
      </c>
      <c r="BD141" s="876">
        <f>PS_Survey!$E$3</f>
        <v>0.82099999999999995</v>
      </c>
      <c r="BE141" s="876">
        <f>PS_Survey!$E$4</f>
        <v>0.91199999999999992</v>
      </c>
      <c r="BF141" s="877">
        <f>H141*I141*J141*CoreData!$F$7*PS_Survey!$E$5</f>
        <v>519231.66374997888</v>
      </c>
      <c r="BG141" s="877">
        <f>H141*I141*J141*CoreData!$F$7*(1-CoreData!$F$66)*PS_Survey!$E$6*PS_Survey!$E$7</f>
        <v>232597.93677154911</v>
      </c>
      <c r="BH141" s="875">
        <f>H141*I141*J141*CoreData!$F$7</f>
        <v>684099.68873515003</v>
      </c>
      <c r="BI141" s="875">
        <f>BB141*CoreData!$F$99+Units_month!BC141*CoreData!$F$130</f>
        <v>78.560399211110834</v>
      </c>
      <c r="BJ141" s="878">
        <f>PS_Survey!$E$8</f>
        <v>85</v>
      </c>
      <c r="BK141" s="879">
        <f t="shared" si="25"/>
        <v>7173.748078253695</v>
      </c>
      <c r="BL141" s="875">
        <f>BB141/CoreData!$F$136</f>
        <v>30.879596649629793</v>
      </c>
    </row>
    <row r="142" spans="1:171" s="492" customFormat="1">
      <c r="A142" s="557" t="s">
        <v>334</v>
      </c>
      <c r="B142" s="557">
        <f t="shared" si="26"/>
        <v>137</v>
      </c>
      <c r="C142" s="529">
        <v>44652</v>
      </c>
      <c r="D142" s="540">
        <f t="shared" si="24"/>
        <v>44681</v>
      </c>
      <c r="E142" s="599">
        <f>Sale_Data!D113</f>
        <v>2800</v>
      </c>
      <c r="F142" s="541"/>
      <c r="G142" s="326">
        <f t="shared" si="23"/>
        <v>3512</v>
      </c>
      <c r="H142" s="610">
        <f>SUM($E$6:E141)-SUM($F$6:G141)</f>
        <v>172296</v>
      </c>
      <c r="I142" s="623">
        <f>VLOOKUP(A142,'Usage Rate Calc'!$T$7:$U$13,2,0)</f>
        <v>0.83958676178013258</v>
      </c>
      <c r="J142" s="624">
        <f>VLOOKUP(A142,WQ_Test!$A$3:$B$9,2,0)</f>
        <v>0.9</v>
      </c>
      <c r="K142" s="804">
        <f>$H142*CoreData!$F$44*I142*J142</f>
        <v>9870.6350662264049</v>
      </c>
      <c r="L142" s="541">
        <f>$H142*CoreData!$F$45*I142*J142</f>
        <v>2557.0115144174865</v>
      </c>
      <c r="M142" s="576">
        <f>$H142*CoreData!$F$46</f>
        <v>173.40172753579594</v>
      </c>
      <c r="N142" s="761">
        <f t="shared" si="22"/>
        <v>7140.2218242731224</v>
      </c>
      <c r="O142" s="862"/>
      <c r="P142" s="862"/>
      <c r="Q142" s="949">
        <f>H142*I142*J142*((Calculations!$D$29)/CoreData!$F$11+(Calculations!$D$31)/CoreData!$F$11*CoreData!$F$23)</f>
        <v>6698.2213956607948</v>
      </c>
      <c r="R142" s="949">
        <f>H142*I142*J142*((Calculations!$D$35)/CoreData!$F$11)</f>
        <v>111.40468441091316</v>
      </c>
      <c r="S142" s="862">
        <v>0</v>
      </c>
      <c r="T142" s="862">
        <v>0</v>
      </c>
      <c r="U142" s="862">
        <v>0</v>
      </c>
      <c r="V142" s="862">
        <v>0</v>
      </c>
      <c r="W142" s="862">
        <v>0</v>
      </c>
      <c r="X142" s="862">
        <v>0</v>
      </c>
      <c r="Y142" s="862">
        <v>0</v>
      </c>
      <c r="Z142" s="862">
        <f t="shared" si="9"/>
        <v>9870.6350662264049</v>
      </c>
      <c r="AA142" s="862"/>
      <c r="AB142" s="862"/>
      <c r="AC142" s="949">
        <f>H142*I142*J142*((Calculations!$D$58)/CoreData!$F$11+(Calculations!$D$60)/CoreData!$F$11*CoreData!$F$23)</f>
        <v>1714.4954252296736</v>
      </c>
      <c r="AD142" s="949">
        <f>H142*I142*J142*((Calculations!$D$62)/CoreData!$F$11)</f>
        <v>38.733216110182816</v>
      </c>
      <c r="AE142" s="950">
        <f>PS_Survey!$E$3</f>
        <v>0.82099999999999995</v>
      </c>
      <c r="AF142" s="950">
        <f>PS_Survey!$E$4</f>
        <v>0.91199999999999992</v>
      </c>
      <c r="AG142" s="862">
        <f>H142*I142*J142*CoreData!$F$7*PS_Survey!$E$5</f>
        <v>516805.05321895005</v>
      </c>
      <c r="AH142" s="862">
        <f>H142*I142*J142*CoreData!$F$7*(1-CoreData!$F$66)*PS_Survey!$E$6*PS_Survey!$E$7</f>
        <v>231510.8986683852</v>
      </c>
      <c r="AI142" s="862">
        <f>H142*I142*J142*CoreData!$F$7</f>
        <v>680902.57341100136</v>
      </c>
      <c r="AJ142" s="949">
        <f>(Q142-AC142)*CoreData!$F$99+(R142-AD142)*CoreData!$F$130</f>
        <v>78.193250007091351</v>
      </c>
      <c r="AK142" s="862">
        <f>PS_Survey!$E$8</f>
        <v>85</v>
      </c>
      <c r="AL142" s="862">
        <f t="shared" si="10"/>
        <v>2557.0115144174865</v>
      </c>
      <c r="AM142" s="949">
        <f>(Q142-AC142)/CoreData!$F$136</f>
        <v>30.735281963805864</v>
      </c>
      <c r="AN142" s="862"/>
      <c r="AO142" s="862"/>
      <c r="AP142" s="949">
        <f t="shared" si="11"/>
        <v>4983.7259704311209</v>
      </c>
      <c r="AQ142" s="949">
        <f t="shared" si="12"/>
        <v>72.671468300730339</v>
      </c>
      <c r="AR142" s="950">
        <f t="shared" si="13"/>
        <v>0.82099999999999995</v>
      </c>
      <c r="AS142" s="950">
        <f t="shared" si="14"/>
        <v>0.91199999999999992</v>
      </c>
      <c r="AT142" s="949">
        <f t="shared" si="15"/>
        <v>516805.05321895005</v>
      </c>
      <c r="AU142" s="949">
        <f t="shared" si="16"/>
        <v>231510.8986683852</v>
      </c>
      <c r="AV142" s="949">
        <f t="shared" si="17"/>
        <v>680902.57341100136</v>
      </c>
      <c r="AW142" s="949">
        <f t="shared" si="18"/>
        <v>78.193250007091351</v>
      </c>
      <c r="AX142" s="949">
        <f t="shared" si="19"/>
        <v>85</v>
      </c>
      <c r="AY142" s="949">
        <f t="shared" si="21"/>
        <v>7140.2218242731224</v>
      </c>
      <c r="AZ142" s="949">
        <f t="shared" si="20"/>
        <v>30.735281963805864</v>
      </c>
      <c r="BA142" s="974"/>
      <c r="BB142" s="875">
        <f>H142*I142*J142*((Calculations!$D$29-Calculations!$D$58)/CoreData!$F$11+(Calculations!$D$31-Calculations!$D$60)/CoreData!$F$11*CoreData!$F$23)</f>
        <v>4983.7259704311209</v>
      </c>
      <c r="BC142" s="875">
        <f>H142*I142*J142*((Calculations!$D$35-Calculations!$D$62)/CoreData!$F$11)</f>
        <v>72.671468300730353</v>
      </c>
      <c r="BD142" s="876">
        <f>PS_Survey!$E$3</f>
        <v>0.82099999999999995</v>
      </c>
      <c r="BE142" s="876">
        <f>PS_Survey!$E$4</f>
        <v>0.91199999999999992</v>
      </c>
      <c r="BF142" s="877">
        <f>H142*I142*J142*CoreData!$F$7*PS_Survey!$E$5</f>
        <v>516805.05321895005</v>
      </c>
      <c r="BG142" s="877">
        <f>H142*I142*J142*CoreData!$F$7*(1-CoreData!$F$66)*PS_Survey!$E$6*PS_Survey!$E$7</f>
        <v>231510.8986683852</v>
      </c>
      <c r="BH142" s="875">
        <f>H142*I142*J142*CoreData!$F$7</f>
        <v>680902.57341100136</v>
      </c>
      <c r="BI142" s="875">
        <f>BB142*CoreData!$F$99+Units_month!BC142*CoreData!$F$130</f>
        <v>78.193250007091365</v>
      </c>
      <c r="BJ142" s="878">
        <f>PS_Survey!$E$8</f>
        <v>85</v>
      </c>
      <c r="BK142" s="879">
        <f t="shared" si="25"/>
        <v>7140.2218242731224</v>
      </c>
      <c r="BL142" s="875">
        <f>BB142/CoreData!$F$136</f>
        <v>30.735281963805864</v>
      </c>
      <c r="BM142" s="538"/>
      <c r="BN142" s="538"/>
      <c r="BO142" s="538"/>
      <c r="BP142" s="863"/>
      <c r="BQ142" s="863"/>
      <c r="BR142" s="863"/>
      <c r="BS142" s="863"/>
      <c r="BT142" s="863"/>
      <c r="BU142" s="863"/>
      <c r="BV142" s="863"/>
      <c r="BW142" s="863"/>
      <c r="BX142" s="863"/>
      <c r="BY142" s="863"/>
      <c r="BZ142" s="863"/>
      <c r="CA142" s="863"/>
      <c r="CB142" s="863"/>
      <c r="CC142" s="863"/>
      <c r="CD142" s="863"/>
      <c r="CE142" s="863"/>
      <c r="CF142" s="863"/>
      <c r="CG142" s="863"/>
      <c r="CH142" s="863"/>
      <c r="CI142" s="863"/>
      <c r="CJ142" s="863"/>
      <c r="CK142" s="863"/>
      <c r="CL142" s="863"/>
      <c r="CM142" s="863"/>
      <c r="CN142" s="863"/>
      <c r="CO142" s="863"/>
      <c r="CP142" s="863"/>
      <c r="CQ142" s="863"/>
      <c r="CR142" s="863"/>
      <c r="CS142" s="863"/>
      <c r="CT142" s="863"/>
      <c r="CU142" s="863"/>
      <c r="CV142" s="863"/>
      <c r="CW142" s="863"/>
      <c r="CX142" s="863"/>
      <c r="CY142" s="863"/>
      <c r="CZ142" s="863"/>
      <c r="DA142" s="863"/>
      <c r="DB142" s="863"/>
      <c r="DC142" s="863"/>
      <c r="DD142" s="863"/>
      <c r="DE142" s="863"/>
      <c r="DF142" s="863"/>
      <c r="DG142" s="863"/>
      <c r="DH142" s="863"/>
      <c r="DI142" s="863"/>
      <c r="DJ142" s="863"/>
      <c r="DK142" s="863"/>
      <c r="DL142" s="863"/>
      <c r="DM142" s="863"/>
      <c r="DN142" s="863"/>
      <c r="DO142" s="863"/>
      <c r="DP142" s="863"/>
      <c r="DQ142" s="863"/>
      <c r="DR142" s="863"/>
      <c r="DS142" s="863"/>
      <c r="DT142" s="863"/>
      <c r="DU142" s="863"/>
      <c r="DV142" s="863"/>
      <c r="DW142" s="863"/>
      <c r="DX142" s="863"/>
      <c r="DY142" s="863"/>
      <c r="DZ142" s="863"/>
      <c r="EA142" s="863"/>
      <c r="EB142" s="863"/>
      <c r="EC142" s="863"/>
      <c r="ED142" s="863"/>
      <c r="EE142" s="863"/>
      <c r="EF142" s="863"/>
      <c r="EG142" s="863"/>
      <c r="EH142" s="863"/>
      <c r="EI142" s="863"/>
      <c r="EJ142" s="863"/>
      <c r="EK142" s="863"/>
      <c r="EL142" s="863"/>
      <c r="EM142" s="863"/>
      <c r="EN142" s="863"/>
      <c r="EO142" s="863"/>
      <c r="EP142" s="863"/>
      <c r="EQ142" s="863"/>
      <c r="ER142" s="863"/>
      <c r="ES142" s="863"/>
      <c r="ET142" s="863"/>
      <c r="EU142" s="863"/>
      <c r="EV142" s="863"/>
      <c r="EW142" s="863"/>
      <c r="EX142" s="863"/>
      <c r="EY142" s="863"/>
      <c r="EZ142" s="863"/>
      <c r="FA142" s="863"/>
      <c r="FB142" s="863"/>
      <c r="FC142" s="863"/>
      <c r="FD142" s="863"/>
      <c r="FE142" s="863"/>
      <c r="FF142" s="863"/>
      <c r="FG142" s="863"/>
      <c r="FH142" s="863"/>
      <c r="FI142" s="863"/>
      <c r="FJ142" s="863"/>
      <c r="FK142" s="863"/>
      <c r="FL142" s="863"/>
      <c r="FM142" s="863"/>
      <c r="FN142" s="863"/>
      <c r="FO142" s="863"/>
    </row>
    <row r="143" spans="1:171">
      <c r="A143" s="557" t="s">
        <v>334</v>
      </c>
      <c r="B143" s="557">
        <f t="shared" si="26"/>
        <v>138</v>
      </c>
      <c r="C143" s="529">
        <v>44682</v>
      </c>
      <c r="D143" s="540">
        <f t="shared" si="24"/>
        <v>44712</v>
      </c>
      <c r="E143" s="599">
        <f>Sale_Data!D114</f>
        <v>3000</v>
      </c>
      <c r="F143" s="541"/>
      <c r="G143" s="326">
        <f t="shared" si="23"/>
        <v>2897</v>
      </c>
      <c r="H143" s="610">
        <f>SUM($E$6:E142)-SUM($F$6:G142)</f>
        <v>171584</v>
      </c>
      <c r="I143" s="623">
        <f>VLOOKUP(A143,'Usage Rate Calc'!$T$7:$U$13,2,0)</f>
        <v>0.83958676178013258</v>
      </c>
      <c r="J143" s="624">
        <f>VLOOKUP(A143,WQ_Test!$A$3:$B$9,2,0)</f>
        <v>0.9</v>
      </c>
      <c r="K143" s="804">
        <f>$H143*CoreData!$F$44*I143*J143</f>
        <v>9829.8454241734653</v>
      </c>
      <c r="L143" s="541">
        <f>$H143*CoreData!$F$45*I143*J143</f>
        <v>2546.444860529612</v>
      </c>
      <c r="M143" s="576">
        <f>$H143*CoreData!$F$46</f>
        <v>172.68515820159502</v>
      </c>
      <c r="N143" s="761">
        <f t="shared" si="22"/>
        <v>7110.7154054422581</v>
      </c>
      <c r="O143" s="862"/>
      <c r="P143" s="862"/>
      <c r="Q143" s="949">
        <f>H143*I143*J143*((Calculations!$D$29)/CoreData!$F$11+(Calculations!$D$31)/CoreData!$F$11*CoreData!$F$23)</f>
        <v>6670.5415096871775</v>
      </c>
      <c r="R143" s="949">
        <f>H143*I143*J143*((Calculations!$D$35)/CoreData!$F$11)</f>
        <v>110.94431310049058</v>
      </c>
      <c r="S143" s="862">
        <v>0</v>
      </c>
      <c r="T143" s="862">
        <v>0</v>
      </c>
      <c r="U143" s="862">
        <v>0</v>
      </c>
      <c r="V143" s="862">
        <v>0</v>
      </c>
      <c r="W143" s="862">
        <v>0</v>
      </c>
      <c r="X143" s="862">
        <v>0</v>
      </c>
      <c r="Y143" s="862">
        <v>0</v>
      </c>
      <c r="Z143" s="862">
        <f t="shared" si="9"/>
        <v>9829.8454241734653</v>
      </c>
      <c r="AA143" s="862"/>
      <c r="AB143" s="862"/>
      <c r="AC143" s="949">
        <f>H143*I143*J143*((Calculations!$D$58)/CoreData!$F$11+(Calculations!$D$60)/CoreData!$F$11*CoreData!$F$23)</f>
        <v>1707.4104044354385</v>
      </c>
      <c r="AD143" s="949">
        <f>H143*I143*J143*((Calculations!$D$62)/CoreData!$F$11)</f>
        <v>38.573154066545996</v>
      </c>
      <c r="AE143" s="950">
        <f>PS_Survey!$E$3</f>
        <v>0.82099999999999995</v>
      </c>
      <c r="AF143" s="950">
        <f>PS_Survey!$E$4</f>
        <v>0.91199999999999992</v>
      </c>
      <c r="AG143" s="862">
        <f>H143*I143*J143*CoreData!$F$7*PS_Survey!$E$5</f>
        <v>514669.39599015843</v>
      </c>
      <c r="AH143" s="862">
        <f>H143*I143*J143*CoreData!$F$7*(1-CoreData!$F$66)*PS_Survey!$E$6*PS_Survey!$E$7</f>
        <v>230554.19764310381</v>
      </c>
      <c r="AI143" s="862">
        <f>H143*I143*J143*CoreData!$F$7</f>
        <v>678088.7957709597</v>
      </c>
      <c r="AJ143" s="949">
        <f>(Q143-AC143)*CoreData!$F$99+(R143-AD143)*CoreData!$F$130</f>
        <v>77.870122401081659</v>
      </c>
      <c r="AK143" s="862">
        <f>PS_Survey!$E$8</f>
        <v>85</v>
      </c>
      <c r="AL143" s="862">
        <f t="shared" si="10"/>
        <v>2546.444860529612</v>
      </c>
      <c r="AM143" s="949">
        <f>(Q143-AC143)/CoreData!$F$136</f>
        <v>30.608270769360093</v>
      </c>
      <c r="AN143" s="862"/>
      <c r="AO143" s="862"/>
      <c r="AP143" s="949">
        <f t="shared" si="11"/>
        <v>4963.1311052517394</v>
      </c>
      <c r="AQ143" s="949">
        <f t="shared" si="12"/>
        <v>72.371159033944579</v>
      </c>
      <c r="AR143" s="950">
        <f t="shared" si="13"/>
        <v>0.82099999999999995</v>
      </c>
      <c r="AS143" s="950">
        <f t="shared" si="14"/>
        <v>0.91199999999999992</v>
      </c>
      <c r="AT143" s="949">
        <f t="shared" si="15"/>
        <v>514669.39599015843</v>
      </c>
      <c r="AU143" s="949">
        <f t="shared" si="16"/>
        <v>230554.19764310381</v>
      </c>
      <c r="AV143" s="949">
        <f t="shared" si="17"/>
        <v>678088.7957709597</v>
      </c>
      <c r="AW143" s="949">
        <f t="shared" si="18"/>
        <v>77.870122401081659</v>
      </c>
      <c r="AX143" s="949">
        <f t="shared" si="19"/>
        <v>85</v>
      </c>
      <c r="AY143" s="949">
        <f t="shared" si="21"/>
        <v>7110.7154054422581</v>
      </c>
      <c r="AZ143" s="949">
        <f t="shared" si="20"/>
        <v>30.608270769360093</v>
      </c>
      <c r="BA143" s="974"/>
      <c r="BB143" s="875">
        <f>H143*I143*J143*((Calculations!$D$29-Calculations!$D$58)/CoreData!$F$11+(Calculations!$D$31-Calculations!$D$60)/CoreData!$F$11*CoreData!$F$23)</f>
        <v>4963.1311052517385</v>
      </c>
      <c r="BC143" s="875">
        <f>H143*I143*J143*((Calculations!$D$35-Calculations!$D$62)/CoreData!$F$11)</f>
        <v>72.371159033944593</v>
      </c>
      <c r="BD143" s="876">
        <f>PS_Survey!$E$3</f>
        <v>0.82099999999999995</v>
      </c>
      <c r="BE143" s="876">
        <f>PS_Survey!$E$4</f>
        <v>0.91199999999999992</v>
      </c>
      <c r="BF143" s="877">
        <f>H143*I143*J143*CoreData!$F$7*PS_Survey!$E$5</f>
        <v>514669.39599015843</v>
      </c>
      <c r="BG143" s="877">
        <f>H143*I143*J143*CoreData!$F$7*(1-CoreData!$F$66)*PS_Survey!$E$6*PS_Survey!$E$7</f>
        <v>230554.19764310381</v>
      </c>
      <c r="BH143" s="875">
        <f>H143*I143*J143*CoreData!$F$7</f>
        <v>678088.7957709597</v>
      </c>
      <c r="BI143" s="875">
        <f>BB143*CoreData!$F$99+Units_month!BC143*CoreData!$F$130</f>
        <v>77.870122401081645</v>
      </c>
      <c r="BJ143" s="878">
        <f>PS_Survey!$E$8</f>
        <v>85</v>
      </c>
      <c r="BK143" s="879">
        <f t="shared" si="25"/>
        <v>7110.7154054422581</v>
      </c>
      <c r="BL143" s="875">
        <f>BB143/CoreData!$F$136</f>
        <v>30.60827076936009</v>
      </c>
    </row>
    <row r="144" spans="1:171">
      <c r="A144" s="557" t="s">
        <v>334</v>
      </c>
      <c r="B144" s="557">
        <f t="shared" si="26"/>
        <v>139</v>
      </c>
      <c r="C144" s="528">
        <v>44713</v>
      </c>
      <c r="D144" s="540">
        <f t="shared" si="24"/>
        <v>44742</v>
      </c>
      <c r="E144" s="599">
        <f>Sale_Data!D115</f>
        <v>3200</v>
      </c>
      <c r="F144" s="541"/>
      <c r="G144" s="326">
        <f t="shared" si="23"/>
        <v>2402</v>
      </c>
      <c r="H144" s="610">
        <f>SUM($E$6:E143)-SUM($F$6:G143)</f>
        <v>171687</v>
      </c>
      <c r="I144" s="623">
        <f>VLOOKUP(A144,'Usage Rate Calc'!$T$7:$U$13,2,0)</f>
        <v>0.83958676178013258</v>
      </c>
      <c r="J144" s="624">
        <f>VLOOKUP(A144,WQ_Test!$A$3:$B$9,2,0)</f>
        <v>0.9</v>
      </c>
      <c r="K144" s="804">
        <f>$H144*CoreData!$F$44*I144*J144</f>
        <v>9835.7461729535971</v>
      </c>
      <c r="L144" s="541">
        <f>$H144*CoreData!$F$45*I144*J144</f>
        <v>2547.973463549908</v>
      </c>
      <c r="M144" s="576">
        <f>$H144*CoreData!$F$46</f>
        <v>172.78881921482912</v>
      </c>
      <c r="N144" s="761">
        <f t="shared" si="22"/>
        <v>7114.9838901888597</v>
      </c>
      <c r="O144" s="862"/>
      <c r="P144" s="862"/>
      <c r="Q144" s="949">
        <f>H144*I144*J144*((Calculations!$D$29)/CoreData!$F$11+(Calculations!$D$31)/CoreData!$F$11*CoreData!$F$23)</f>
        <v>6674.5457628547092</v>
      </c>
      <c r="R144" s="949">
        <f>H144*I144*J144*((Calculations!$D$35)/CoreData!$F$11)</f>
        <v>111.01091175916126</v>
      </c>
      <c r="S144" s="862">
        <v>0</v>
      </c>
      <c r="T144" s="862">
        <v>0</v>
      </c>
      <c r="U144" s="862">
        <v>0</v>
      </c>
      <c r="V144" s="862">
        <v>0</v>
      </c>
      <c r="W144" s="862">
        <v>0</v>
      </c>
      <c r="X144" s="862">
        <v>0</v>
      </c>
      <c r="Y144" s="862">
        <v>0</v>
      </c>
      <c r="Z144" s="862">
        <f t="shared" si="9"/>
        <v>9835.7461729535971</v>
      </c>
      <c r="AA144" s="862"/>
      <c r="AB144" s="862"/>
      <c r="AC144" s="949">
        <f>H144*I144*J144*((Calculations!$D$58)/CoreData!$F$11+(Calculations!$D$60)/CoreData!$F$11*CoreData!$F$23)</f>
        <v>1708.4353442413462</v>
      </c>
      <c r="AD144" s="949">
        <f>H144*I144*J144*((Calculations!$D$62)/CoreData!$F$11)</f>
        <v>38.596309109375476</v>
      </c>
      <c r="AE144" s="950">
        <f>PS_Survey!$E$3</f>
        <v>0.82099999999999995</v>
      </c>
      <c r="AF144" s="950">
        <f>PS_Survey!$E$4</f>
        <v>0.91199999999999992</v>
      </c>
      <c r="AG144" s="862">
        <f>H144*I144*J144*CoreData!$F$7*PS_Survey!$E$5</f>
        <v>514978.34640387405</v>
      </c>
      <c r="AH144" s="862">
        <f>H144*I144*J144*CoreData!$F$7*(1-CoreData!$F$66)*PS_Survey!$E$6*PS_Survey!$E$7</f>
        <v>230692.59680827791</v>
      </c>
      <c r="AI144" s="862">
        <f>H144*I144*J144*CoreData!$F$7</f>
        <v>678495.84506439266</v>
      </c>
      <c r="AJ144" s="949">
        <f>(Q144-AC144)*CoreData!$F$99+(R144-AD144)*CoreData!$F$130</f>
        <v>77.916866984535318</v>
      </c>
      <c r="AK144" s="862">
        <f>PS_Survey!$E$8</f>
        <v>85</v>
      </c>
      <c r="AL144" s="862">
        <f t="shared" si="10"/>
        <v>2547.973463549908</v>
      </c>
      <c r="AM144" s="949">
        <f>(Q144-AC144)/CoreData!$F$136</f>
        <v>30.626644579792558</v>
      </c>
      <c r="AN144" s="862"/>
      <c r="AO144" s="862"/>
      <c r="AP144" s="949">
        <f t="shared" si="11"/>
        <v>4966.1104186133634</v>
      </c>
      <c r="AQ144" s="949">
        <f t="shared" si="12"/>
        <v>72.414602649785792</v>
      </c>
      <c r="AR144" s="950">
        <f t="shared" si="13"/>
        <v>0.82099999999999995</v>
      </c>
      <c r="AS144" s="950">
        <f t="shared" si="14"/>
        <v>0.91199999999999992</v>
      </c>
      <c r="AT144" s="949">
        <f t="shared" si="15"/>
        <v>514978.34640387405</v>
      </c>
      <c r="AU144" s="949">
        <f t="shared" si="16"/>
        <v>230692.59680827791</v>
      </c>
      <c r="AV144" s="949">
        <f t="shared" si="17"/>
        <v>678495.84506439266</v>
      </c>
      <c r="AW144" s="949">
        <f t="shared" si="18"/>
        <v>77.916866984535318</v>
      </c>
      <c r="AX144" s="949">
        <f t="shared" si="19"/>
        <v>85</v>
      </c>
      <c r="AY144" s="949">
        <f t="shared" si="21"/>
        <v>7114.9838901888597</v>
      </c>
      <c r="AZ144" s="949">
        <f t="shared" si="20"/>
        <v>30.626644579792558</v>
      </c>
      <c r="BA144" s="974"/>
      <c r="BB144" s="875">
        <f>H144*I144*J144*((Calculations!$D$29-Calculations!$D$58)/CoreData!$F$11+(Calculations!$D$31-Calculations!$D$60)/CoreData!$F$11*CoreData!$F$23)</f>
        <v>4966.1104186133625</v>
      </c>
      <c r="BC144" s="875">
        <f>H144*I144*J144*((Calculations!$D$35-Calculations!$D$62)/CoreData!$F$11)</f>
        <v>72.414602649785778</v>
      </c>
      <c r="BD144" s="876">
        <f>PS_Survey!$E$3</f>
        <v>0.82099999999999995</v>
      </c>
      <c r="BE144" s="876">
        <f>PS_Survey!$E$4</f>
        <v>0.91199999999999992</v>
      </c>
      <c r="BF144" s="877">
        <f>H144*I144*J144*CoreData!$F$7*PS_Survey!$E$5</f>
        <v>514978.34640387405</v>
      </c>
      <c r="BG144" s="877">
        <f>H144*I144*J144*CoreData!$F$7*(1-CoreData!$F$66)*PS_Survey!$E$6*PS_Survey!$E$7</f>
        <v>230692.59680827791</v>
      </c>
      <c r="BH144" s="875">
        <f>H144*I144*J144*CoreData!$F$7</f>
        <v>678495.84506439266</v>
      </c>
      <c r="BI144" s="875">
        <f>BB144*CoreData!$F$99+Units_month!BC144*CoreData!$F$130</f>
        <v>77.916866984535304</v>
      </c>
      <c r="BJ144" s="878">
        <f>PS_Survey!$E$8</f>
        <v>85</v>
      </c>
      <c r="BK144" s="879">
        <f t="shared" si="25"/>
        <v>7114.9838901888597</v>
      </c>
      <c r="BL144" s="875">
        <f>BB144/CoreData!$F$136</f>
        <v>30.626644579792551</v>
      </c>
    </row>
    <row r="145" spans="1:171">
      <c r="A145" s="557" t="s">
        <v>334</v>
      </c>
      <c r="B145" s="557">
        <f t="shared" si="26"/>
        <v>140</v>
      </c>
      <c r="C145" s="529">
        <v>44743</v>
      </c>
      <c r="D145" s="540">
        <f t="shared" si="24"/>
        <v>44773</v>
      </c>
      <c r="E145" s="599">
        <f>Sale_Data!D116</f>
        <v>3500</v>
      </c>
      <c r="F145" s="541"/>
      <c r="G145" s="326">
        <f t="shared" si="23"/>
        <v>2656</v>
      </c>
      <c r="H145" s="610">
        <f>SUM($E$6:E144)-SUM($F$6:G144)</f>
        <v>172485</v>
      </c>
      <c r="I145" s="623">
        <f>VLOOKUP(A145,'Usage Rate Calc'!$T$7:$U$13,2,0)</f>
        <v>0.83958676178013258</v>
      </c>
      <c r="J145" s="624">
        <f>VLOOKUP(A145,WQ_Test!$A$3:$B$9,2,0)</f>
        <v>0.9</v>
      </c>
      <c r="K145" s="804">
        <f>$H145*CoreData!$F$44*I145*J145</f>
        <v>9881.4626537938275</v>
      </c>
      <c r="L145" s="541">
        <f>$H145*CoreData!$F$45*I145*J145</f>
        <v>2559.8164267557004</v>
      </c>
      <c r="M145" s="576">
        <f>$H145*CoreData!$F$46</f>
        <v>173.59194046299257</v>
      </c>
      <c r="N145" s="761">
        <f t="shared" si="22"/>
        <v>7148.0542865751349</v>
      </c>
      <c r="O145" s="862"/>
      <c r="P145" s="862"/>
      <c r="Q145" s="949">
        <f>H145*I145*J145*((Calculations!$D$29)/CoreData!$F$11+(Calculations!$D$31)/CoreData!$F$11*CoreData!$F$23)</f>
        <v>6705.5690058419959</v>
      </c>
      <c r="R145" s="949">
        <f>H145*I145*J145*((Calculations!$D$35)/CoreData!$F$11)</f>
        <v>111.5268897166293</v>
      </c>
      <c r="S145" s="862">
        <v>0</v>
      </c>
      <c r="T145" s="862">
        <v>0</v>
      </c>
      <c r="U145" s="862">
        <v>0</v>
      </c>
      <c r="V145" s="862">
        <v>0</v>
      </c>
      <c r="W145" s="862">
        <v>0</v>
      </c>
      <c r="X145" s="862">
        <v>0</v>
      </c>
      <c r="Y145" s="862">
        <v>0</v>
      </c>
      <c r="Z145" s="862">
        <f t="shared" si="9"/>
        <v>9881.4626537938275</v>
      </c>
      <c r="AA145" s="862"/>
      <c r="AB145" s="862"/>
      <c r="AC145" s="949">
        <f>H145*I145*J145*((Calculations!$D$58)/CoreData!$F$11+(Calculations!$D$60)/CoreData!$F$11*CoreData!$F$23)</f>
        <v>1716.3761400191549</v>
      </c>
      <c r="AD145" s="949">
        <f>H145*I145*J145*((Calculations!$D$62)/CoreData!$F$11)</f>
        <v>38.775704489743724</v>
      </c>
      <c r="AE145" s="950">
        <f>PS_Survey!$E$3</f>
        <v>0.82099999999999995</v>
      </c>
      <c r="AF145" s="950">
        <f>PS_Survey!$E$4</f>
        <v>0.91199999999999992</v>
      </c>
      <c r="AG145" s="862">
        <f>H145*I145*J145*CoreData!$F$7*PS_Survey!$E$5</f>
        <v>517371.9622305255</v>
      </c>
      <c r="AH145" s="862">
        <f>H145*I145*J145*CoreData!$F$7*(1-CoreData!$F$66)*PS_Survey!$E$6*PS_Survey!$E$7</f>
        <v>231764.85441807372</v>
      </c>
      <c r="AI145" s="862">
        <f>H145*I145*J145*CoreData!$F$7</f>
        <v>681649.48910477664</v>
      </c>
      <c r="AJ145" s="949">
        <f>(Q145-AC145)*CoreData!$F$99+(R145-AD145)*CoreData!$F$130</f>
        <v>78.2790240485743</v>
      </c>
      <c r="AK145" s="862">
        <f>PS_Survey!$E$8</f>
        <v>85</v>
      </c>
      <c r="AL145" s="862">
        <f t="shared" si="10"/>
        <v>2559.8164267557004</v>
      </c>
      <c r="AM145" s="949">
        <f>(Q145-AC145)/CoreData!$F$136</f>
        <v>30.7689970140169</v>
      </c>
      <c r="AN145" s="862"/>
      <c r="AO145" s="862"/>
      <c r="AP145" s="949">
        <f t="shared" si="11"/>
        <v>4989.1928658228408</v>
      </c>
      <c r="AQ145" s="949">
        <f t="shared" si="12"/>
        <v>72.751185226885582</v>
      </c>
      <c r="AR145" s="950">
        <f t="shared" si="13"/>
        <v>0.82099999999999995</v>
      </c>
      <c r="AS145" s="950">
        <f t="shared" si="14"/>
        <v>0.91199999999999992</v>
      </c>
      <c r="AT145" s="949">
        <f t="shared" si="15"/>
        <v>517371.9622305255</v>
      </c>
      <c r="AU145" s="949">
        <f t="shared" si="16"/>
        <v>231764.85441807372</v>
      </c>
      <c r="AV145" s="949">
        <f t="shared" si="17"/>
        <v>681649.48910477664</v>
      </c>
      <c r="AW145" s="949">
        <f t="shared" si="18"/>
        <v>78.2790240485743</v>
      </c>
      <c r="AX145" s="949">
        <f t="shared" si="19"/>
        <v>85</v>
      </c>
      <c r="AY145" s="949">
        <f t="shared" si="21"/>
        <v>7148.0542865751349</v>
      </c>
      <c r="AZ145" s="949">
        <f t="shared" si="20"/>
        <v>30.7689970140169</v>
      </c>
      <c r="BA145" s="974"/>
      <c r="BB145" s="875">
        <f>H145*I145*J145*((Calculations!$D$29-Calculations!$D$58)/CoreData!$F$11+(Calculations!$D$31-Calculations!$D$60)/CoreData!$F$11*CoreData!$F$23)</f>
        <v>4989.1928658228408</v>
      </c>
      <c r="BC145" s="875">
        <f>H145*I145*J145*((Calculations!$D$35-Calculations!$D$62)/CoreData!$F$11)</f>
        <v>72.751185226885568</v>
      </c>
      <c r="BD145" s="876">
        <f>PS_Survey!$E$3</f>
        <v>0.82099999999999995</v>
      </c>
      <c r="BE145" s="876">
        <f>PS_Survey!$E$4</f>
        <v>0.91199999999999992</v>
      </c>
      <c r="BF145" s="877">
        <f>H145*I145*J145*CoreData!$F$7*PS_Survey!$E$5</f>
        <v>517371.9622305255</v>
      </c>
      <c r="BG145" s="877">
        <f>H145*I145*J145*CoreData!$F$7*(1-CoreData!$F$66)*PS_Survey!$E$6*PS_Survey!$E$7</f>
        <v>231764.85441807372</v>
      </c>
      <c r="BH145" s="875">
        <f>H145*I145*J145*CoreData!$F$7</f>
        <v>681649.48910477664</v>
      </c>
      <c r="BI145" s="875">
        <f>BB145*CoreData!$F$99+Units_month!BC145*CoreData!$F$130</f>
        <v>78.2790240485743</v>
      </c>
      <c r="BJ145" s="878">
        <f>PS_Survey!$E$8</f>
        <v>85</v>
      </c>
      <c r="BK145" s="879">
        <f t="shared" si="25"/>
        <v>7148.0542865751349</v>
      </c>
      <c r="BL145" s="875">
        <f>BB145/CoreData!$F$136</f>
        <v>30.7689970140169</v>
      </c>
    </row>
    <row r="146" spans="1:171">
      <c r="A146" s="557" t="s">
        <v>334</v>
      </c>
      <c r="B146" s="557">
        <f t="shared" si="26"/>
        <v>141</v>
      </c>
      <c r="C146" s="529">
        <v>44774</v>
      </c>
      <c r="D146" s="540">
        <f t="shared" si="24"/>
        <v>44804</v>
      </c>
      <c r="E146" s="599">
        <f>Sale_Data!D117</f>
        <v>3500</v>
      </c>
      <c r="F146" s="541"/>
      <c r="G146" s="326">
        <f t="shared" si="23"/>
        <v>3834</v>
      </c>
      <c r="H146" s="610">
        <f>SUM($E$6:E145)-SUM($F$6:G145)</f>
        <v>173329</v>
      </c>
      <c r="I146" s="623">
        <f>VLOOKUP(A146,'Usage Rate Calc'!$T$7:$U$13,2,0)</f>
        <v>0.83958676178013258</v>
      </c>
      <c r="J146" s="624">
        <f>VLOOKUP(A146,WQ_Test!$A$3:$B$9,2,0)</f>
        <v>0.9</v>
      </c>
      <c r="K146" s="804">
        <f>$H146*CoreData!$F$44*I146*J146</f>
        <v>9929.8144204970304</v>
      </c>
      <c r="L146" s="541">
        <f>$H146*CoreData!$F$45*I146*J146</f>
        <v>2572.3420670385181</v>
      </c>
      <c r="M146" s="576">
        <f>$H146*CoreData!$F$46</f>
        <v>174.44135692094986</v>
      </c>
      <c r="N146" s="761">
        <f t="shared" si="22"/>
        <v>7183.0309965375618</v>
      </c>
      <c r="O146" s="862"/>
      <c r="P146" s="862"/>
      <c r="Q146" s="949">
        <f>H146*I146*J146*((Calculations!$D$29)/CoreData!$F$11+(Calculations!$D$31)/CoreData!$F$11*CoreData!$F$23)</f>
        <v>6738.380556069149</v>
      </c>
      <c r="R146" s="949">
        <f>H146*I146*J146*((Calculations!$D$35)/CoreData!$F$11)</f>
        <v>112.0726107643774</v>
      </c>
      <c r="S146" s="862">
        <v>0</v>
      </c>
      <c r="T146" s="862">
        <v>0</v>
      </c>
      <c r="U146" s="862">
        <v>0</v>
      </c>
      <c r="V146" s="862">
        <v>0</v>
      </c>
      <c r="W146" s="862">
        <v>0</v>
      </c>
      <c r="X146" s="862">
        <v>0</v>
      </c>
      <c r="Y146" s="862">
        <v>0</v>
      </c>
      <c r="Z146" s="862">
        <f t="shared" si="9"/>
        <v>9929.8144204970304</v>
      </c>
      <c r="AA146" s="862"/>
      <c r="AB146" s="862"/>
      <c r="AC146" s="949">
        <f>H146*I146*J146*((Calculations!$D$58)/CoreData!$F$11+(Calculations!$D$60)/CoreData!$F$11*CoreData!$F$23)</f>
        <v>1724.774675904456</v>
      </c>
      <c r="AD146" s="949">
        <f>H146*I146*J146*((Calculations!$D$62)/CoreData!$F$11)</f>
        <v>38.965440957200855</v>
      </c>
      <c r="AE146" s="950">
        <f>PS_Survey!$E$3</f>
        <v>0.82099999999999995</v>
      </c>
      <c r="AF146" s="950">
        <f>PS_Survey!$E$4</f>
        <v>0.91199999999999992</v>
      </c>
      <c r="AG146" s="862">
        <f>H146*I146*J146*CoreData!$F$7*PS_Survey!$E$5</f>
        <v>519903.55591184594</v>
      </c>
      <c r="AH146" s="862">
        <f>H146*I146*J146*CoreData!$F$7*(1-CoreData!$F$66)*PS_Survey!$E$6*PS_Survey!$E$7</f>
        <v>232898.9213637725</v>
      </c>
      <c r="AI146" s="862">
        <f>H146*I146*J146*CoreData!$F$7</f>
        <v>684984.92214999464</v>
      </c>
      <c r="AJ146" s="949">
        <f>(Q146-AC146)*CoreData!$F$99+(R146-AD146)*CoreData!$F$130</f>
        <v>78.662057334349853</v>
      </c>
      <c r="AK146" s="862">
        <f>PS_Survey!$E$8</f>
        <v>85</v>
      </c>
      <c r="AL146" s="862">
        <f t="shared" si="10"/>
        <v>2572.3420670385181</v>
      </c>
      <c r="AM146" s="949">
        <f>(Q146-AC146)/CoreData!$F$136</f>
        <v>30.919555227657682</v>
      </c>
      <c r="AN146" s="862"/>
      <c r="AO146" s="862"/>
      <c r="AP146" s="949">
        <f t="shared" si="11"/>
        <v>5013.6058801646932</v>
      </c>
      <c r="AQ146" s="949">
        <f t="shared" si="12"/>
        <v>73.107169807176547</v>
      </c>
      <c r="AR146" s="950">
        <f t="shared" si="13"/>
        <v>0.82099999999999995</v>
      </c>
      <c r="AS146" s="950">
        <f t="shared" si="14"/>
        <v>0.91199999999999992</v>
      </c>
      <c r="AT146" s="949">
        <f t="shared" si="15"/>
        <v>519903.55591184594</v>
      </c>
      <c r="AU146" s="949">
        <f t="shared" si="16"/>
        <v>232898.9213637725</v>
      </c>
      <c r="AV146" s="949">
        <f t="shared" si="17"/>
        <v>684984.92214999464</v>
      </c>
      <c r="AW146" s="949">
        <f t="shared" si="18"/>
        <v>78.662057334349853</v>
      </c>
      <c r="AX146" s="949">
        <f t="shared" si="19"/>
        <v>85</v>
      </c>
      <c r="AY146" s="949">
        <f t="shared" si="21"/>
        <v>7183.0309965375618</v>
      </c>
      <c r="AZ146" s="949">
        <f t="shared" si="20"/>
        <v>30.919555227657682</v>
      </c>
      <c r="BA146" s="974"/>
      <c r="BB146" s="875">
        <f>H146*I146*J146*((Calculations!$D$29-Calculations!$D$58)/CoreData!$F$11+(Calculations!$D$31-Calculations!$D$60)/CoreData!$F$11*CoreData!$F$23)</f>
        <v>5013.6058801646923</v>
      </c>
      <c r="BC146" s="875">
        <f>H146*I146*J146*((Calculations!$D$35-Calculations!$D$62)/CoreData!$F$11)</f>
        <v>73.107169807176561</v>
      </c>
      <c r="BD146" s="876">
        <f>PS_Survey!$E$3</f>
        <v>0.82099999999999995</v>
      </c>
      <c r="BE146" s="876">
        <f>PS_Survey!$E$4</f>
        <v>0.91199999999999992</v>
      </c>
      <c r="BF146" s="877">
        <f>H146*I146*J146*CoreData!$F$7*PS_Survey!$E$5</f>
        <v>519903.55591184594</v>
      </c>
      <c r="BG146" s="877">
        <f>H146*I146*J146*CoreData!$F$7*(1-CoreData!$F$66)*PS_Survey!$E$6*PS_Survey!$E$7</f>
        <v>232898.9213637725</v>
      </c>
      <c r="BH146" s="875">
        <f>H146*I146*J146*CoreData!$F$7</f>
        <v>684984.92214999464</v>
      </c>
      <c r="BI146" s="875">
        <f>BB146*CoreData!$F$99+Units_month!BC146*CoreData!$F$130</f>
        <v>78.662057334349839</v>
      </c>
      <c r="BJ146" s="878">
        <f>PS_Survey!$E$8</f>
        <v>85</v>
      </c>
      <c r="BK146" s="879">
        <f t="shared" si="25"/>
        <v>7183.0309965375618</v>
      </c>
      <c r="BL146" s="875">
        <f>BB146/CoreData!$F$136</f>
        <v>30.919555227657675</v>
      </c>
    </row>
    <row r="147" spans="1:171">
      <c r="A147" s="557" t="s">
        <v>334</v>
      </c>
      <c r="B147" s="557">
        <f t="shared" si="26"/>
        <v>142</v>
      </c>
      <c r="C147" s="528">
        <v>44805</v>
      </c>
      <c r="D147" s="540">
        <f t="shared" si="24"/>
        <v>44834</v>
      </c>
      <c r="E147" s="599">
        <f>Sale_Data!D118</f>
        <v>3800</v>
      </c>
      <c r="F147" s="541"/>
      <c r="G147" s="326">
        <f t="shared" si="23"/>
        <v>5672</v>
      </c>
      <c r="H147" s="610">
        <f>SUM($E$6:E146)-SUM($F$6:G146)</f>
        <v>172995</v>
      </c>
      <c r="I147" s="623">
        <f>VLOOKUP(A147,'Usage Rate Calc'!$T$7:$U$13,2,0)</f>
        <v>0.83958676178013258</v>
      </c>
      <c r="J147" s="624">
        <f>VLOOKUP(A147,WQ_Test!$A$3:$B$9,2,0)</f>
        <v>0.9</v>
      </c>
      <c r="K147" s="804">
        <f>$H147*CoreData!$F$44*I147*J147</f>
        <v>9910.6799535789396</v>
      </c>
      <c r="L147" s="541">
        <f>$H147*CoreData!$F$45*I147*J147</f>
        <v>2567.3852378270713</v>
      </c>
      <c r="M147" s="576">
        <f>$H147*CoreData!$F$46</f>
        <v>174.1052134411421</v>
      </c>
      <c r="N147" s="761">
        <f t="shared" si="22"/>
        <v>7169.1895023107263</v>
      </c>
      <c r="O147" s="862"/>
      <c r="P147" s="862"/>
      <c r="Q147" s="949">
        <f>H147*I147*J147*((Calculations!$D$29)/CoreData!$F$11+(Calculations!$D$31)/CoreData!$F$11*CoreData!$F$23)</f>
        <v>6725.3958904579295</v>
      </c>
      <c r="R147" s="949">
        <f>H147*I147*J147*((Calculations!$D$35)/CoreData!$F$11)</f>
        <v>111.85665006538704</v>
      </c>
      <c r="S147" s="862">
        <v>0</v>
      </c>
      <c r="T147" s="862">
        <v>0</v>
      </c>
      <c r="U147" s="862">
        <v>0</v>
      </c>
      <c r="V147" s="862">
        <v>0</v>
      </c>
      <c r="W147" s="862">
        <v>0</v>
      </c>
      <c r="X147" s="862">
        <v>0</v>
      </c>
      <c r="Y147" s="862">
        <v>0</v>
      </c>
      <c r="Z147" s="862">
        <f t="shared" si="9"/>
        <v>9910.6799535789396</v>
      </c>
      <c r="AA147" s="862"/>
      <c r="AB147" s="862"/>
      <c r="AC147" s="949">
        <f>H147*I147*J147*((Calculations!$D$58)/CoreData!$F$11+(Calculations!$D$60)/CoreData!$F$11*CoreData!$F$23)</f>
        <v>1721.4510846891828</v>
      </c>
      <c r="AD147" s="949">
        <f>H147*I147*J147*((Calculations!$D$62)/CoreData!$F$11)</f>
        <v>38.890355672685828</v>
      </c>
      <c r="AE147" s="950">
        <f>PS_Survey!$E$3</f>
        <v>0.82099999999999995</v>
      </c>
      <c r="AF147" s="950">
        <f>PS_Survey!$E$4</f>
        <v>0.91199999999999992</v>
      </c>
      <c r="AG147" s="862">
        <f>H147*I147*J147*CoreData!$F$7*PS_Survey!$E$5</f>
        <v>518901.71670620487</v>
      </c>
      <c r="AH147" s="862">
        <f>H147*I147*J147*CoreData!$F$7*(1-CoreData!$F$66)*PS_Survey!$E$6*PS_Survey!$E$7</f>
        <v>232450.13183786799</v>
      </c>
      <c r="AI147" s="862">
        <f>H147*I147*J147*CoreData!$F$7</f>
        <v>683664.97589750309</v>
      </c>
      <c r="AJ147" s="949">
        <f>(Q147-AC147)*CoreData!$F$99+(R147-AD147)*CoreData!$F$130</f>
        <v>78.510477811305975</v>
      </c>
      <c r="AK147" s="862">
        <f>PS_Survey!$E$8</f>
        <v>85</v>
      </c>
      <c r="AL147" s="862">
        <f t="shared" si="10"/>
        <v>2567.3852378270713</v>
      </c>
      <c r="AM147" s="949">
        <f>(Q147-AC147)/CoreData!$F$136</f>
        <v>30.859974133633962</v>
      </c>
      <c r="AN147" s="862"/>
      <c r="AO147" s="862"/>
      <c r="AP147" s="949">
        <f t="shared" si="11"/>
        <v>5003.9448057687468</v>
      </c>
      <c r="AQ147" s="949">
        <f t="shared" si="12"/>
        <v>72.966294392701215</v>
      </c>
      <c r="AR147" s="950">
        <f t="shared" si="13"/>
        <v>0.82099999999999995</v>
      </c>
      <c r="AS147" s="950">
        <f t="shared" si="14"/>
        <v>0.91199999999999992</v>
      </c>
      <c r="AT147" s="949">
        <f t="shared" si="15"/>
        <v>518901.71670620487</v>
      </c>
      <c r="AU147" s="949">
        <f t="shared" si="16"/>
        <v>232450.13183786799</v>
      </c>
      <c r="AV147" s="949">
        <f t="shared" si="17"/>
        <v>683664.97589750309</v>
      </c>
      <c r="AW147" s="949">
        <f t="shared" si="18"/>
        <v>78.510477811305975</v>
      </c>
      <c r="AX147" s="949">
        <f t="shared" si="19"/>
        <v>85</v>
      </c>
      <c r="AY147" s="949">
        <f t="shared" si="21"/>
        <v>7169.1895023107263</v>
      </c>
      <c r="AZ147" s="949">
        <f t="shared" si="20"/>
        <v>30.859974133633962</v>
      </c>
      <c r="BA147" s="974"/>
      <c r="BB147" s="875">
        <f>H147*I147*J147*((Calculations!$D$29-Calculations!$D$58)/CoreData!$F$11+(Calculations!$D$31-Calculations!$D$60)/CoreData!$F$11*CoreData!$F$23)</f>
        <v>5003.9448057687459</v>
      </c>
      <c r="BC147" s="875">
        <f>H147*I147*J147*((Calculations!$D$35-Calculations!$D$62)/CoreData!$F$11)</f>
        <v>72.966294392701215</v>
      </c>
      <c r="BD147" s="876">
        <f>PS_Survey!$E$3</f>
        <v>0.82099999999999995</v>
      </c>
      <c r="BE147" s="876">
        <f>PS_Survey!$E$4</f>
        <v>0.91199999999999992</v>
      </c>
      <c r="BF147" s="877">
        <f>H147*I147*J147*CoreData!$F$7*PS_Survey!$E$5</f>
        <v>518901.71670620487</v>
      </c>
      <c r="BG147" s="877">
        <f>H147*I147*J147*CoreData!$F$7*(1-CoreData!$F$66)*PS_Survey!$E$6*PS_Survey!$E$7</f>
        <v>232450.13183786799</v>
      </c>
      <c r="BH147" s="875">
        <f>H147*I147*J147*CoreData!$F$7</f>
        <v>683664.97589750309</v>
      </c>
      <c r="BI147" s="875">
        <f>BB147*CoreData!$F$99+Units_month!BC147*CoreData!$F$130</f>
        <v>78.510477811305961</v>
      </c>
      <c r="BJ147" s="878">
        <f>PS_Survey!$E$8</f>
        <v>85</v>
      </c>
      <c r="BK147" s="879">
        <f t="shared" si="25"/>
        <v>7169.1895023107263</v>
      </c>
      <c r="BL147" s="875">
        <f>BB147/CoreData!$F$136</f>
        <v>30.859974133633955</v>
      </c>
    </row>
    <row r="148" spans="1:171">
      <c r="A148" s="557" t="s">
        <v>334</v>
      </c>
      <c r="B148" s="557">
        <f t="shared" si="26"/>
        <v>143</v>
      </c>
      <c r="C148" s="529">
        <v>44835</v>
      </c>
      <c r="D148" s="540">
        <f t="shared" si="24"/>
        <v>44865</v>
      </c>
      <c r="E148" s="599">
        <f>Sale_Data!D119</f>
        <v>3800</v>
      </c>
      <c r="F148" s="541"/>
      <c r="G148" s="326">
        <f t="shared" si="23"/>
        <v>2424</v>
      </c>
      <c r="H148" s="610">
        <f>SUM($E$6:E147)-SUM($F$6:G147)</f>
        <v>171123</v>
      </c>
      <c r="I148" s="623">
        <f>VLOOKUP(A148,'Usage Rate Calc'!$T$7:$U$13,2,0)</f>
        <v>0.83958676178013258</v>
      </c>
      <c r="J148" s="624">
        <f>VLOOKUP(A148,WQ_Test!$A$3:$B$9,2,0)</f>
        <v>0.9</v>
      </c>
      <c r="K148" s="804">
        <f>$H148*CoreData!$F$44*I148*J148</f>
        <v>9803.4352767206492</v>
      </c>
      <c r="L148" s="541">
        <f>$H148*CoreData!$F$45*I148*J148</f>
        <v>2539.6032489533336</v>
      </c>
      <c r="M148" s="576">
        <f>$H148*CoreData!$F$46</f>
        <v>172.22119968605199</v>
      </c>
      <c r="N148" s="761">
        <f t="shared" si="22"/>
        <v>7091.6108280812632</v>
      </c>
      <c r="O148" s="862"/>
      <c r="P148" s="862"/>
      <c r="Q148" s="949">
        <f>H148*I148*J148*((Calculations!$D$29)/CoreData!$F$11+(Calculations!$D$31)/CoreData!$F$11*CoreData!$F$23)</f>
        <v>6652.6195610441464</v>
      </c>
      <c r="R148" s="949">
        <f>H148*I148*J148*((Calculations!$D$35)/CoreData!$F$11)</f>
        <v>110.64623560877034</v>
      </c>
      <c r="S148" s="862">
        <v>0</v>
      </c>
      <c r="T148" s="862">
        <v>0</v>
      </c>
      <c r="U148" s="862">
        <v>0</v>
      </c>
      <c r="V148" s="862">
        <v>0</v>
      </c>
      <c r="W148" s="862">
        <v>0</v>
      </c>
      <c r="X148" s="862">
        <v>0</v>
      </c>
      <c r="Y148" s="862">
        <v>0</v>
      </c>
      <c r="Z148" s="862">
        <f t="shared" si="9"/>
        <v>9803.4352767206492</v>
      </c>
      <c r="AA148" s="862"/>
      <c r="AB148" s="862"/>
      <c r="AC148" s="949">
        <f>H148*I148*J148*((Calculations!$D$58)/CoreData!$F$11+(Calculations!$D$60)/CoreData!$F$11*CoreData!$F$23)</f>
        <v>1702.8230524886094</v>
      </c>
      <c r="AD148" s="949">
        <f>H148*I148*J148*((Calculations!$D$62)/CoreData!$F$11)</f>
        <v>38.469518389415974</v>
      </c>
      <c r="AE148" s="950">
        <f>PS_Survey!$E$3</f>
        <v>0.82099999999999995</v>
      </c>
      <c r="AF148" s="950">
        <f>PS_Survey!$E$4</f>
        <v>0.91199999999999992</v>
      </c>
      <c r="AG148" s="862">
        <f>H148*I148*J148*CoreData!$F$7*PS_Survey!$E$5</f>
        <v>513286.6179248874</v>
      </c>
      <c r="AH148" s="862">
        <f>H148*I148*J148*CoreData!$F$7*(1-CoreData!$F$66)*PS_Survey!$E$6*PS_Survey!$E$7</f>
        <v>229934.76060285835</v>
      </c>
      <c r="AI148" s="862">
        <f>H148*I148*J148*CoreData!$F$7</f>
        <v>676266.95378773042</v>
      </c>
      <c r="AJ148" s="949">
        <f>(Q148-AC148)*CoreData!$F$99+(R148-AD148)*CoreData!$F$130</f>
        <v>77.66090635280851</v>
      </c>
      <c r="AK148" s="862">
        <f>PS_Survey!$E$8</f>
        <v>85</v>
      </c>
      <c r="AL148" s="862">
        <f t="shared" si="10"/>
        <v>2539.6032489533336</v>
      </c>
      <c r="AM148" s="949">
        <f>(Q148-AC148)/CoreData!$F$136</f>
        <v>30.526034588686628</v>
      </c>
      <c r="AN148" s="862"/>
      <c r="AO148" s="862"/>
      <c r="AP148" s="949">
        <f t="shared" si="11"/>
        <v>4949.796508555537</v>
      </c>
      <c r="AQ148" s="949">
        <f t="shared" si="12"/>
        <v>72.176717219354373</v>
      </c>
      <c r="AR148" s="950">
        <f t="shared" si="13"/>
        <v>0.82099999999999995</v>
      </c>
      <c r="AS148" s="950">
        <f t="shared" si="14"/>
        <v>0.91199999999999992</v>
      </c>
      <c r="AT148" s="949">
        <f t="shared" si="15"/>
        <v>513286.6179248874</v>
      </c>
      <c r="AU148" s="949">
        <f t="shared" si="16"/>
        <v>229934.76060285835</v>
      </c>
      <c r="AV148" s="949">
        <f t="shared" si="17"/>
        <v>676266.95378773042</v>
      </c>
      <c r="AW148" s="949">
        <f t="shared" si="18"/>
        <v>77.66090635280851</v>
      </c>
      <c r="AX148" s="949">
        <f t="shared" si="19"/>
        <v>85</v>
      </c>
      <c r="AY148" s="949">
        <f t="shared" si="21"/>
        <v>7091.6108280812632</v>
      </c>
      <c r="AZ148" s="949">
        <f t="shared" si="20"/>
        <v>30.526034588686628</v>
      </c>
      <c r="BA148" s="974"/>
      <c r="BB148" s="875">
        <f>H148*I148*J148*((Calculations!$D$29-Calculations!$D$58)/CoreData!$F$11+(Calculations!$D$31-Calculations!$D$60)/CoreData!$F$11*CoreData!$F$23)</f>
        <v>4949.796508555537</v>
      </c>
      <c r="BC148" s="875">
        <f>H148*I148*J148*((Calculations!$D$35-Calculations!$D$62)/CoreData!$F$11)</f>
        <v>72.176717219354359</v>
      </c>
      <c r="BD148" s="876">
        <f>PS_Survey!$E$3</f>
        <v>0.82099999999999995</v>
      </c>
      <c r="BE148" s="876">
        <f>PS_Survey!$E$4</f>
        <v>0.91199999999999992</v>
      </c>
      <c r="BF148" s="877">
        <f>H148*I148*J148*CoreData!$F$7*PS_Survey!$E$5</f>
        <v>513286.6179248874</v>
      </c>
      <c r="BG148" s="877">
        <f>H148*I148*J148*CoreData!$F$7*(1-CoreData!$F$66)*PS_Survey!$E$6*PS_Survey!$E$7</f>
        <v>229934.76060285835</v>
      </c>
      <c r="BH148" s="875">
        <f>H148*I148*J148*CoreData!$F$7</f>
        <v>676266.95378773042</v>
      </c>
      <c r="BI148" s="875">
        <f>BB148*CoreData!$F$99+Units_month!BC148*CoreData!$F$130</f>
        <v>77.66090635280851</v>
      </c>
      <c r="BJ148" s="878">
        <f>PS_Survey!$E$8</f>
        <v>85</v>
      </c>
      <c r="BK148" s="879">
        <f t="shared" si="25"/>
        <v>7091.6108280812632</v>
      </c>
      <c r="BL148" s="875">
        <f>BB148/CoreData!$F$136</f>
        <v>30.526034588686628</v>
      </c>
    </row>
    <row r="149" spans="1:171" s="490" customFormat="1" ht="15.75" thickBot="1">
      <c r="A149" s="557" t="s">
        <v>334</v>
      </c>
      <c r="B149" s="557">
        <f t="shared" si="26"/>
        <v>144</v>
      </c>
      <c r="C149" s="529">
        <v>44866</v>
      </c>
      <c r="D149" s="540">
        <f t="shared" si="24"/>
        <v>44895</v>
      </c>
      <c r="E149" s="599">
        <f>Sale_Data!D120</f>
        <v>4000</v>
      </c>
      <c r="F149" s="541"/>
      <c r="G149" s="326">
        <f t="shared" si="23"/>
        <v>3788</v>
      </c>
      <c r="H149" s="610">
        <f>SUM($E$6:E148)-SUM($F$6:G148)</f>
        <v>172499</v>
      </c>
      <c r="I149" s="623">
        <f>VLOOKUP(A149,'Usage Rate Calc'!$T$7:$U$13,2,0)</f>
        <v>0.83958676178013258</v>
      </c>
      <c r="J149" s="624">
        <f>VLOOKUP(A149,WQ_Test!$A$3:$B$9,2,0)</f>
        <v>0.9</v>
      </c>
      <c r="K149" s="804">
        <f>$H149*CoreData!$F$44*I149*J149</f>
        <v>9882.2646973173396</v>
      </c>
      <c r="L149" s="541">
        <f>$H149*CoreData!$F$45*I149*J149</f>
        <v>2560.0241980400128</v>
      </c>
      <c r="M149" s="576">
        <f>$H149*CoreData!$F$46</f>
        <v>173.60603030945157</v>
      </c>
      <c r="N149" s="761">
        <f t="shared" si="22"/>
        <v>7148.6344689678745</v>
      </c>
      <c r="O149" s="862"/>
      <c r="P149" s="862"/>
      <c r="Q149" s="949">
        <f>H149*I149*J149*((Calculations!$D$29)/CoreData!$F$11+(Calculations!$D$31)/CoreData!$F$11*CoreData!$F$23)</f>
        <v>6706.1132732628248</v>
      </c>
      <c r="R149" s="949">
        <f>H149*I149*J149*((Calculations!$D$35)/CoreData!$F$11)</f>
        <v>111.53594196149714</v>
      </c>
      <c r="S149" s="862">
        <v>0</v>
      </c>
      <c r="T149" s="862">
        <v>0</v>
      </c>
      <c r="U149" s="862">
        <v>0</v>
      </c>
      <c r="V149" s="862">
        <v>0</v>
      </c>
      <c r="W149" s="862">
        <v>0</v>
      </c>
      <c r="X149" s="862">
        <v>0</v>
      </c>
      <c r="Y149" s="862">
        <v>0</v>
      </c>
      <c r="Z149" s="862">
        <f t="shared" si="9"/>
        <v>9882.2646973173396</v>
      </c>
      <c r="AA149" s="862"/>
      <c r="AB149" s="862"/>
      <c r="AC149" s="949">
        <f>H149*I149*J149*((Calculations!$D$58)/CoreData!$F$11+(Calculations!$D$60)/CoreData!$F$11*CoreData!$F$23)</f>
        <v>1716.5154522257831</v>
      </c>
      <c r="AD149" s="949">
        <f>H149*I149*J149*((Calculations!$D$62)/CoreData!$F$11)</f>
        <v>38.778851777118604</v>
      </c>
      <c r="AE149" s="950">
        <f>PS_Survey!$E$3</f>
        <v>0.82099999999999995</v>
      </c>
      <c r="AF149" s="950">
        <f>PS_Survey!$E$4</f>
        <v>0.91199999999999992</v>
      </c>
      <c r="AG149" s="862">
        <f>H149*I149*J149*CoreData!$F$7*PS_Survey!$E$5</f>
        <v>517413.95549064211</v>
      </c>
      <c r="AH149" s="862">
        <f>H149*I149*J149*CoreData!$F$7*(1-CoreData!$F$66)*PS_Survey!$E$6*PS_Survey!$E$7</f>
        <v>231783.66595508766</v>
      </c>
      <c r="AI149" s="862">
        <f>H149*I149*J149*CoreData!$F$7</f>
        <v>681704.81619320437</v>
      </c>
      <c r="AJ149" s="949">
        <f>(Q149-AC149)*CoreData!$F$99+(R149-AD149)*CoreData!$F$130</f>
        <v>78.285377681276728</v>
      </c>
      <c r="AK149" s="862">
        <f>PS_Survey!$E$8</f>
        <v>85</v>
      </c>
      <c r="AL149" s="862">
        <f t="shared" si="10"/>
        <v>2560.0241980400128</v>
      </c>
      <c r="AM149" s="949">
        <f>(Q149-AC149)/CoreData!$F$136</f>
        <v>30.77149442514364</v>
      </c>
      <c r="AN149" s="862"/>
      <c r="AO149" s="862"/>
      <c r="AP149" s="949">
        <f t="shared" si="11"/>
        <v>4989.5978210370413</v>
      </c>
      <c r="AQ149" s="949">
        <f t="shared" si="12"/>
        <v>72.757090184378541</v>
      </c>
      <c r="AR149" s="950">
        <f t="shared" si="13"/>
        <v>0.82099999999999995</v>
      </c>
      <c r="AS149" s="950">
        <f t="shared" si="14"/>
        <v>0.91199999999999992</v>
      </c>
      <c r="AT149" s="949">
        <f t="shared" si="15"/>
        <v>517413.95549064211</v>
      </c>
      <c r="AU149" s="949">
        <f t="shared" si="16"/>
        <v>231783.66595508766</v>
      </c>
      <c r="AV149" s="949">
        <f t="shared" si="17"/>
        <v>681704.81619320437</v>
      </c>
      <c r="AW149" s="949">
        <f t="shared" si="18"/>
        <v>78.285377681276728</v>
      </c>
      <c r="AX149" s="949">
        <f t="shared" si="19"/>
        <v>85</v>
      </c>
      <c r="AY149" s="949">
        <f t="shared" si="21"/>
        <v>7148.6344689678745</v>
      </c>
      <c r="AZ149" s="949">
        <f t="shared" si="20"/>
        <v>30.77149442514364</v>
      </c>
      <c r="BA149" s="974"/>
      <c r="BB149" s="875">
        <f>H149*I149*J149*((Calculations!$D$29-Calculations!$D$58)/CoreData!$F$11+(Calculations!$D$31-Calculations!$D$60)/CoreData!$F$11*CoreData!$F$23)</f>
        <v>4989.5978210370413</v>
      </c>
      <c r="BC149" s="875">
        <f>H149*I149*J149*((Calculations!$D$35-Calculations!$D$62)/CoreData!$F$11)</f>
        <v>72.757090184378555</v>
      </c>
      <c r="BD149" s="876">
        <f>PS_Survey!$E$3</f>
        <v>0.82099999999999995</v>
      </c>
      <c r="BE149" s="876">
        <f>PS_Survey!$E$4</f>
        <v>0.91199999999999992</v>
      </c>
      <c r="BF149" s="877">
        <f>H149*I149*J149*CoreData!$F$7*PS_Survey!$E$5</f>
        <v>517413.95549064211</v>
      </c>
      <c r="BG149" s="877">
        <f>H149*I149*J149*CoreData!$F$7*(1-CoreData!$F$66)*PS_Survey!$E$6*PS_Survey!$E$7</f>
        <v>231783.66595508766</v>
      </c>
      <c r="BH149" s="875">
        <f>H149*I149*J149*CoreData!$F$7</f>
        <v>681704.81619320437</v>
      </c>
      <c r="BI149" s="875">
        <f>BB149*CoreData!$F$99+Units_month!BC149*CoreData!$F$130</f>
        <v>78.285377681276728</v>
      </c>
      <c r="BJ149" s="878">
        <f>PS_Survey!$E$8</f>
        <v>85</v>
      </c>
      <c r="BK149" s="879">
        <f t="shared" si="25"/>
        <v>7148.6344689678745</v>
      </c>
      <c r="BL149" s="875">
        <f>BB149/CoreData!$F$136</f>
        <v>30.77149442514364</v>
      </c>
      <c r="BM149" s="538"/>
      <c r="BN149" s="538"/>
      <c r="BO149" s="538"/>
      <c r="BP149" s="863"/>
      <c r="BQ149" s="863"/>
      <c r="BR149" s="863"/>
      <c r="BS149" s="863"/>
      <c r="BT149" s="863"/>
      <c r="BU149" s="863"/>
      <c r="BV149" s="863"/>
      <c r="BW149" s="863"/>
      <c r="BX149" s="863"/>
      <c r="BY149" s="863"/>
      <c r="BZ149" s="863"/>
      <c r="CA149" s="863"/>
      <c r="CB149" s="863"/>
      <c r="CC149" s="863"/>
      <c r="CD149" s="863"/>
      <c r="CE149" s="863"/>
      <c r="CF149" s="863"/>
      <c r="CG149" s="863"/>
      <c r="CH149" s="863"/>
      <c r="CI149" s="863"/>
      <c r="CJ149" s="863"/>
      <c r="CK149" s="863"/>
      <c r="CL149" s="863"/>
      <c r="CM149" s="863"/>
      <c r="CN149" s="863"/>
      <c r="CO149" s="863"/>
      <c r="CP149" s="863"/>
      <c r="CQ149" s="863"/>
      <c r="CR149" s="863"/>
      <c r="CS149" s="863"/>
      <c r="CT149" s="863"/>
      <c r="CU149" s="863"/>
      <c r="CV149" s="863"/>
      <c r="CW149" s="863"/>
      <c r="CX149" s="863"/>
      <c r="CY149" s="863"/>
      <c r="CZ149" s="863"/>
      <c r="DA149" s="863"/>
      <c r="DB149" s="863"/>
      <c r="DC149" s="863"/>
      <c r="DD149" s="863"/>
      <c r="DE149" s="863"/>
      <c r="DF149" s="863"/>
      <c r="DG149" s="863"/>
      <c r="DH149" s="863"/>
      <c r="DI149" s="863"/>
      <c r="DJ149" s="863"/>
      <c r="DK149" s="863"/>
      <c r="DL149" s="863"/>
      <c r="DM149" s="863"/>
      <c r="DN149" s="863"/>
      <c r="DO149" s="863"/>
      <c r="DP149" s="863"/>
      <c r="DQ149" s="863"/>
      <c r="DR149" s="863"/>
      <c r="DS149" s="863"/>
      <c r="DT149" s="863"/>
      <c r="DU149" s="863"/>
      <c r="DV149" s="863"/>
      <c r="DW149" s="863"/>
      <c r="DX149" s="863"/>
      <c r="DY149" s="863"/>
      <c r="DZ149" s="863"/>
      <c r="EA149" s="863"/>
      <c r="EB149" s="863"/>
      <c r="EC149" s="863"/>
      <c r="ED149" s="863"/>
      <c r="EE149" s="863"/>
      <c r="EF149" s="863"/>
      <c r="EG149" s="863"/>
      <c r="EH149" s="863"/>
      <c r="EI149" s="863"/>
      <c r="EJ149" s="863"/>
      <c r="EK149" s="863"/>
      <c r="EL149" s="863"/>
      <c r="EM149" s="863"/>
      <c r="EN149" s="863"/>
      <c r="EO149" s="863"/>
      <c r="EP149" s="863"/>
      <c r="EQ149" s="863"/>
      <c r="ER149" s="863"/>
      <c r="ES149" s="863"/>
      <c r="ET149" s="863"/>
      <c r="EU149" s="863"/>
      <c r="EV149" s="863"/>
      <c r="EW149" s="863"/>
      <c r="EX149" s="863"/>
      <c r="EY149" s="863"/>
      <c r="EZ149" s="863"/>
      <c r="FA149" s="863"/>
      <c r="FB149" s="863"/>
      <c r="FC149" s="863"/>
      <c r="FD149" s="863"/>
      <c r="FE149" s="863"/>
      <c r="FF149" s="863"/>
      <c r="FG149" s="863"/>
      <c r="FH149" s="863"/>
      <c r="FI149" s="863"/>
      <c r="FJ149" s="863"/>
      <c r="FK149" s="863"/>
      <c r="FL149" s="863"/>
      <c r="FM149" s="863"/>
      <c r="FN149" s="863"/>
      <c r="FO149" s="863"/>
    </row>
    <row r="150" spans="1:171" s="331" customFormat="1">
      <c r="A150" s="557" t="s">
        <v>334</v>
      </c>
      <c r="B150" s="557">
        <f t="shared" si="26"/>
        <v>145</v>
      </c>
      <c r="C150" s="528">
        <v>44896</v>
      </c>
      <c r="D150" s="540">
        <f t="shared" si="24"/>
        <v>44926</v>
      </c>
      <c r="E150" s="599">
        <f>Sale_Data!D121</f>
        <v>4200</v>
      </c>
      <c r="F150" s="541"/>
      <c r="G150" s="326">
        <f t="shared" si="23"/>
        <v>1857</v>
      </c>
      <c r="H150" s="610">
        <f>SUM($E$6:E149)-SUM($F$6:G149)</f>
        <v>172711</v>
      </c>
      <c r="I150" s="623">
        <f>VLOOKUP(A150,'Usage Rate Calc'!$T$7:$U$13,2,0)</f>
        <v>0.83958676178013258</v>
      </c>
      <c r="J150" s="624">
        <f>VLOOKUP(A150,WQ_Test!$A$3:$B$9,2,0)</f>
        <v>0.9</v>
      </c>
      <c r="K150" s="804">
        <f>$H150*CoreData!$F$44*I150*J150</f>
        <v>9894.4099278162503</v>
      </c>
      <c r="L150" s="541">
        <f>$H150*CoreData!$F$45*I150*J150</f>
        <v>2563.1704489167396</v>
      </c>
      <c r="M150" s="576">
        <f>$H150*CoreData!$F$46</f>
        <v>173.8193908415451</v>
      </c>
      <c r="N150" s="761">
        <f t="shared" si="22"/>
        <v>7157.4200880579656</v>
      </c>
      <c r="O150" s="862"/>
      <c r="P150" s="862"/>
      <c r="Q150" s="949">
        <f>H150*I150*J150*((Calculations!$D$29)/CoreData!$F$11+(Calculations!$D$31)/CoreData!$F$11*CoreData!$F$23)</f>
        <v>6714.3550370639578</v>
      </c>
      <c r="R150" s="949">
        <f>H150*I150*J150*((Calculations!$D$35)/CoreData!$F$11)</f>
        <v>111.67301881235331</v>
      </c>
      <c r="S150" s="862">
        <v>0</v>
      </c>
      <c r="T150" s="862">
        <v>0</v>
      </c>
      <c r="U150" s="862">
        <v>0</v>
      </c>
      <c r="V150" s="862">
        <v>0</v>
      </c>
      <c r="W150" s="862">
        <v>0</v>
      </c>
      <c r="X150" s="862">
        <v>0</v>
      </c>
      <c r="Y150" s="862">
        <v>0</v>
      </c>
      <c r="Z150" s="862">
        <f t="shared" si="9"/>
        <v>9894.4099278162503</v>
      </c>
      <c r="AA150" s="862"/>
      <c r="AB150" s="862"/>
      <c r="AC150" s="949">
        <f>H150*I150*J150*((Calculations!$D$58)/CoreData!$F$11+(Calculations!$D$60)/CoreData!$F$11*CoreData!$F$23)</f>
        <v>1718.6250370690102</v>
      </c>
      <c r="AD150" s="949">
        <f>H150*I150*J150*((Calculations!$D$62)/CoreData!$F$11)</f>
        <v>38.826510700223942</v>
      </c>
      <c r="AE150" s="950">
        <f>PS_Survey!$E$3</f>
        <v>0.82099999999999995</v>
      </c>
      <c r="AF150" s="950">
        <f>PS_Survey!$E$4</f>
        <v>0.91199999999999992</v>
      </c>
      <c r="AG150" s="862">
        <f>H150*I150*J150*CoreData!$F$7*PS_Survey!$E$5</f>
        <v>518049.85342955193</v>
      </c>
      <c r="AH150" s="862">
        <f>H150*I150*J150*CoreData!$F$7*(1-CoreData!$F$66)*PS_Survey!$E$6*PS_Survey!$E$7</f>
        <v>232068.52637272759</v>
      </c>
      <c r="AI150" s="862">
        <f>H150*I150*J150*CoreData!$F$7</f>
        <v>682542.62638939649</v>
      </c>
      <c r="AJ150" s="949">
        <f>(Q150-AC150)*CoreData!$F$99+(R150-AD150)*CoreData!$F$130</f>
        <v>78.381589833627928</v>
      </c>
      <c r="AK150" s="862">
        <f>PS_Survey!$E$8</f>
        <v>85</v>
      </c>
      <c r="AL150" s="862">
        <f t="shared" si="10"/>
        <v>2563.1704489167396</v>
      </c>
      <c r="AM150" s="949">
        <f>(Q150-AC150)/CoreData!$F$136</f>
        <v>30.809312365062887</v>
      </c>
      <c r="AN150" s="862"/>
      <c r="AO150" s="862"/>
      <c r="AP150" s="949">
        <f t="shared" si="11"/>
        <v>4995.7299999949473</v>
      </c>
      <c r="AQ150" s="949">
        <f t="shared" si="12"/>
        <v>72.846508112129357</v>
      </c>
      <c r="AR150" s="950">
        <f t="shared" si="13"/>
        <v>0.82099999999999995</v>
      </c>
      <c r="AS150" s="950">
        <f t="shared" si="14"/>
        <v>0.91199999999999992</v>
      </c>
      <c r="AT150" s="949">
        <f t="shared" si="15"/>
        <v>518049.85342955193</v>
      </c>
      <c r="AU150" s="949">
        <f t="shared" si="16"/>
        <v>232068.52637272759</v>
      </c>
      <c r="AV150" s="949">
        <f t="shared" si="17"/>
        <v>682542.62638939649</v>
      </c>
      <c r="AW150" s="949">
        <f t="shared" si="18"/>
        <v>78.381589833627928</v>
      </c>
      <c r="AX150" s="949">
        <f t="shared" si="19"/>
        <v>85</v>
      </c>
      <c r="AY150" s="949">
        <f t="shared" si="21"/>
        <v>7157.4200880579656</v>
      </c>
      <c r="AZ150" s="949">
        <f t="shared" si="20"/>
        <v>30.809312365062887</v>
      </c>
      <c r="BA150" s="974"/>
      <c r="BB150" s="875">
        <f>H150*I150*J150*((Calculations!$D$29-Calculations!$D$58)/CoreData!$F$11+(Calculations!$D$31-Calculations!$D$60)/CoreData!$F$11*CoreData!$F$23)</f>
        <v>4995.7299999949473</v>
      </c>
      <c r="BC150" s="875">
        <f>H150*I150*J150*((Calculations!$D$35-Calculations!$D$62)/CoreData!$F$11)</f>
        <v>72.846508112129357</v>
      </c>
      <c r="BD150" s="876">
        <f>PS_Survey!$E$3</f>
        <v>0.82099999999999995</v>
      </c>
      <c r="BE150" s="876">
        <f>PS_Survey!$E$4</f>
        <v>0.91199999999999992</v>
      </c>
      <c r="BF150" s="877">
        <f>H150*I150*J150*CoreData!$F$7*PS_Survey!$E$5</f>
        <v>518049.85342955193</v>
      </c>
      <c r="BG150" s="877">
        <f>H150*I150*J150*CoreData!$F$7*(1-CoreData!$F$66)*PS_Survey!$E$6*PS_Survey!$E$7</f>
        <v>232068.52637272759</v>
      </c>
      <c r="BH150" s="875">
        <f>H150*I150*J150*CoreData!$F$7</f>
        <v>682542.62638939649</v>
      </c>
      <c r="BI150" s="875">
        <f>BB150*CoreData!$F$99+Units_month!BC150*CoreData!$F$130</f>
        <v>78.381589833627928</v>
      </c>
      <c r="BJ150" s="878">
        <f>PS_Survey!$E$8</f>
        <v>85</v>
      </c>
      <c r="BK150" s="879">
        <f t="shared" si="25"/>
        <v>7157.4200880579656</v>
      </c>
      <c r="BL150" s="875">
        <f>BB150/CoreData!$F$136</f>
        <v>30.809312365062887</v>
      </c>
      <c r="BM150" s="538"/>
      <c r="BN150" s="538"/>
      <c r="BO150" s="538"/>
      <c r="BP150" s="863"/>
      <c r="BQ150" s="863"/>
      <c r="BR150" s="863"/>
      <c r="BS150" s="863"/>
      <c r="BT150" s="863"/>
      <c r="BU150" s="863"/>
      <c r="BV150" s="863"/>
      <c r="BW150" s="863"/>
      <c r="BX150" s="863"/>
      <c r="BY150" s="863"/>
      <c r="BZ150" s="863"/>
      <c r="CA150" s="863"/>
      <c r="CB150" s="863"/>
      <c r="CC150" s="863"/>
      <c r="CD150" s="863"/>
      <c r="CE150" s="863"/>
      <c r="CF150" s="863"/>
      <c r="CG150" s="863"/>
      <c r="CH150" s="863"/>
      <c r="CI150" s="863"/>
      <c r="CJ150" s="863"/>
      <c r="CK150" s="863"/>
      <c r="CL150" s="863"/>
      <c r="CM150" s="863"/>
      <c r="CN150" s="863"/>
      <c r="CO150" s="863"/>
      <c r="CP150" s="863"/>
      <c r="CQ150" s="863"/>
      <c r="CR150" s="863"/>
      <c r="CS150" s="863"/>
      <c r="CT150" s="863"/>
      <c r="CU150" s="863"/>
      <c r="CV150" s="863"/>
      <c r="CW150" s="863"/>
      <c r="CX150" s="863"/>
      <c r="CY150" s="863"/>
      <c r="CZ150" s="863"/>
      <c r="DA150" s="863"/>
      <c r="DB150" s="863"/>
      <c r="DC150" s="863"/>
      <c r="DD150" s="863"/>
      <c r="DE150" s="863"/>
      <c r="DF150" s="863"/>
      <c r="DG150" s="863"/>
      <c r="DH150" s="863"/>
      <c r="DI150" s="863"/>
      <c r="DJ150" s="863"/>
      <c r="DK150" s="863"/>
      <c r="DL150" s="863"/>
      <c r="DM150" s="863"/>
      <c r="DN150" s="863"/>
      <c r="DO150" s="863"/>
      <c r="DP150" s="863"/>
      <c r="DQ150" s="863"/>
      <c r="DR150" s="863"/>
      <c r="DS150" s="863"/>
      <c r="DT150" s="863"/>
      <c r="DU150" s="863"/>
      <c r="DV150" s="863"/>
      <c r="DW150" s="863"/>
      <c r="DX150" s="863"/>
      <c r="DY150" s="863"/>
      <c r="DZ150" s="863"/>
      <c r="EA150" s="863"/>
      <c r="EB150" s="863"/>
      <c r="EC150" s="863"/>
      <c r="ED150" s="863"/>
      <c r="EE150" s="863"/>
      <c r="EF150" s="863"/>
      <c r="EG150" s="863"/>
      <c r="EH150" s="863"/>
      <c r="EI150" s="863"/>
      <c r="EJ150" s="863"/>
      <c r="EK150" s="863"/>
      <c r="EL150" s="863"/>
      <c r="EM150" s="863"/>
      <c r="EN150" s="863"/>
      <c r="EO150" s="863"/>
      <c r="EP150" s="863"/>
      <c r="EQ150" s="863"/>
      <c r="ER150" s="863"/>
      <c r="ES150" s="863"/>
      <c r="ET150" s="863"/>
      <c r="EU150" s="863"/>
      <c r="EV150" s="863"/>
      <c r="EW150" s="863"/>
      <c r="EX150" s="863"/>
      <c r="EY150" s="863"/>
      <c r="EZ150" s="863"/>
      <c r="FA150" s="863"/>
      <c r="FB150" s="863"/>
      <c r="FC150" s="863"/>
      <c r="FD150" s="863"/>
      <c r="FE150" s="863"/>
      <c r="FF150" s="863"/>
      <c r="FG150" s="863"/>
      <c r="FH150" s="863"/>
      <c r="FI150" s="863"/>
      <c r="FJ150" s="863"/>
      <c r="FK150" s="863"/>
      <c r="FL150" s="863"/>
      <c r="FM150" s="863"/>
      <c r="FN150" s="863"/>
      <c r="FO150" s="863"/>
    </row>
    <row r="151" spans="1:171">
      <c r="A151" s="557" t="s">
        <v>335</v>
      </c>
      <c r="B151" s="557">
        <f t="shared" si="26"/>
        <v>146</v>
      </c>
      <c r="C151" s="529">
        <v>44927</v>
      </c>
      <c r="D151" s="540">
        <f t="shared" si="24"/>
        <v>44957</v>
      </c>
      <c r="E151" s="599">
        <f>Sale_Data!D122</f>
        <v>4200</v>
      </c>
      <c r="F151" s="541"/>
      <c r="G151" s="326">
        <f t="shared" si="23"/>
        <v>1429</v>
      </c>
      <c r="H151" s="610">
        <f>SUM($E$6:E150)-SUM($F$6:G150)</f>
        <v>175054</v>
      </c>
      <c r="I151" s="623">
        <f>VLOOKUP(A151,'Usage Rate Calc'!$T$7:$U$13,2,0)</f>
        <v>0.83517308048242433</v>
      </c>
      <c r="J151" s="624">
        <f>VLOOKUP(A151,WQ_Test!$A$3:$B$9,2,0)</f>
        <v>0.9</v>
      </c>
      <c r="K151" s="804">
        <f>$H151*CoreData!$F$44*I151*J151</f>
        <v>9975.9174065366278</v>
      </c>
      <c r="L151" s="541">
        <f>$H151*CoreData!$F$45*I151*J151</f>
        <v>2584.2851553364171</v>
      </c>
      <c r="M151" s="576">
        <f>$H151*CoreData!$F$46</f>
        <v>176.17742728822043</v>
      </c>
      <c r="N151" s="761">
        <f t="shared" si="22"/>
        <v>7215.4548239119904</v>
      </c>
      <c r="O151" s="862"/>
      <c r="P151" s="862"/>
      <c r="Q151" s="949">
        <f>H151*I151*J151*((Calculations!$D$29)/CoreData!$F$11+(Calculations!$D$31)/CoreData!$F$11*CoreData!$F$23)</f>
        <v>6769.6660818151986</v>
      </c>
      <c r="R151" s="949">
        <f>H151*I151*J151*((Calculations!$D$35)/CoreData!$F$11)</f>
        <v>112.59295100344833</v>
      </c>
      <c r="S151" s="862">
        <v>0</v>
      </c>
      <c r="T151" s="862">
        <v>0</v>
      </c>
      <c r="U151" s="862">
        <v>0</v>
      </c>
      <c r="V151" s="862">
        <v>0</v>
      </c>
      <c r="W151" s="862">
        <v>0</v>
      </c>
      <c r="X151" s="862">
        <v>0</v>
      </c>
      <c r="Y151" s="862">
        <v>0</v>
      </c>
      <c r="Z151" s="862">
        <f t="shared" si="9"/>
        <v>9975.9174065366278</v>
      </c>
      <c r="AA151" s="862"/>
      <c r="AB151" s="862"/>
      <c r="AC151" s="949">
        <f>H151*I151*J151*((Calculations!$D$58)/CoreData!$F$11+(Calculations!$D$60)/CoreData!$F$11*CoreData!$F$23)</f>
        <v>1732.7826063085263</v>
      </c>
      <c r="AD151" s="949">
        <f>H151*I151*J151*((Calculations!$D$62)/CoreData!$F$11)</f>
        <v>39.146353017024289</v>
      </c>
      <c r="AE151" s="950">
        <f>PS_Survey!$E$3</f>
        <v>0.82099999999999995</v>
      </c>
      <c r="AF151" s="950">
        <f>PS_Survey!$E$4</f>
        <v>0.91199999999999992</v>
      </c>
      <c r="AG151" s="862">
        <f>H151*I151*J151*CoreData!$F$7*PS_Survey!$E$5</f>
        <v>522317.40831281967</v>
      </c>
      <c r="AH151" s="862">
        <f>H151*I151*J151*CoreData!$F$7*(1-CoreData!$F$66)*PS_Survey!$E$6*PS_Survey!$E$7</f>
        <v>233980.24426323245</v>
      </c>
      <c r="AI151" s="862">
        <f>H151*I151*J151*CoreData!$F$7</f>
        <v>688165.22834363591</v>
      </c>
      <c r="AJ151" s="949">
        <f>(Q151-AC151)*CoreData!$F$99+(R151-AD151)*CoreData!$F$130</f>
        <v>79.027276217357951</v>
      </c>
      <c r="AK151" s="862">
        <f>PS_Survey!$E$8</f>
        <v>85</v>
      </c>
      <c r="AL151" s="862">
        <f t="shared" si="10"/>
        <v>2584.2851553364171</v>
      </c>
      <c r="AM151" s="949">
        <f>(Q151-AC151)/CoreData!$F$136</f>
        <v>31.06311116562857</v>
      </c>
      <c r="AN151" s="862"/>
      <c r="AO151" s="862"/>
      <c r="AP151" s="949">
        <f t="shared" si="11"/>
        <v>5036.8834755066728</v>
      </c>
      <c r="AQ151" s="949">
        <f t="shared" si="12"/>
        <v>73.446597986424052</v>
      </c>
      <c r="AR151" s="950">
        <f t="shared" si="13"/>
        <v>0.82099999999999995</v>
      </c>
      <c r="AS151" s="950">
        <f t="shared" si="14"/>
        <v>0.91199999999999992</v>
      </c>
      <c r="AT151" s="949">
        <f t="shared" si="15"/>
        <v>522317.40831281967</v>
      </c>
      <c r="AU151" s="949">
        <f t="shared" si="16"/>
        <v>233980.24426323245</v>
      </c>
      <c r="AV151" s="949">
        <f t="shared" si="17"/>
        <v>688165.22834363591</v>
      </c>
      <c r="AW151" s="949">
        <f t="shared" si="18"/>
        <v>79.027276217357951</v>
      </c>
      <c r="AX151" s="949">
        <f t="shared" si="19"/>
        <v>85</v>
      </c>
      <c r="AY151" s="949">
        <f t="shared" si="21"/>
        <v>7215.4548239119904</v>
      </c>
      <c r="AZ151" s="949">
        <f t="shared" si="20"/>
        <v>31.06311116562857</v>
      </c>
      <c r="BA151" s="974"/>
      <c r="BB151" s="875">
        <f>H151*I151*J151*((Calculations!$D$29-Calculations!$D$58)/CoreData!$F$11+(Calculations!$D$31-Calculations!$D$60)/CoreData!$F$11*CoreData!$F$23)</f>
        <v>5036.8834755066719</v>
      </c>
      <c r="BC151" s="875">
        <f>H151*I151*J151*((Calculations!$D$35-Calculations!$D$62)/CoreData!$F$11)</f>
        <v>73.446597986424038</v>
      </c>
      <c r="BD151" s="876">
        <f>PS_Survey!$E$3</f>
        <v>0.82099999999999995</v>
      </c>
      <c r="BE151" s="876">
        <f>PS_Survey!$E$4</f>
        <v>0.91199999999999992</v>
      </c>
      <c r="BF151" s="877">
        <f>H151*I151*J151*CoreData!$F$7*PS_Survey!$E$5</f>
        <v>522317.40831281967</v>
      </c>
      <c r="BG151" s="877">
        <f>H151*I151*J151*CoreData!$F$7*(1-CoreData!$F$66)*PS_Survey!$E$6*PS_Survey!$E$7</f>
        <v>233980.24426323245</v>
      </c>
      <c r="BH151" s="875">
        <f>H151*I151*J151*CoreData!$F$7</f>
        <v>688165.22834363591</v>
      </c>
      <c r="BI151" s="875">
        <f>BB151*CoreData!$F$99+Units_month!BC151*CoreData!$F$130</f>
        <v>79.027276217357937</v>
      </c>
      <c r="BJ151" s="878">
        <f>PS_Survey!$E$8</f>
        <v>85</v>
      </c>
      <c r="BK151" s="879">
        <f t="shared" si="25"/>
        <v>7215.4548239119904</v>
      </c>
      <c r="BL151" s="875">
        <f>BB151/CoreData!$F$136</f>
        <v>31.063111165628563</v>
      </c>
    </row>
    <row r="152" spans="1:171">
      <c r="A152" s="557" t="s">
        <v>335</v>
      </c>
      <c r="B152" s="557">
        <f t="shared" si="26"/>
        <v>147</v>
      </c>
      <c r="C152" s="529">
        <v>44958</v>
      </c>
      <c r="D152" s="540">
        <f t="shared" si="24"/>
        <v>44985</v>
      </c>
      <c r="E152" s="599">
        <f>Sale_Data!D123</f>
        <v>4200</v>
      </c>
      <c r="F152" s="541"/>
      <c r="G152" s="326">
        <f t="shared" si="23"/>
        <v>2944</v>
      </c>
      <c r="H152" s="610">
        <f>SUM($E$6:E151)-SUM($F$6:G151)</f>
        <v>177825</v>
      </c>
      <c r="I152" s="623">
        <f>VLOOKUP(A152,'Usage Rate Calc'!$T$7:$U$13,2,0)</f>
        <v>0.83517308048242433</v>
      </c>
      <c r="J152" s="624">
        <f>VLOOKUP(A152,WQ_Test!$A$3:$B$9,2,0)</f>
        <v>0.9</v>
      </c>
      <c r="K152" s="804">
        <f>$H152*CoreData!$F$44*I152*J152</f>
        <v>10133.830205635837</v>
      </c>
      <c r="L152" s="541">
        <f>$H152*CoreData!$F$45*I152*J152</f>
        <v>2625.1928419099154</v>
      </c>
      <c r="M152" s="576">
        <f>$H152*CoreData!$F$46</f>
        <v>178.96621046949969</v>
      </c>
      <c r="N152" s="761">
        <f t="shared" si="22"/>
        <v>7329.6711532564223</v>
      </c>
      <c r="O152" s="862"/>
      <c r="P152" s="862"/>
      <c r="Q152" s="949">
        <f>H152*I152*J152*((Calculations!$D$29)/CoreData!$F$11+(Calculations!$D$31)/CoreData!$F$11*CoreData!$F$23)</f>
        <v>6876.82584230459</v>
      </c>
      <c r="R152" s="949">
        <f>H152*I152*J152*((Calculations!$D$35)/CoreData!$F$11)</f>
        <v>114.37522999867583</v>
      </c>
      <c r="S152" s="862">
        <v>0</v>
      </c>
      <c r="T152" s="862">
        <v>0</v>
      </c>
      <c r="U152" s="862">
        <v>0</v>
      </c>
      <c r="V152" s="862">
        <v>0</v>
      </c>
      <c r="W152" s="862">
        <v>0</v>
      </c>
      <c r="X152" s="862">
        <v>0</v>
      </c>
      <c r="Y152" s="862">
        <v>0</v>
      </c>
      <c r="Z152" s="862">
        <f t="shared" si="9"/>
        <v>10133.830205635837</v>
      </c>
      <c r="AA152" s="862"/>
      <c r="AB152" s="862"/>
      <c r="AC152" s="949">
        <f>H152*I152*J152*((Calculations!$D$58)/CoreData!$F$11+(Calculations!$D$60)/CoreData!$F$11*CoreData!$F$23)</f>
        <v>1760.2115173992806</v>
      </c>
      <c r="AD152" s="949">
        <f>H152*I152*J152*((Calculations!$D$62)/CoreData!$F$11)</f>
        <v>39.766016344969806</v>
      </c>
      <c r="AE152" s="950">
        <f>PS_Survey!$E$3</f>
        <v>0.82099999999999995</v>
      </c>
      <c r="AF152" s="950">
        <f>PS_Survey!$E$4</f>
        <v>0.91199999999999992</v>
      </c>
      <c r="AG152" s="862">
        <f>H152*I152*J152*CoreData!$F$7*PS_Survey!$E$5</f>
        <v>530585.38012971519</v>
      </c>
      <c r="AH152" s="862">
        <f>H152*I152*J152*CoreData!$F$7*(1-CoreData!$F$66)*PS_Survey!$E$6*PS_Survey!$E$7</f>
        <v>237684.01142567044</v>
      </c>
      <c r="AI152" s="862">
        <f>H152*I152*J152*CoreData!$F$7</f>
        <v>699058.47184415709</v>
      </c>
      <c r="AJ152" s="949">
        <f>(Q152-AC152)*CoreData!$F$99+(R152-AD152)*CoreData!$F$130</f>
        <v>80.278230679399925</v>
      </c>
      <c r="AK152" s="862">
        <f>PS_Survey!$E$8</f>
        <v>85</v>
      </c>
      <c r="AL152" s="862">
        <f t="shared" si="10"/>
        <v>2625.1928419099154</v>
      </c>
      <c r="AM152" s="949">
        <f>(Q152-AC152)/CoreData!$F$136</f>
        <v>31.554821615203881</v>
      </c>
      <c r="AN152" s="862"/>
      <c r="AO152" s="862"/>
      <c r="AP152" s="949">
        <f t="shared" si="11"/>
        <v>5116.6143249053093</v>
      </c>
      <c r="AQ152" s="949">
        <f t="shared" si="12"/>
        <v>74.609213653706036</v>
      </c>
      <c r="AR152" s="950">
        <f t="shared" si="13"/>
        <v>0.82099999999999995</v>
      </c>
      <c r="AS152" s="950">
        <f t="shared" si="14"/>
        <v>0.91199999999999992</v>
      </c>
      <c r="AT152" s="949">
        <f t="shared" si="15"/>
        <v>530585.38012971519</v>
      </c>
      <c r="AU152" s="949">
        <f t="shared" si="16"/>
        <v>237684.01142567044</v>
      </c>
      <c r="AV152" s="949">
        <f t="shared" si="17"/>
        <v>699058.47184415709</v>
      </c>
      <c r="AW152" s="949">
        <f t="shared" si="18"/>
        <v>80.278230679399925</v>
      </c>
      <c r="AX152" s="949">
        <f t="shared" si="19"/>
        <v>85</v>
      </c>
      <c r="AY152" s="949">
        <f t="shared" si="21"/>
        <v>7329.6711532564223</v>
      </c>
      <c r="AZ152" s="949">
        <f t="shared" si="20"/>
        <v>31.554821615203881</v>
      </c>
      <c r="BA152" s="974"/>
      <c r="BB152" s="875">
        <f>H152*I152*J152*((Calculations!$D$29-Calculations!$D$58)/CoreData!$F$11+(Calculations!$D$31-Calculations!$D$60)/CoreData!$F$11*CoreData!$F$23)</f>
        <v>5116.6143249053084</v>
      </c>
      <c r="BC152" s="875">
        <f>H152*I152*J152*((Calculations!$D$35-Calculations!$D$62)/CoreData!$F$11)</f>
        <v>74.609213653706036</v>
      </c>
      <c r="BD152" s="876">
        <f>PS_Survey!$E$3</f>
        <v>0.82099999999999995</v>
      </c>
      <c r="BE152" s="876">
        <f>PS_Survey!$E$4</f>
        <v>0.91199999999999992</v>
      </c>
      <c r="BF152" s="877">
        <f>H152*I152*J152*CoreData!$F$7*PS_Survey!$E$5</f>
        <v>530585.38012971519</v>
      </c>
      <c r="BG152" s="877">
        <f>H152*I152*J152*CoreData!$F$7*(1-CoreData!$F$66)*PS_Survey!$E$6*PS_Survey!$E$7</f>
        <v>237684.01142567044</v>
      </c>
      <c r="BH152" s="875">
        <f>H152*I152*J152*CoreData!$F$7</f>
        <v>699058.47184415709</v>
      </c>
      <c r="BI152" s="875">
        <f>BB152*CoreData!$F$99+Units_month!BC152*CoreData!$F$130</f>
        <v>80.278230679399911</v>
      </c>
      <c r="BJ152" s="878">
        <f>PS_Survey!$E$8</f>
        <v>85</v>
      </c>
      <c r="BK152" s="879">
        <f t="shared" si="25"/>
        <v>7329.6711532564223</v>
      </c>
      <c r="BL152" s="875">
        <f>BB152/CoreData!$F$136</f>
        <v>31.554821615203874</v>
      </c>
    </row>
    <row r="153" spans="1:171">
      <c r="A153" s="557" t="s">
        <v>335</v>
      </c>
      <c r="B153" s="557">
        <f t="shared" si="26"/>
        <v>148</v>
      </c>
      <c r="C153" s="528">
        <v>44986</v>
      </c>
      <c r="D153" s="540">
        <f t="shared" si="24"/>
        <v>45016</v>
      </c>
      <c r="E153" s="599">
        <f>Sale_Data!D124</f>
        <v>3500</v>
      </c>
      <c r="F153" s="541"/>
      <c r="G153" s="326">
        <f t="shared" si="23"/>
        <v>928</v>
      </c>
      <c r="H153" s="610">
        <f>SUM($E$6:E152)-SUM($F$6:G152)</f>
        <v>179081</v>
      </c>
      <c r="I153" s="623">
        <f>VLOOKUP(A153,'Usage Rate Calc'!$T$7:$U$13,2,0)</f>
        <v>0.83517308048242433</v>
      </c>
      <c r="J153" s="624">
        <f>VLOOKUP(A153,WQ_Test!$A$3:$B$9,2,0)</f>
        <v>0.9</v>
      </c>
      <c r="K153" s="804">
        <f>$H153*CoreData!$F$44*I153*J153</f>
        <v>10205.4067035314</v>
      </c>
      <c r="L153" s="541">
        <f>$H153*CoreData!$F$45*I153*J153</f>
        <v>2643.7349041027392</v>
      </c>
      <c r="M153" s="576">
        <f>$H153*CoreData!$F$46</f>
        <v>180.23027098039347</v>
      </c>
      <c r="N153" s="761">
        <f t="shared" si="22"/>
        <v>7381.4415284482675</v>
      </c>
      <c r="O153" s="862"/>
      <c r="P153" s="862"/>
      <c r="Q153" s="949">
        <f>H153*I153*J153*((Calculations!$D$29)/CoreData!$F$11+(Calculations!$D$31)/CoreData!$F$11*CoreData!$F$23)</f>
        <v>6925.3977149767934</v>
      </c>
      <c r="R153" s="949">
        <f>H153*I153*J153*((Calculations!$D$35)/CoreData!$F$11)</f>
        <v>115.1830764144123</v>
      </c>
      <c r="S153" s="862">
        <v>0</v>
      </c>
      <c r="T153" s="862">
        <v>0</v>
      </c>
      <c r="U153" s="862">
        <v>0</v>
      </c>
      <c r="V153" s="862">
        <v>0</v>
      </c>
      <c r="W153" s="862">
        <v>0</v>
      </c>
      <c r="X153" s="862">
        <v>0</v>
      </c>
      <c r="Y153" s="862">
        <v>0</v>
      </c>
      <c r="Z153" s="862">
        <f t="shared" si="9"/>
        <v>10205.4067035314</v>
      </c>
      <c r="AA153" s="862"/>
      <c r="AB153" s="862"/>
      <c r="AC153" s="949">
        <f>H153*I153*J153*((Calculations!$D$58)/CoreData!$F$11+(Calculations!$D$60)/CoreData!$F$11*CoreData!$F$23)</f>
        <v>1772.6441093624665</v>
      </c>
      <c r="AD153" s="949">
        <f>H153*I153*J153*((Calculations!$D$62)/CoreData!$F$11)</f>
        <v>40.046888643742655</v>
      </c>
      <c r="AE153" s="950">
        <f>PS_Survey!$E$3</f>
        <v>0.82099999999999995</v>
      </c>
      <c r="AF153" s="950">
        <f>PS_Survey!$E$4</f>
        <v>0.91199999999999992</v>
      </c>
      <c r="AG153" s="862">
        <f>H153*I153*J153*CoreData!$F$7*PS_Survey!$E$5</f>
        <v>534332.97038666962</v>
      </c>
      <c r="AH153" s="862">
        <f>H153*I153*J153*CoreData!$F$7*(1-CoreData!$F$66)*PS_Survey!$E$6*PS_Survey!$E$7</f>
        <v>239362.8030373709</v>
      </c>
      <c r="AI153" s="862">
        <f>H153*I153*J153*CoreData!$F$7</f>
        <v>703996.00841458444</v>
      </c>
      <c r="AJ153" s="949">
        <f>(Q153-AC153)*CoreData!$F$99+(R153-AD153)*CoreData!$F$130</f>
        <v>80.845245765767572</v>
      </c>
      <c r="AK153" s="862">
        <f>PS_Survey!$E$8</f>
        <v>85</v>
      </c>
      <c r="AL153" s="862">
        <f t="shared" si="10"/>
        <v>2643.7349041027392</v>
      </c>
      <c r="AM153" s="949">
        <f>(Q153-AC153)/CoreData!$F$136</f>
        <v>31.777697228580493</v>
      </c>
      <c r="AN153" s="862"/>
      <c r="AO153" s="862"/>
      <c r="AP153" s="949">
        <f t="shared" si="11"/>
        <v>5152.7536056143272</v>
      </c>
      <c r="AQ153" s="949">
        <f t="shared" si="12"/>
        <v>75.136187770669636</v>
      </c>
      <c r="AR153" s="950">
        <f t="shared" si="13"/>
        <v>0.82099999999999995</v>
      </c>
      <c r="AS153" s="950">
        <f t="shared" si="14"/>
        <v>0.91199999999999992</v>
      </c>
      <c r="AT153" s="949">
        <f t="shared" si="15"/>
        <v>534332.97038666962</v>
      </c>
      <c r="AU153" s="949">
        <f t="shared" si="16"/>
        <v>239362.8030373709</v>
      </c>
      <c r="AV153" s="949">
        <f t="shared" si="17"/>
        <v>703996.00841458444</v>
      </c>
      <c r="AW153" s="949">
        <f t="shared" si="18"/>
        <v>80.845245765767572</v>
      </c>
      <c r="AX153" s="949">
        <f t="shared" si="19"/>
        <v>85</v>
      </c>
      <c r="AY153" s="949">
        <f t="shared" si="21"/>
        <v>7381.4415284482675</v>
      </c>
      <c r="AZ153" s="949">
        <f t="shared" si="20"/>
        <v>31.777697228580493</v>
      </c>
      <c r="BA153" s="974"/>
      <c r="BB153" s="875">
        <f>H153*I153*J153*((Calculations!$D$29-Calculations!$D$58)/CoreData!$F$11+(Calculations!$D$31-Calculations!$D$60)/CoreData!$F$11*CoreData!$F$23)</f>
        <v>5152.7536056143263</v>
      </c>
      <c r="BC153" s="875">
        <f>H153*I153*J153*((Calculations!$D$35-Calculations!$D$62)/CoreData!$F$11)</f>
        <v>75.13618777066965</v>
      </c>
      <c r="BD153" s="876">
        <f>PS_Survey!$E$3</f>
        <v>0.82099999999999995</v>
      </c>
      <c r="BE153" s="876">
        <f>PS_Survey!$E$4</f>
        <v>0.91199999999999992</v>
      </c>
      <c r="BF153" s="877">
        <f>H153*I153*J153*CoreData!$F$7*PS_Survey!$E$5</f>
        <v>534332.97038666962</v>
      </c>
      <c r="BG153" s="877">
        <f>H153*I153*J153*CoreData!$F$7*(1-CoreData!$F$66)*PS_Survey!$E$6*PS_Survey!$E$7</f>
        <v>239362.8030373709</v>
      </c>
      <c r="BH153" s="875">
        <f>H153*I153*J153*CoreData!$F$7</f>
        <v>703996.00841458444</v>
      </c>
      <c r="BI153" s="875">
        <f>BB153*CoreData!$F$99+Units_month!BC153*CoreData!$F$130</f>
        <v>80.845245765767558</v>
      </c>
      <c r="BJ153" s="878">
        <f>PS_Survey!$E$8</f>
        <v>85</v>
      </c>
      <c r="BK153" s="879">
        <f t="shared" si="25"/>
        <v>7381.4415284482675</v>
      </c>
      <c r="BL153" s="875">
        <f>BB153/CoreData!$F$136</f>
        <v>31.777697228580486</v>
      </c>
    </row>
    <row r="154" spans="1:171" s="492" customFormat="1">
      <c r="A154" s="557" t="s">
        <v>335</v>
      </c>
      <c r="B154" s="557">
        <f t="shared" si="26"/>
        <v>149</v>
      </c>
      <c r="C154" s="529">
        <v>45017</v>
      </c>
      <c r="D154" s="540">
        <f t="shared" si="24"/>
        <v>45046</v>
      </c>
      <c r="E154" s="599">
        <f>Sale_Data!D125</f>
        <v>2800</v>
      </c>
      <c r="F154" s="541"/>
      <c r="G154" s="326">
        <f t="shared" si="23"/>
        <v>1387</v>
      </c>
      <c r="H154" s="610">
        <f>SUM($E$6:E153)-SUM($F$6:G153)</f>
        <v>181653</v>
      </c>
      <c r="I154" s="623">
        <f>VLOOKUP(A154,'Usage Rate Calc'!$T$7:$U$13,2,0)</f>
        <v>0.83517308048242433</v>
      </c>
      <c r="J154" s="624">
        <f>VLOOKUP(A154,WQ_Test!$A$3:$B$9,2,0)</f>
        <v>0.9</v>
      </c>
      <c r="K154" s="804">
        <f>$H154*CoreData!$F$44*I154*J154</f>
        <v>10351.978958776139</v>
      </c>
      <c r="L154" s="541">
        <f>$H154*CoreData!$F$45*I154*J154</f>
        <v>2681.7047957905911</v>
      </c>
      <c r="M154" s="576">
        <f>$H154*CoreData!$F$46</f>
        <v>182.81877705843399</v>
      </c>
      <c r="N154" s="761">
        <f t="shared" ref="N154:N173" si="27">(K154-L154)-M154</f>
        <v>7487.4553859271145</v>
      </c>
      <c r="O154" s="862"/>
      <c r="P154" s="862"/>
      <c r="Q154" s="949">
        <f>H154*I154*J154*((Calculations!$D$29)/CoreData!$F$11+(Calculations!$D$31)/CoreData!$F$11*CoreData!$F$23)</f>
        <v>7024.8617727099991</v>
      </c>
      <c r="R154" s="949">
        <f>H154*I154*J154*((Calculations!$D$35)/CoreData!$F$11)</f>
        <v>116.83736063517199</v>
      </c>
      <c r="S154" s="862">
        <v>0</v>
      </c>
      <c r="T154" s="862">
        <v>0</v>
      </c>
      <c r="U154" s="862">
        <v>0</v>
      </c>
      <c r="V154" s="862">
        <v>0</v>
      </c>
      <c r="W154" s="862">
        <v>0</v>
      </c>
      <c r="X154" s="862">
        <v>0</v>
      </c>
      <c r="Y154" s="862">
        <v>0</v>
      </c>
      <c r="Z154" s="862">
        <f t="shared" si="9"/>
        <v>10351.978958776139</v>
      </c>
      <c r="AA154" s="862"/>
      <c r="AB154" s="862"/>
      <c r="AC154" s="949">
        <f>H154*I154*J154*((Calculations!$D$58)/CoreData!$F$11+(Calculations!$D$60)/CoreData!$F$11*CoreData!$F$23)</f>
        <v>1798.1032069176522</v>
      </c>
      <c r="AD154" s="949">
        <f>H154*I154*J154*((Calculations!$D$62)/CoreData!$F$11)</f>
        <v>40.622050707790237</v>
      </c>
      <c r="AE154" s="950">
        <f>PS_Survey!$E$3</f>
        <v>0.82099999999999995</v>
      </c>
      <c r="AF154" s="950">
        <f>PS_Survey!$E$4</f>
        <v>0.91199999999999992</v>
      </c>
      <c r="AG154" s="862">
        <f>H154*I154*J154*CoreData!$F$7*PS_Survey!$E$5</f>
        <v>542007.17591285333</v>
      </c>
      <c r="AH154" s="862">
        <f>H154*I154*J154*CoreData!$F$7*(1-CoreData!$F$66)*PS_Survey!$E$6*PS_Survey!$E$7</f>
        <v>242800.58331228627</v>
      </c>
      <c r="AI154" s="862">
        <f>H154*I154*J154*CoreData!$F$7</f>
        <v>714106.95113682922</v>
      </c>
      <c r="AJ154" s="949">
        <f>(Q154-AC154)*CoreData!$F$99+(R154-AD154)*CoreData!$F$130</f>
        <v>82.006362646450356</v>
      </c>
      <c r="AK154" s="862">
        <f>PS_Survey!$E$8</f>
        <v>85</v>
      </c>
      <c r="AL154" s="862">
        <f t="shared" si="10"/>
        <v>2681.7047957905911</v>
      </c>
      <c r="AM154" s="949">
        <f>(Q154-AC154)/CoreData!$F$136</f>
        <v>32.234095379539603</v>
      </c>
      <c r="AN154" s="862"/>
      <c r="AO154" s="862"/>
      <c r="AP154" s="949">
        <f t="shared" si="11"/>
        <v>5226.7585657923464</v>
      </c>
      <c r="AQ154" s="949">
        <f t="shared" si="12"/>
        <v>76.215309927381753</v>
      </c>
      <c r="AR154" s="950">
        <f t="shared" si="13"/>
        <v>0.82099999999999995</v>
      </c>
      <c r="AS154" s="950">
        <f t="shared" si="14"/>
        <v>0.91199999999999992</v>
      </c>
      <c r="AT154" s="949">
        <f t="shared" si="15"/>
        <v>542007.17591285333</v>
      </c>
      <c r="AU154" s="949">
        <f t="shared" si="16"/>
        <v>242800.58331228627</v>
      </c>
      <c r="AV154" s="949">
        <f t="shared" si="17"/>
        <v>714106.95113682922</v>
      </c>
      <c r="AW154" s="949">
        <f t="shared" si="18"/>
        <v>82.006362646450356</v>
      </c>
      <c r="AX154" s="949">
        <f t="shared" si="19"/>
        <v>85</v>
      </c>
      <c r="AY154" s="949">
        <f t="shared" si="21"/>
        <v>7487.4553859271145</v>
      </c>
      <c r="AZ154" s="949">
        <f t="shared" si="20"/>
        <v>32.234095379539603</v>
      </c>
      <c r="BA154" s="974"/>
      <c r="BB154" s="875">
        <f>H154*I154*J154*((Calculations!$D$29-Calculations!$D$58)/CoreData!$F$11+(Calculations!$D$31-Calculations!$D$60)/CoreData!$F$11*CoreData!$F$23)</f>
        <v>5226.7585657923464</v>
      </c>
      <c r="BC154" s="875">
        <f>H154*I154*J154*((Calculations!$D$35-Calculations!$D$62)/CoreData!$F$11)</f>
        <v>76.215309927381753</v>
      </c>
      <c r="BD154" s="876">
        <f>PS_Survey!$E$3</f>
        <v>0.82099999999999995</v>
      </c>
      <c r="BE154" s="876">
        <f>PS_Survey!$E$4</f>
        <v>0.91199999999999992</v>
      </c>
      <c r="BF154" s="877">
        <f>H154*I154*J154*CoreData!$F$7*PS_Survey!$E$5</f>
        <v>542007.17591285333</v>
      </c>
      <c r="BG154" s="877">
        <f>H154*I154*J154*CoreData!$F$7*(1-CoreData!$F$66)*PS_Survey!$E$6*PS_Survey!$E$7</f>
        <v>242800.58331228627</v>
      </c>
      <c r="BH154" s="875">
        <f>H154*I154*J154*CoreData!$F$7</f>
        <v>714106.95113682922</v>
      </c>
      <c r="BI154" s="875">
        <f>BB154*CoreData!$F$99+Units_month!BC154*CoreData!$F$130</f>
        <v>82.006362646450356</v>
      </c>
      <c r="BJ154" s="878">
        <f>PS_Survey!$E$8</f>
        <v>85</v>
      </c>
      <c r="BK154" s="879">
        <f t="shared" si="25"/>
        <v>7487.4553859271145</v>
      </c>
      <c r="BL154" s="875">
        <f>BB154/CoreData!$F$136</f>
        <v>32.234095379539603</v>
      </c>
      <c r="BM154" s="538"/>
      <c r="BN154" s="538"/>
      <c r="BO154" s="538"/>
      <c r="BP154" s="863"/>
      <c r="BQ154" s="863"/>
      <c r="BR154" s="863"/>
      <c r="BS154" s="863"/>
      <c r="BT154" s="863"/>
      <c r="BU154" s="863"/>
      <c r="BV154" s="863"/>
      <c r="BW154" s="863"/>
      <c r="BX154" s="863"/>
      <c r="BY154" s="863"/>
      <c r="BZ154" s="863"/>
      <c r="CA154" s="863"/>
      <c r="CB154" s="863"/>
      <c r="CC154" s="863"/>
      <c r="CD154" s="863"/>
      <c r="CE154" s="863"/>
      <c r="CF154" s="863"/>
      <c r="CG154" s="863"/>
      <c r="CH154" s="863"/>
      <c r="CI154" s="863"/>
      <c r="CJ154" s="863"/>
      <c r="CK154" s="863"/>
      <c r="CL154" s="863"/>
      <c r="CM154" s="863"/>
      <c r="CN154" s="863"/>
      <c r="CO154" s="863"/>
      <c r="CP154" s="863"/>
      <c r="CQ154" s="863"/>
      <c r="CR154" s="863"/>
      <c r="CS154" s="863"/>
      <c r="CT154" s="863"/>
      <c r="CU154" s="863"/>
      <c r="CV154" s="863"/>
      <c r="CW154" s="863"/>
      <c r="CX154" s="863"/>
      <c r="CY154" s="863"/>
      <c r="CZ154" s="863"/>
      <c r="DA154" s="863"/>
      <c r="DB154" s="863"/>
      <c r="DC154" s="863"/>
      <c r="DD154" s="863"/>
      <c r="DE154" s="863"/>
      <c r="DF154" s="863"/>
      <c r="DG154" s="863"/>
      <c r="DH154" s="863"/>
      <c r="DI154" s="863"/>
      <c r="DJ154" s="863"/>
      <c r="DK154" s="863"/>
      <c r="DL154" s="863"/>
      <c r="DM154" s="863"/>
      <c r="DN154" s="863"/>
      <c r="DO154" s="863"/>
      <c r="DP154" s="863"/>
      <c r="DQ154" s="863"/>
      <c r="DR154" s="863"/>
      <c r="DS154" s="863"/>
      <c r="DT154" s="863"/>
      <c r="DU154" s="863"/>
      <c r="DV154" s="863"/>
      <c r="DW154" s="863"/>
      <c r="DX154" s="863"/>
      <c r="DY154" s="863"/>
      <c r="DZ154" s="863"/>
      <c r="EA154" s="863"/>
      <c r="EB154" s="863"/>
      <c r="EC154" s="863"/>
      <c r="ED154" s="863"/>
      <c r="EE154" s="863"/>
      <c r="EF154" s="863"/>
      <c r="EG154" s="863"/>
      <c r="EH154" s="863"/>
      <c r="EI154" s="863"/>
      <c r="EJ154" s="863"/>
      <c r="EK154" s="863"/>
      <c r="EL154" s="863"/>
      <c r="EM154" s="863"/>
      <c r="EN154" s="863"/>
      <c r="EO154" s="863"/>
      <c r="EP154" s="863"/>
      <c r="EQ154" s="863"/>
      <c r="ER154" s="863"/>
      <c r="ES154" s="863"/>
      <c r="ET154" s="863"/>
      <c r="EU154" s="863"/>
      <c r="EV154" s="863"/>
      <c r="EW154" s="863"/>
      <c r="EX154" s="863"/>
      <c r="EY154" s="863"/>
      <c r="EZ154" s="863"/>
      <c r="FA154" s="863"/>
      <c r="FB154" s="863"/>
      <c r="FC154" s="863"/>
      <c r="FD154" s="863"/>
      <c r="FE154" s="863"/>
      <c r="FF154" s="863"/>
      <c r="FG154" s="863"/>
      <c r="FH154" s="863"/>
      <c r="FI154" s="863"/>
      <c r="FJ154" s="863"/>
      <c r="FK154" s="863"/>
      <c r="FL154" s="863"/>
      <c r="FM154" s="863"/>
      <c r="FN154" s="863"/>
      <c r="FO154" s="863"/>
    </row>
    <row r="155" spans="1:171">
      <c r="A155" s="557" t="s">
        <v>335</v>
      </c>
      <c r="B155" s="557">
        <f t="shared" si="26"/>
        <v>150</v>
      </c>
      <c r="C155" s="529">
        <v>45047</v>
      </c>
      <c r="D155" s="540">
        <f t="shared" si="24"/>
        <v>45077</v>
      </c>
      <c r="E155" s="599">
        <f>Sale_Data!D126</f>
        <v>3000</v>
      </c>
      <c r="F155" s="541"/>
      <c r="G155" s="326">
        <f t="shared" si="23"/>
        <v>3117</v>
      </c>
      <c r="H155" s="610">
        <f>SUM($E$6:E154)-SUM($F$6:G154)</f>
        <v>183066</v>
      </c>
      <c r="I155" s="623">
        <f>VLOOKUP(A155,'Usage Rate Calc'!$T$7:$U$13,2,0)</f>
        <v>0.83517308048242433</v>
      </c>
      <c r="J155" s="624">
        <f>VLOOKUP(A155,WQ_Test!$A$3:$B$9,2,0)</f>
        <v>0.9</v>
      </c>
      <c r="K155" s="804">
        <f>$H155*CoreData!$F$44*I155*J155</f>
        <v>10432.502518908648</v>
      </c>
      <c r="L155" s="541">
        <f>$H155*CoreData!$F$45*I155*J155</f>
        <v>2702.5646157575175</v>
      </c>
      <c r="M155" s="576">
        <f>$H155*CoreData!$F$46</f>
        <v>184.24084513318954</v>
      </c>
      <c r="N155" s="761">
        <f t="shared" si="27"/>
        <v>7545.6970580179413</v>
      </c>
      <c r="O155" s="862"/>
      <c r="P155" s="862"/>
      <c r="Q155" s="949">
        <f>H155*I155*J155*((Calculations!$D$29)/CoreData!$F$11+(Calculations!$D$31)/CoreData!$F$11*CoreData!$F$23)</f>
        <v>7079.505129466228</v>
      </c>
      <c r="R155" s="949">
        <f>H155*I155*J155*((Calculations!$D$35)/CoreData!$F$11)</f>
        <v>117.74618785287552</v>
      </c>
      <c r="S155" s="862">
        <v>0</v>
      </c>
      <c r="T155" s="862">
        <v>0</v>
      </c>
      <c r="U155" s="862">
        <v>0</v>
      </c>
      <c r="V155" s="862">
        <v>0</v>
      </c>
      <c r="W155" s="862">
        <v>0</v>
      </c>
      <c r="X155" s="862">
        <v>0</v>
      </c>
      <c r="Y155" s="862">
        <v>0</v>
      </c>
      <c r="Z155" s="862">
        <f t="shared" si="9"/>
        <v>10432.502518908648</v>
      </c>
      <c r="AA155" s="862"/>
      <c r="AB155" s="862"/>
      <c r="AC155" s="949">
        <f>H155*I155*J155*((Calculations!$D$58)/CoreData!$F$11+(Calculations!$D$60)/CoreData!$F$11*CoreData!$F$23)</f>
        <v>1812.0898728762363</v>
      </c>
      <c r="AD155" s="949">
        <f>H155*I155*J155*((Calculations!$D$62)/CoreData!$F$11)</f>
        <v>40.938032043909701</v>
      </c>
      <c r="AE155" s="950">
        <f>PS_Survey!$E$3</f>
        <v>0.82099999999999995</v>
      </c>
      <c r="AF155" s="950">
        <f>PS_Survey!$E$4</f>
        <v>0.91199999999999992</v>
      </c>
      <c r="AG155" s="862">
        <f>H155*I155*J155*CoreData!$F$7*PS_Survey!$E$5</f>
        <v>546223.21495192708</v>
      </c>
      <c r="AH155" s="862">
        <f>H155*I155*J155*CoreData!$F$7*(1-CoreData!$F$66)*PS_Survey!$E$6*PS_Survey!$E$7</f>
        <v>244689.22387544933</v>
      </c>
      <c r="AI155" s="862">
        <f>H155*I155*J155*CoreData!$F$7</f>
        <v>719661.67977856006</v>
      </c>
      <c r="AJ155" s="949">
        <f>(Q155-AC155)*CoreData!$F$99+(R155-AD155)*CoreData!$F$130</f>
        <v>82.644254618613957</v>
      </c>
      <c r="AK155" s="862">
        <f>PS_Survey!$E$8</f>
        <v>85</v>
      </c>
      <c r="AL155" s="862">
        <f t="shared" si="10"/>
        <v>2702.5646157575175</v>
      </c>
      <c r="AM155" s="949">
        <f>(Q155-AC155)/CoreData!$F$136</f>
        <v>32.48483044458829</v>
      </c>
      <c r="AN155" s="862"/>
      <c r="AO155" s="862"/>
      <c r="AP155" s="949">
        <f t="shared" si="11"/>
        <v>5267.4152565899913</v>
      </c>
      <c r="AQ155" s="949">
        <f t="shared" si="12"/>
        <v>76.808155808965822</v>
      </c>
      <c r="AR155" s="950">
        <f t="shared" si="13"/>
        <v>0.82099999999999995</v>
      </c>
      <c r="AS155" s="950">
        <f t="shared" si="14"/>
        <v>0.91199999999999992</v>
      </c>
      <c r="AT155" s="949">
        <f t="shared" si="15"/>
        <v>546223.21495192708</v>
      </c>
      <c r="AU155" s="949">
        <f t="shared" si="16"/>
        <v>244689.22387544933</v>
      </c>
      <c r="AV155" s="949">
        <f t="shared" si="17"/>
        <v>719661.67977856006</v>
      </c>
      <c r="AW155" s="949">
        <f t="shared" si="18"/>
        <v>82.644254618613957</v>
      </c>
      <c r="AX155" s="949">
        <f t="shared" si="19"/>
        <v>85</v>
      </c>
      <c r="AY155" s="949">
        <f t="shared" si="21"/>
        <v>7545.6970580179413</v>
      </c>
      <c r="AZ155" s="949">
        <f t="shared" si="20"/>
        <v>32.48483044458829</v>
      </c>
      <c r="BA155" s="974"/>
      <c r="BB155" s="875">
        <f>H155*I155*J155*((Calculations!$D$29-Calculations!$D$58)/CoreData!$F$11+(Calculations!$D$31-Calculations!$D$60)/CoreData!$F$11*CoreData!$F$23)</f>
        <v>5267.4152565899913</v>
      </c>
      <c r="BC155" s="875">
        <f>H155*I155*J155*((Calculations!$D$35-Calculations!$D$62)/CoreData!$F$11)</f>
        <v>76.808155808965822</v>
      </c>
      <c r="BD155" s="876">
        <f>PS_Survey!$E$3</f>
        <v>0.82099999999999995</v>
      </c>
      <c r="BE155" s="876">
        <f>PS_Survey!$E$4</f>
        <v>0.91199999999999992</v>
      </c>
      <c r="BF155" s="877">
        <f>H155*I155*J155*CoreData!$F$7*PS_Survey!$E$5</f>
        <v>546223.21495192708</v>
      </c>
      <c r="BG155" s="877">
        <f>H155*I155*J155*CoreData!$F$7*(1-CoreData!$F$66)*PS_Survey!$E$6*PS_Survey!$E$7</f>
        <v>244689.22387544933</v>
      </c>
      <c r="BH155" s="875">
        <f>H155*I155*J155*CoreData!$F$7</f>
        <v>719661.67977856006</v>
      </c>
      <c r="BI155" s="875">
        <f>BB155*CoreData!$F$99+Units_month!BC155*CoreData!$F$130</f>
        <v>82.644254618613957</v>
      </c>
      <c r="BJ155" s="878">
        <f>PS_Survey!$E$8</f>
        <v>85</v>
      </c>
      <c r="BK155" s="879">
        <f t="shared" si="25"/>
        <v>7545.6970580179413</v>
      </c>
      <c r="BL155" s="875">
        <f>BB155/CoreData!$F$136</f>
        <v>32.48483044458829</v>
      </c>
    </row>
    <row r="156" spans="1:171">
      <c r="A156" s="557" t="s">
        <v>335</v>
      </c>
      <c r="B156" s="557">
        <f t="shared" si="26"/>
        <v>151</v>
      </c>
      <c r="C156" s="528">
        <v>45078</v>
      </c>
      <c r="D156" s="540">
        <f t="shared" si="24"/>
        <v>45107</v>
      </c>
      <c r="E156" s="599">
        <f>Sale_Data!D127</f>
        <v>3200</v>
      </c>
      <c r="F156" s="541"/>
      <c r="G156" s="326">
        <f t="shared" si="23"/>
        <v>1468</v>
      </c>
      <c r="H156" s="610">
        <f>SUM($E$6:E155)-SUM($F$6:G155)</f>
        <v>182949</v>
      </c>
      <c r="I156" s="623">
        <f>VLOOKUP(A156,'Usage Rate Calc'!$T$7:$U$13,2,0)</f>
        <v>0.83517308048242433</v>
      </c>
      <c r="J156" s="624">
        <f>VLOOKUP(A156,WQ_Test!$A$3:$B$9,2,0)</f>
        <v>0.9</v>
      </c>
      <c r="K156" s="804">
        <f>$H156*CoreData!$F$44*I156*J156</f>
        <v>10425.834962974108</v>
      </c>
      <c r="L156" s="541">
        <f>$H156*CoreData!$F$45*I156*J156</f>
        <v>2700.8373695182177</v>
      </c>
      <c r="M156" s="576">
        <f>$H156*CoreData!$F$46</f>
        <v>184.12309427349638</v>
      </c>
      <c r="N156" s="761">
        <f t="shared" si="27"/>
        <v>7540.8744991823933</v>
      </c>
      <c r="O156" s="862"/>
      <c r="P156" s="862"/>
      <c r="Q156" s="949">
        <f>H156*I156*J156*((Calculations!$D$29)/CoreData!$F$11+(Calculations!$D$31)/CoreData!$F$11*CoreData!$F$23)</f>
        <v>7074.9805203080678</v>
      </c>
      <c r="R156" s="949">
        <f>H156*I156*J156*((Calculations!$D$35)/CoreData!$F$11)</f>
        <v>117.6709346437663</v>
      </c>
      <c r="S156" s="862">
        <v>0</v>
      </c>
      <c r="T156" s="862">
        <v>0</v>
      </c>
      <c r="U156" s="862">
        <v>0</v>
      </c>
      <c r="V156" s="862">
        <v>0</v>
      </c>
      <c r="W156" s="862">
        <v>0</v>
      </c>
      <c r="X156" s="862">
        <v>0</v>
      </c>
      <c r="Y156" s="862">
        <v>0</v>
      </c>
      <c r="Z156" s="862">
        <f t="shared" si="9"/>
        <v>10425.834962974108</v>
      </c>
      <c r="AA156" s="862"/>
      <c r="AB156" s="862"/>
      <c r="AC156" s="949">
        <f>H156*I156*J156*((Calculations!$D$58)/CoreData!$F$11+(Calculations!$D$60)/CoreData!$F$11*CoreData!$F$23)</f>
        <v>1810.9317413000474</v>
      </c>
      <c r="AD156" s="949">
        <f>H156*I156*J156*((Calculations!$D$62)/CoreData!$F$11)</f>
        <v>40.911867984231009</v>
      </c>
      <c r="AE156" s="950">
        <f>PS_Survey!$E$3</f>
        <v>0.82099999999999995</v>
      </c>
      <c r="AF156" s="950">
        <f>PS_Survey!$E$4</f>
        <v>0.91199999999999992</v>
      </c>
      <c r="AG156" s="862">
        <f>H156*I156*J156*CoreData!$F$7*PS_Survey!$E$5</f>
        <v>545874.11617799103</v>
      </c>
      <c r="AH156" s="862">
        <f>H156*I156*J156*CoreData!$F$7*(1-CoreData!$F$66)*PS_Survey!$E$6*PS_Survey!$E$7</f>
        <v>244532.83962499636</v>
      </c>
      <c r="AI156" s="862">
        <f>H156*I156*J156*CoreData!$F$7</f>
        <v>719201.73409484979</v>
      </c>
      <c r="AJ156" s="949">
        <f>(Q156-AC156)*CoreData!$F$99+(R156-AD156)*CoreData!$F$130</f>
        <v>82.591435538116329</v>
      </c>
      <c r="AK156" s="862">
        <f>PS_Survey!$E$8</f>
        <v>85</v>
      </c>
      <c r="AL156" s="862">
        <f t="shared" si="10"/>
        <v>2700.8373695182177</v>
      </c>
      <c r="AM156" s="949">
        <f>(Q156-AC156)/CoreData!$F$136</f>
        <v>32.464068942386803</v>
      </c>
      <c r="AN156" s="862"/>
      <c r="AO156" s="862"/>
      <c r="AP156" s="949">
        <f t="shared" si="11"/>
        <v>5264.0487790080206</v>
      </c>
      <c r="AQ156" s="949">
        <f t="shared" si="12"/>
        <v>76.759066659535293</v>
      </c>
      <c r="AR156" s="950">
        <f t="shared" si="13"/>
        <v>0.82099999999999995</v>
      </c>
      <c r="AS156" s="950">
        <f t="shared" si="14"/>
        <v>0.91199999999999992</v>
      </c>
      <c r="AT156" s="949">
        <f t="shared" si="15"/>
        <v>545874.11617799103</v>
      </c>
      <c r="AU156" s="949">
        <f t="shared" si="16"/>
        <v>244532.83962499636</v>
      </c>
      <c r="AV156" s="949">
        <f t="shared" si="17"/>
        <v>719201.73409484979</v>
      </c>
      <c r="AW156" s="949">
        <f t="shared" si="18"/>
        <v>82.591435538116329</v>
      </c>
      <c r="AX156" s="949">
        <f t="shared" si="19"/>
        <v>85</v>
      </c>
      <c r="AY156" s="949">
        <f t="shared" si="21"/>
        <v>7540.8744991823933</v>
      </c>
      <c r="AZ156" s="949">
        <f t="shared" si="20"/>
        <v>32.464068942386803</v>
      </c>
      <c r="BA156" s="974"/>
      <c r="BB156" s="875">
        <f>H156*I156*J156*((Calculations!$D$29-Calculations!$D$58)/CoreData!$F$11+(Calculations!$D$31-Calculations!$D$60)/CoreData!$F$11*CoreData!$F$23)</f>
        <v>5264.0487790080197</v>
      </c>
      <c r="BC156" s="875">
        <f>H156*I156*J156*((Calculations!$D$35-Calculations!$D$62)/CoreData!$F$11)</f>
        <v>76.759066659535279</v>
      </c>
      <c r="BD156" s="876">
        <f>PS_Survey!$E$3</f>
        <v>0.82099999999999995</v>
      </c>
      <c r="BE156" s="876">
        <f>PS_Survey!$E$4</f>
        <v>0.91199999999999992</v>
      </c>
      <c r="BF156" s="877">
        <f>H156*I156*J156*CoreData!$F$7*PS_Survey!$E$5</f>
        <v>545874.11617799103</v>
      </c>
      <c r="BG156" s="877">
        <f>H156*I156*J156*CoreData!$F$7*(1-CoreData!$F$66)*PS_Survey!$E$6*PS_Survey!$E$7</f>
        <v>244532.83962499636</v>
      </c>
      <c r="BH156" s="875">
        <f>H156*I156*J156*CoreData!$F$7</f>
        <v>719201.73409484979</v>
      </c>
      <c r="BI156" s="875">
        <f>BB156*CoreData!$F$99+Units_month!BC156*CoreData!$F$130</f>
        <v>82.591435538116315</v>
      </c>
      <c r="BJ156" s="878">
        <f>PS_Survey!$E$8</f>
        <v>85</v>
      </c>
      <c r="BK156" s="879">
        <f t="shared" si="25"/>
        <v>7540.8744991823933</v>
      </c>
      <c r="BL156" s="875">
        <f>BB156/CoreData!$F$136</f>
        <v>32.464068942386803</v>
      </c>
    </row>
    <row r="157" spans="1:171">
      <c r="A157" s="557" t="s">
        <v>335</v>
      </c>
      <c r="B157" s="557">
        <f t="shared" si="26"/>
        <v>152</v>
      </c>
      <c r="C157" s="529">
        <v>45108</v>
      </c>
      <c r="D157" s="540">
        <f t="shared" si="24"/>
        <v>45138</v>
      </c>
      <c r="E157" s="599">
        <f>Sale_Data!D128</f>
        <v>3500</v>
      </c>
      <c r="F157" s="541"/>
      <c r="G157" s="326">
        <f t="shared" si="23"/>
        <v>3826</v>
      </c>
      <c r="H157" s="610">
        <f>SUM($E$6:E156)-SUM($F$6:G156)</f>
        <v>184681</v>
      </c>
      <c r="I157" s="623">
        <f>VLOOKUP(A157,'Usage Rate Calc'!$T$7:$U$13,2,0)</f>
        <v>0.83517308048242433</v>
      </c>
      <c r="J157" s="624">
        <f>VLOOKUP(A157,WQ_Test!$A$3:$B$9,2,0)</f>
        <v>0.9</v>
      </c>
      <c r="K157" s="804">
        <f>$H157*CoreData!$F$44*I157*J157</f>
        <v>10524.537585868309</v>
      </c>
      <c r="L157" s="541">
        <f>$H157*CoreData!$F$45*I157*J157</f>
        <v>2726.4065189752009</v>
      </c>
      <c r="M157" s="576">
        <f>$H157*CoreData!$F$46</f>
        <v>185.86620956399645</v>
      </c>
      <c r="N157" s="761">
        <f t="shared" si="27"/>
        <v>7612.2648573291117</v>
      </c>
      <c r="O157" s="862"/>
      <c r="P157" s="862"/>
      <c r="Q157" s="949">
        <f>H157*I157*J157*((Calculations!$D$29)/CoreData!$F$11+(Calculations!$D$31)/CoreData!$F$11*CoreData!$F$23)</f>
        <v>7141.960204598081</v>
      </c>
      <c r="R157" s="949">
        <f>H157*I157*J157*((Calculations!$D$35)/CoreData!$F$11)</f>
        <v>118.78493941451117</v>
      </c>
      <c r="S157" s="862">
        <v>0</v>
      </c>
      <c r="T157" s="862">
        <v>0</v>
      </c>
      <c r="U157" s="862">
        <v>0</v>
      </c>
      <c r="V157" s="862">
        <v>0</v>
      </c>
      <c r="W157" s="862">
        <v>0</v>
      </c>
      <c r="X157" s="862">
        <v>0</v>
      </c>
      <c r="Y157" s="862">
        <v>0</v>
      </c>
      <c r="Z157" s="862">
        <f t="shared" si="9"/>
        <v>10524.537585868309</v>
      </c>
      <c r="AA157" s="862"/>
      <c r="AB157" s="862"/>
      <c r="AC157" s="949">
        <f>H157*I157*J157*((Calculations!$D$58)/CoreData!$F$11+(Calculations!$D$60)/CoreData!$F$11*CoreData!$F$23)</f>
        <v>1828.0760480518293</v>
      </c>
      <c r="AD157" s="949">
        <f>H157*I157*J157*((Calculations!$D$62)/CoreData!$F$11)</f>
        <v>41.299185517252177</v>
      </c>
      <c r="AE157" s="950">
        <f>PS_Survey!$E$3</f>
        <v>0.82099999999999995</v>
      </c>
      <c r="AF157" s="950">
        <f>PS_Survey!$E$4</f>
        <v>0.91199999999999992</v>
      </c>
      <c r="AG157" s="862">
        <f>H157*I157*J157*CoreData!$F$7*PS_Survey!$E$5</f>
        <v>551041.97153232631</v>
      </c>
      <c r="AH157" s="862">
        <f>H157*I157*J157*CoreData!$F$7*(1-CoreData!$F$66)*PS_Survey!$E$6*PS_Survey!$E$7</f>
        <v>246847.86117871071</v>
      </c>
      <c r="AI157" s="862">
        <f>H157*I157*J157*CoreData!$F$7</f>
        <v>726010.50267763669</v>
      </c>
      <c r="AJ157" s="949">
        <f>(Q157-AC157)*CoreData!$F$99+(R157-AD157)*CoreData!$F$130</f>
        <v>83.373338507534115</v>
      </c>
      <c r="AK157" s="862">
        <f>PS_Survey!$E$8</f>
        <v>85</v>
      </c>
      <c r="AL157" s="862">
        <f t="shared" si="10"/>
        <v>2726.4065189752009</v>
      </c>
      <c r="AM157" s="949">
        <f>(Q157-AC157)/CoreData!$F$136</f>
        <v>32.771410154463467</v>
      </c>
      <c r="AN157" s="862"/>
      <c r="AO157" s="862"/>
      <c r="AP157" s="949">
        <f t="shared" si="11"/>
        <v>5313.8841565462517</v>
      </c>
      <c r="AQ157" s="949">
        <f t="shared" si="12"/>
        <v>77.485753897259002</v>
      </c>
      <c r="AR157" s="950">
        <f t="shared" si="13"/>
        <v>0.82099999999999995</v>
      </c>
      <c r="AS157" s="950">
        <f t="shared" si="14"/>
        <v>0.91199999999999992</v>
      </c>
      <c r="AT157" s="949">
        <f t="shared" si="15"/>
        <v>551041.97153232631</v>
      </c>
      <c r="AU157" s="949">
        <f t="shared" si="16"/>
        <v>246847.86117871071</v>
      </c>
      <c r="AV157" s="949">
        <f t="shared" si="17"/>
        <v>726010.50267763669</v>
      </c>
      <c r="AW157" s="949">
        <f t="shared" si="18"/>
        <v>83.373338507534115</v>
      </c>
      <c r="AX157" s="949">
        <f t="shared" si="19"/>
        <v>85</v>
      </c>
      <c r="AY157" s="949">
        <f t="shared" si="21"/>
        <v>7612.2648573291117</v>
      </c>
      <c r="AZ157" s="949">
        <f t="shared" si="20"/>
        <v>32.771410154463467</v>
      </c>
      <c r="BA157" s="974"/>
      <c r="BB157" s="875">
        <f>H157*I157*J157*((Calculations!$D$29-Calculations!$D$58)/CoreData!$F$11+(Calculations!$D$31-Calculations!$D$60)/CoreData!$F$11*CoreData!$F$23)</f>
        <v>5313.8841565462517</v>
      </c>
      <c r="BC157" s="875">
        <f>H157*I157*J157*((Calculations!$D$35-Calculations!$D$62)/CoreData!$F$11)</f>
        <v>77.485753897259002</v>
      </c>
      <c r="BD157" s="876">
        <f>PS_Survey!$E$3</f>
        <v>0.82099999999999995</v>
      </c>
      <c r="BE157" s="876">
        <f>PS_Survey!$E$4</f>
        <v>0.91199999999999992</v>
      </c>
      <c r="BF157" s="877">
        <f>H157*I157*J157*CoreData!$F$7*PS_Survey!$E$5</f>
        <v>551041.97153232631</v>
      </c>
      <c r="BG157" s="877">
        <f>H157*I157*J157*CoreData!$F$7*(1-CoreData!$F$66)*PS_Survey!$E$6*PS_Survey!$E$7</f>
        <v>246847.86117871071</v>
      </c>
      <c r="BH157" s="875">
        <f>H157*I157*J157*CoreData!$F$7</f>
        <v>726010.50267763669</v>
      </c>
      <c r="BI157" s="875">
        <f>BB157*CoreData!$F$99+Units_month!BC157*CoreData!$F$130</f>
        <v>83.373338507534115</v>
      </c>
      <c r="BJ157" s="878">
        <f>PS_Survey!$E$8</f>
        <v>85</v>
      </c>
      <c r="BK157" s="879">
        <f t="shared" si="25"/>
        <v>7612.2648573291117</v>
      </c>
      <c r="BL157" s="875">
        <f>BB157/CoreData!$F$136</f>
        <v>32.771410154463467</v>
      </c>
    </row>
    <row r="158" spans="1:171">
      <c r="A158" s="557" t="s">
        <v>335</v>
      </c>
      <c r="B158" s="557">
        <f t="shared" si="26"/>
        <v>153</v>
      </c>
      <c r="C158" s="529">
        <v>45139</v>
      </c>
      <c r="D158" s="540">
        <f t="shared" si="24"/>
        <v>45169</v>
      </c>
      <c r="E158" s="599">
        <f>Sale_Data!D129</f>
        <v>3500</v>
      </c>
      <c r="F158" s="541"/>
      <c r="G158" s="326">
        <f t="shared" si="23"/>
        <v>4648</v>
      </c>
      <c r="H158" s="610">
        <f>SUM($E$6:E157)-SUM($F$6:G157)</f>
        <v>184355</v>
      </c>
      <c r="I158" s="623">
        <f>VLOOKUP(A158,'Usage Rate Calc'!$T$7:$U$13,2,0)</f>
        <v>0.83517308048242433</v>
      </c>
      <c r="J158" s="624">
        <f>VLOOKUP(A158,WQ_Test!$A$3:$B$9,2,0)</f>
        <v>0.9</v>
      </c>
      <c r="K158" s="804">
        <f>$H158*CoreData!$F$44*I158*J158</f>
        <v>10505.959609503696</v>
      </c>
      <c r="L158" s="541">
        <f>$H158*CoreData!$F$45*I158*J158</f>
        <v>2721.593849966554</v>
      </c>
      <c r="M158" s="576">
        <f>$H158*CoreData!$F$46</f>
        <v>185.53811742502242</v>
      </c>
      <c r="N158" s="761">
        <f t="shared" si="27"/>
        <v>7598.82764211212</v>
      </c>
      <c r="O158" s="862"/>
      <c r="P158" s="862"/>
      <c r="Q158" s="949">
        <f>H158*I158*J158*((Calculations!$D$29)/CoreData!$F$11+(Calculations!$D$31)/CoreData!$F$11*CoreData!$F$23)</f>
        <v>7129.3531739522705</v>
      </c>
      <c r="R158" s="949">
        <f>H158*I158*J158*((Calculations!$D$35)/CoreData!$F$11)</f>
        <v>118.57525953271971</v>
      </c>
      <c r="S158" s="862">
        <v>0</v>
      </c>
      <c r="T158" s="862">
        <v>0</v>
      </c>
      <c r="U158" s="862">
        <v>0</v>
      </c>
      <c r="V158" s="862">
        <v>0</v>
      </c>
      <c r="W158" s="862">
        <v>0</v>
      </c>
      <c r="X158" s="862">
        <v>0</v>
      </c>
      <c r="Y158" s="862">
        <v>0</v>
      </c>
      <c r="Z158" s="862">
        <f t="shared" si="9"/>
        <v>10505.959609503696</v>
      </c>
      <c r="AA158" s="862"/>
      <c r="AB158" s="862"/>
      <c r="AC158" s="949">
        <f>H158*I158*J158*((Calculations!$D$58)/CoreData!$F$11+(Calculations!$D$60)/CoreData!$F$11*CoreData!$F$23)</f>
        <v>1824.84911733527</v>
      </c>
      <c r="AD158" s="949">
        <f>H158*I158*J158*((Calculations!$D$62)/CoreData!$F$11)</f>
        <v>41.226283949258587</v>
      </c>
      <c r="AE158" s="950">
        <f>PS_Survey!$E$3</f>
        <v>0.82099999999999995</v>
      </c>
      <c r="AF158" s="950">
        <f>PS_Survey!$E$4</f>
        <v>0.91199999999999992</v>
      </c>
      <c r="AG158" s="862">
        <f>H158*I158*J158*CoreData!$F$7*PS_Survey!$E$5</f>
        <v>550069.26896563265</v>
      </c>
      <c r="AH158" s="862">
        <f>H158*I158*J158*CoreData!$F$7*(1-CoreData!$F$66)*PS_Survey!$E$6*PS_Survey!$E$7</f>
        <v>246412.12386548272</v>
      </c>
      <c r="AI158" s="862">
        <f>H158*I158*J158*CoreData!$F$7</f>
        <v>724728.94461875188</v>
      </c>
      <c r="AJ158" s="949">
        <f>(Q158-AC158)*CoreData!$F$99+(R158-AD158)*CoreData!$F$130</f>
        <v>83.226167394352728</v>
      </c>
      <c r="AK158" s="862">
        <f>PS_Survey!$E$8</f>
        <v>85</v>
      </c>
      <c r="AL158" s="862">
        <f t="shared" si="10"/>
        <v>2721.593849966554</v>
      </c>
      <c r="AM158" s="949">
        <f>(Q158-AC158)/CoreData!$F$136</f>
        <v>32.713561866278141</v>
      </c>
      <c r="AN158" s="862"/>
      <c r="AO158" s="862"/>
      <c r="AP158" s="949">
        <f t="shared" si="11"/>
        <v>5304.504056617001</v>
      </c>
      <c r="AQ158" s="949">
        <f t="shared" si="12"/>
        <v>77.348975583461126</v>
      </c>
      <c r="AR158" s="950">
        <f t="shared" si="13"/>
        <v>0.82099999999999995</v>
      </c>
      <c r="AS158" s="950">
        <f t="shared" si="14"/>
        <v>0.91199999999999992</v>
      </c>
      <c r="AT158" s="949">
        <f t="shared" si="15"/>
        <v>550069.26896563265</v>
      </c>
      <c r="AU158" s="949">
        <f t="shared" si="16"/>
        <v>246412.12386548272</v>
      </c>
      <c r="AV158" s="949">
        <f t="shared" si="17"/>
        <v>724728.94461875188</v>
      </c>
      <c r="AW158" s="949">
        <f t="shared" si="18"/>
        <v>83.226167394352728</v>
      </c>
      <c r="AX158" s="949">
        <f t="shared" si="19"/>
        <v>85</v>
      </c>
      <c r="AY158" s="949">
        <f t="shared" si="21"/>
        <v>7598.82764211212</v>
      </c>
      <c r="AZ158" s="949">
        <f t="shared" si="20"/>
        <v>32.713561866278141</v>
      </c>
      <c r="BA158" s="974"/>
      <c r="BB158" s="875">
        <f>H158*I158*J158*((Calculations!$D$29-Calculations!$D$58)/CoreData!$F$11+(Calculations!$D$31-Calculations!$D$60)/CoreData!$F$11*CoreData!$F$23)</f>
        <v>5304.5040566170001</v>
      </c>
      <c r="BC158" s="875">
        <f>H158*I158*J158*((Calculations!$D$35-Calculations!$D$62)/CoreData!$F$11)</f>
        <v>77.348975583461126</v>
      </c>
      <c r="BD158" s="876">
        <f>PS_Survey!$E$3</f>
        <v>0.82099999999999995</v>
      </c>
      <c r="BE158" s="876">
        <f>PS_Survey!$E$4</f>
        <v>0.91199999999999992</v>
      </c>
      <c r="BF158" s="877">
        <f>H158*I158*J158*CoreData!$F$7*PS_Survey!$E$5</f>
        <v>550069.26896563265</v>
      </c>
      <c r="BG158" s="877">
        <f>H158*I158*J158*CoreData!$F$7*(1-CoreData!$F$66)*PS_Survey!$E$6*PS_Survey!$E$7</f>
        <v>246412.12386548272</v>
      </c>
      <c r="BH158" s="875">
        <f>H158*I158*J158*CoreData!$F$7</f>
        <v>724728.94461875188</v>
      </c>
      <c r="BI158" s="875">
        <f>BB158*CoreData!$F$99+Units_month!BC158*CoreData!$F$130</f>
        <v>83.226167394352714</v>
      </c>
      <c r="BJ158" s="878">
        <f>PS_Survey!$E$8</f>
        <v>85</v>
      </c>
      <c r="BK158" s="879">
        <f t="shared" si="25"/>
        <v>7598.82764211212</v>
      </c>
      <c r="BL158" s="875">
        <f>BB158/CoreData!$F$136</f>
        <v>32.713561866278134</v>
      </c>
    </row>
    <row r="159" spans="1:171">
      <c r="A159" s="557" t="s">
        <v>335</v>
      </c>
      <c r="B159" s="557">
        <f t="shared" si="26"/>
        <v>154</v>
      </c>
      <c r="C159" s="528">
        <v>45170</v>
      </c>
      <c r="D159" s="540">
        <f t="shared" si="24"/>
        <v>45199</v>
      </c>
      <c r="E159" s="599">
        <f>Sale_Data!D130</f>
        <v>3800</v>
      </c>
      <c r="F159" s="541"/>
      <c r="G159" s="326">
        <f t="shared" si="23"/>
        <v>2822</v>
      </c>
      <c r="H159" s="610">
        <f>SUM($E$6:E158)-SUM($F$6:G158)</f>
        <v>183207</v>
      </c>
      <c r="I159" s="623">
        <f>VLOOKUP(A159,'Usage Rate Calc'!$T$7:$U$13,2,0)</f>
        <v>0.83517308048242433</v>
      </c>
      <c r="J159" s="624">
        <f>VLOOKUP(A159,WQ_Test!$A$3:$B$9,2,0)</f>
        <v>0.9</v>
      </c>
      <c r="K159" s="804">
        <f>$H159*CoreData!$F$44*I159*J159</f>
        <v>10440.53777862463</v>
      </c>
      <c r="L159" s="541">
        <f>$H159*CoreData!$F$45*I159*J159</f>
        <v>2704.6461689176995</v>
      </c>
      <c r="M159" s="576">
        <f>$H159*CoreData!$F$46</f>
        <v>184.38275001538381</v>
      </c>
      <c r="N159" s="761">
        <f t="shared" si="27"/>
        <v>7551.5088596915466</v>
      </c>
      <c r="O159" s="862"/>
      <c r="P159" s="862"/>
      <c r="Q159" s="949">
        <f>H159*I159*J159*((Calculations!$D$29)/CoreData!$F$11+(Calculations!$D$31)/CoreData!$F$11*CoreData!$F$23)</f>
        <v>7084.9578635799071</v>
      </c>
      <c r="R159" s="949">
        <f>H159*I159*J159*((Calculations!$D$35)/CoreData!$F$11)</f>
        <v>117.83687761769944</v>
      </c>
      <c r="S159" s="862">
        <v>0</v>
      </c>
      <c r="T159" s="862">
        <v>0</v>
      </c>
      <c r="U159" s="862">
        <v>0</v>
      </c>
      <c r="V159" s="862">
        <v>0</v>
      </c>
      <c r="W159" s="862">
        <v>0</v>
      </c>
      <c r="X159" s="862">
        <v>0</v>
      </c>
      <c r="Y159" s="862">
        <v>0</v>
      </c>
      <c r="Z159" s="862">
        <f t="shared" si="9"/>
        <v>10440.53777862463</v>
      </c>
      <c r="AA159" s="862"/>
      <c r="AB159" s="862"/>
      <c r="AC159" s="949">
        <f>H159*I159*J159*((Calculations!$D$58)/CoreData!$F$11+(Calculations!$D$60)/CoreData!$F$11*CoreData!$F$23)</f>
        <v>1813.4855699039506</v>
      </c>
      <c r="AD159" s="949">
        <f>H159*I159*J159*((Calculations!$D$62)/CoreData!$F$11)</f>
        <v>40.969563090189141</v>
      </c>
      <c r="AE159" s="950">
        <f>PS_Survey!$E$3</f>
        <v>0.82099999999999995</v>
      </c>
      <c r="AF159" s="950">
        <f>PS_Survey!$E$4</f>
        <v>0.91199999999999992</v>
      </c>
      <c r="AG159" s="862">
        <f>H159*I159*J159*CoreData!$F$7*PS_Survey!$E$5</f>
        <v>546643.92373077315</v>
      </c>
      <c r="AH159" s="862">
        <f>H159*I159*J159*CoreData!$F$7*(1-CoreData!$F$66)*PS_Survey!$E$6*PS_Survey!$E$7</f>
        <v>244877.6869465081</v>
      </c>
      <c r="AI159" s="862">
        <f>H159*I159*J159*CoreData!$F$7</f>
        <v>720215.97329482622</v>
      </c>
      <c r="AJ159" s="949">
        <f>(Q159-AC159)*CoreData!$F$99+(R159-AD159)*CoreData!$F$130</f>
        <v>82.707908382290569</v>
      </c>
      <c r="AK159" s="862">
        <f>PS_Survey!$E$8</f>
        <v>85</v>
      </c>
      <c r="AL159" s="862">
        <f t="shared" si="10"/>
        <v>2704.6461689176995</v>
      </c>
      <c r="AM159" s="949">
        <f>(Q159-AC159)/CoreData!$F$136</f>
        <v>32.50985071647213</v>
      </c>
      <c r="AN159" s="862"/>
      <c r="AO159" s="862"/>
      <c r="AP159" s="949">
        <f t="shared" si="11"/>
        <v>5271.4722936759563</v>
      </c>
      <c r="AQ159" s="949">
        <f t="shared" si="12"/>
        <v>76.867314527510302</v>
      </c>
      <c r="AR159" s="950">
        <f t="shared" si="13"/>
        <v>0.82099999999999995</v>
      </c>
      <c r="AS159" s="950">
        <f t="shared" si="14"/>
        <v>0.91199999999999992</v>
      </c>
      <c r="AT159" s="949">
        <f t="shared" si="15"/>
        <v>546643.92373077315</v>
      </c>
      <c r="AU159" s="949">
        <f t="shared" si="16"/>
        <v>244877.6869465081</v>
      </c>
      <c r="AV159" s="949">
        <f t="shared" si="17"/>
        <v>720215.97329482622</v>
      </c>
      <c r="AW159" s="949">
        <f t="shared" si="18"/>
        <v>82.707908382290569</v>
      </c>
      <c r="AX159" s="949">
        <f t="shared" si="19"/>
        <v>85</v>
      </c>
      <c r="AY159" s="949">
        <f t="shared" si="21"/>
        <v>7551.5088596915466</v>
      </c>
      <c r="AZ159" s="949">
        <f t="shared" si="20"/>
        <v>32.50985071647213</v>
      </c>
      <c r="BA159" s="974"/>
      <c r="BB159" s="875">
        <f>H159*I159*J159*((Calculations!$D$29-Calculations!$D$58)/CoreData!$F$11+(Calculations!$D$31-Calculations!$D$60)/CoreData!$F$11*CoreData!$F$23)</f>
        <v>5271.4722936759563</v>
      </c>
      <c r="BC159" s="875">
        <f>H159*I159*J159*((Calculations!$D$35-Calculations!$D$62)/CoreData!$F$11)</f>
        <v>76.867314527510317</v>
      </c>
      <c r="BD159" s="876">
        <f>PS_Survey!$E$3</f>
        <v>0.82099999999999995</v>
      </c>
      <c r="BE159" s="876">
        <f>PS_Survey!$E$4</f>
        <v>0.91199999999999992</v>
      </c>
      <c r="BF159" s="877">
        <f>H159*I159*J159*CoreData!$F$7*PS_Survey!$E$5</f>
        <v>546643.92373077315</v>
      </c>
      <c r="BG159" s="877">
        <f>H159*I159*J159*CoreData!$F$7*(1-CoreData!$F$66)*PS_Survey!$E$6*PS_Survey!$E$7</f>
        <v>244877.6869465081</v>
      </c>
      <c r="BH159" s="875">
        <f>H159*I159*J159*CoreData!$F$7</f>
        <v>720215.97329482622</v>
      </c>
      <c r="BI159" s="875">
        <f>BB159*CoreData!$F$99+Units_month!BC159*CoreData!$F$130</f>
        <v>82.707908382290569</v>
      </c>
      <c r="BJ159" s="878">
        <f>PS_Survey!$E$8</f>
        <v>85</v>
      </c>
      <c r="BK159" s="879">
        <f t="shared" si="25"/>
        <v>7551.5088596915466</v>
      </c>
      <c r="BL159" s="875">
        <f>BB159/CoreData!$F$136</f>
        <v>32.50985071647213</v>
      </c>
    </row>
    <row r="160" spans="1:171">
      <c r="A160" s="557" t="s">
        <v>335</v>
      </c>
      <c r="B160" s="557">
        <f t="shared" si="26"/>
        <v>155</v>
      </c>
      <c r="C160" s="529">
        <v>45200</v>
      </c>
      <c r="D160" s="540">
        <f t="shared" si="24"/>
        <v>45230</v>
      </c>
      <c r="E160" s="599">
        <f>Sale_Data!D131</f>
        <v>3800</v>
      </c>
      <c r="F160" s="541"/>
      <c r="G160" s="326">
        <f t="shared" si="23"/>
        <v>3409</v>
      </c>
      <c r="H160" s="610">
        <f>SUM($E$6:E159)-SUM($F$6:G159)</f>
        <v>184185</v>
      </c>
      <c r="I160" s="623">
        <f>VLOOKUP(A160,'Usage Rate Calc'!$T$7:$U$13,2,0)</f>
        <v>0.83517308048242433</v>
      </c>
      <c r="J160" s="624">
        <f>VLOOKUP(A160,WQ_Test!$A$3:$B$9,2,0)</f>
        <v>0.9</v>
      </c>
      <c r="K160" s="804">
        <f>$H160*CoreData!$F$44*I160*J160</f>
        <v>10496.27170771847</v>
      </c>
      <c r="L160" s="541">
        <f>$H160*CoreData!$F$45*I160*J160</f>
        <v>2719.0841759436398</v>
      </c>
      <c r="M160" s="576">
        <f>$H160*CoreData!$F$46</f>
        <v>185.36702643230589</v>
      </c>
      <c r="N160" s="761">
        <f t="shared" si="27"/>
        <v>7591.8205053425245</v>
      </c>
      <c r="O160" s="862"/>
      <c r="P160" s="862"/>
      <c r="Q160" s="949">
        <f>H160*I160*J160*((Calculations!$D$29)/CoreData!$F$11+(Calculations!$D$31)/CoreData!$F$11*CoreData!$F$23)</f>
        <v>7122.7789555173385</v>
      </c>
      <c r="R160" s="949">
        <f>H160*I160*J160*((Calculations!$D$35)/CoreData!$F$11)</f>
        <v>118.46591726307385</v>
      </c>
      <c r="S160" s="862">
        <v>0</v>
      </c>
      <c r="T160" s="862">
        <v>0</v>
      </c>
      <c r="U160" s="862">
        <v>0</v>
      </c>
      <c r="V160" s="862">
        <v>0</v>
      </c>
      <c r="W160" s="862">
        <v>0</v>
      </c>
      <c r="X160" s="862">
        <v>0</v>
      </c>
      <c r="Y160" s="862">
        <v>0</v>
      </c>
      <c r="Z160" s="862">
        <f t="shared" si="9"/>
        <v>10496.27170771847</v>
      </c>
      <c r="AA160" s="862"/>
      <c r="AB160" s="862"/>
      <c r="AC160" s="949">
        <f>H160*I160*J160*((Calculations!$D$58)/CoreData!$F$11+(Calculations!$D$60)/CoreData!$F$11*CoreData!$F$23)</f>
        <v>1823.1663620536285</v>
      </c>
      <c r="AD160" s="949">
        <f>H160*I160*J160*((Calculations!$D$62)/CoreData!$F$11)</f>
        <v>41.188267794169903</v>
      </c>
      <c r="AE160" s="950">
        <f>PS_Survey!$E$3</f>
        <v>0.82099999999999995</v>
      </c>
      <c r="AF160" s="950">
        <f>PS_Survey!$E$4</f>
        <v>0.91199999999999992</v>
      </c>
      <c r="AG160" s="862">
        <f>H160*I160*J160*CoreData!$F$7*PS_Survey!$E$5</f>
        <v>549562.03143085388</v>
      </c>
      <c r="AH160" s="862">
        <f>H160*I160*J160*CoreData!$F$7*(1-CoreData!$F$66)*PS_Survey!$E$6*PS_Survey!$E$7</f>
        <v>246184.89888619207</v>
      </c>
      <c r="AI160" s="862">
        <f>H160*I160*J160*CoreData!$F$7</f>
        <v>724060.64747148065</v>
      </c>
      <c r="AJ160" s="949">
        <f>(Q160-AC160)*CoreData!$F$99+(R160-AD160)*CoreData!$F$130</f>
        <v>83.149421721834813</v>
      </c>
      <c r="AK160" s="862">
        <f>PS_Survey!$E$8</f>
        <v>85</v>
      </c>
      <c r="AL160" s="862">
        <f t="shared" si="10"/>
        <v>2719.0841759436398</v>
      </c>
      <c r="AM160" s="949">
        <f>(Q160-AC160)/CoreData!$F$136</f>
        <v>32.683395581028122</v>
      </c>
      <c r="AN160" s="862"/>
      <c r="AO160" s="862"/>
      <c r="AP160" s="949">
        <f t="shared" si="11"/>
        <v>5299.6125934637103</v>
      </c>
      <c r="AQ160" s="949">
        <f t="shared" si="12"/>
        <v>77.277649468903945</v>
      </c>
      <c r="AR160" s="950">
        <f t="shared" si="13"/>
        <v>0.82099999999999995</v>
      </c>
      <c r="AS160" s="950">
        <f t="shared" si="14"/>
        <v>0.91199999999999992</v>
      </c>
      <c r="AT160" s="949">
        <f t="shared" si="15"/>
        <v>549562.03143085388</v>
      </c>
      <c r="AU160" s="949">
        <f t="shared" si="16"/>
        <v>246184.89888619207</v>
      </c>
      <c r="AV160" s="949">
        <f t="shared" si="17"/>
        <v>724060.64747148065</v>
      </c>
      <c r="AW160" s="949">
        <f t="shared" si="18"/>
        <v>83.149421721834813</v>
      </c>
      <c r="AX160" s="949">
        <f t="shared" si="19"/>
        <v>85</v>
      </c>
      <c r="AY160" s="949">
        <f t="shared" si="21"/>
        <v>7591.8205053425245</v>
      </c>
      <c r="AZ160" s="949">
        <f t="shared" si="20"/>
        <v>32.683395581028122</v>
      </c>
      <c r="BA160" s="974"/>
      <c r="BB160" s="875">
        <f>H160*I160*J160*((Calculations!$D$29-Calculations!$D$58)/CoreData!$F$11+(Calculations!$D$31-Calculations!$D$60)/CoreData!$F$11*CoreData!$F$23)</f>
        <v>5299.6125934637093</v>
      </c>
      <c r="BC160" s="875">
        <f>H160*I160*J160*((Calculations!$D$35-Calculations!$D$62)/CoreData!$F$11)</f>
        <v>77.277649468903945</v>
      </c>
      <c r="BD160" s="876">
        <f>PS_Survey!$E$3</f>
        <v>0.82099999999999995</v>
      </c>
      <c r="BE160" s="876">
        <f>PS_Survey!$E$4</f>
        <v>0.91199999999999992</v>
      </c>
      <c r="BF160" s="877">
        <f>H160*I160*J160*CoreData!$F$7*PS_Survey!$E$5</f>
        <v>549562.03143085388</v>
      </c>
      <c r="BG160" s="877">
        <f>H160*I160*J160*CoreData!$F$7*(1-CoreData!$F$66)*PS_Survey!$E$6*PS_Survey!$E$7</f>
        <v>246184.89888619207</v>
      </c>
      <c r="BH160" s="875">
        <f>H160*I160*J160*CoreData!$F$7</f>
        <v>724060.64747148065</v>
      </c>
      <c r="BI160" s="875">
        <f>BB160*CoreData!$F$99+Units_month!BC160*CoreData!$F$130</f>
        <v>83.149421721834798</v>
      </c>
      <c r="BJ160" s="878">
        <f>PS_Survey!$E$8</f>
        <v>85</v>
      </c>
      <c r="BK160" s="879">
        <f t="shared" si="25"/>
        <v>7591.8205053425245</v>
      </c>
      <c r="BL160" s="875">
        <f>BB160/CoreData!$F$136</f>
        <v>32.683395581028115</v>
      </c>
    </row>
    <row r="161" spans="1:171" s="490" customFormat="1" ht="15.75" thickBot="1">
      <c r="A161" s="557" t="s">
        <v>335</v>
      </c>
      <c r="B161" s="557">
        <f t="shared" si="26"/>
        <v>156</v>
      </c>
      <c r="C161" s="529">
        <v>45231</v>
      </c>
      <c r="D161" s="540">
        <f t="shared" si="24"/>
        <v>45260</v>
      </c>
      <c r="E161" s="599">
        <f>Sale_Data!D132</f>
        <v>4000</v>
      </c>
      <c r="F161" s="541"/>
      <c r="G161" s="326">
        <f t="shared" si="23"/>
        <v>3944</v>
      </c>
      <c r="H161" s="610">
        <f>SUM($E$6:E160)-SUM($F$6:G160)</f>
        <v>184576</v>
      </c>
      <c r="I161" s="623">
        <f>VLOOKUP(A161,'Usage Rate Calc'!$T$7:$U$13,2,0)</f>
        <v>0.83517308048242433</v>
      </c>
      <c r="J161" s="624">
        <f>VLOOKUP(A161,WQ_Test!$A$3:$B$9,2,0)</f>
        <v>0.9</v>
      </c>
      <c r="K161" s="804">
        <f>$H161*CoreData!$F$44*I161*J161</f>
        <v>10518.553881824491</v>
      </c>
      <c r="L161" s="541">
        <f>$H161*CoreData!$F$45*I161*J161</f>
        <v>2724.8564261963425</v>
      </c>
      <c r="M161" s="576">
        <f>$H161*CoreData!$F$46</f>
        <v>185.76053571555389</v>
      </c>
      <c r="N161" s="761">
        <f t="shared" si="27"/>
        <v>7607.9369199125958</v>
      </c>
      <c r="O161" s="862"/>
      <c r="P161" s="862"/>
      <c r="Q161" s="949">
        <f>H161*I161*J161*((Calculations!$D$29)/CoreData!$F$11+(Calculations!$D$31)/CoreData!$F$11*CoreData!$F$23)</f>
        <v>7137.8996579176828</v>
      </c>
      <c r="R161" s="949">
        <f>H161*I161*J161*((Calculations!$D$35)/CoreData!$F$11)</f>
        <v>118.71740448325934</v>
      </c>
      <c r="S161" s="862">
        <v>0</v>
      </c>
      <c r="T161" s="862">
        <v>0</v>
      </c>
      <c r="U161" s="862">
        <v>0</v>
      </c>
      <c r="V161" s="862">
        <v>0</v>
      </c>
      <c r="W161" s="862">
        <v>0</v>
      </c>
      <c r="X161" s="862">
        <v>0</v>
      </c>
      <c r="Y161" s="862">
        <v>0</v>
      </c>
      <c r="Z161" s="862">
        <f t="shared" si="9"/>
        <v>10518.553881824491</v>
      </c>
      <c r="AA161" s="862"/>
      <c r="AB161" s="862"/>
      <c r="AC161" s="949">
        <f>H161*I161*J161*((Calculations!$D$58)/CoreData!$F$11+(Calculations!$D$60)/CoreData!$F$11*CoreData!$F$23)</f>
        <v>1827.036699201404</v>
      </c>
      <c r="AD161" s="949">
        <f>H161*I161*J161*((Calculations!$D$62)/CoreData!$F$11)</f>
        <v>41.27570495087388</v>
      </c>
      <c r="AE161" s="950">
        <f>PS_Survey!$E$3</f>
        <v>0.82099999999999995</v>
      </c>
      <c r="AF161" s="950">
        <f>PS_Survey!$E$4</f>
        <v>0.91199999999999992</v>
      </c>
      <c r="AG161" s="862">
        <f>H161*I161*J161*CoreData!$F$7*PS_Survey!$E$5</f>
        <v>550728.67776084528</v>
      </c>
      <c r="AH161" s="862">
        <f>H161*I161*J161*CoreData!$F$7*(1-CoreData!$F$66)*PS_Survey!$E$6*PS_Survey!$E$7</f>
        <v>246707.51633856064</v>
      </c>
      <c r="AI161" s="862">
        <f>H161*I161*J161*CoreData!$F$7</f>
        <v>725597.73091020458</v>
      </c>
      <c r="AJ161" s="949">
        <f>(Q161-AC161)*CoreData!$F$99+(R161-AD161)*CoreData!$F$130</f>
        <v>83.325936768626008</v>
      </c>
      <c r="AK161" s="862">
        <f>PS_Survey!$E$8</f>
        <v>85</v>
      </c>
      <c r="AL161" s="862">
        <f t="shared" si="10"/>
        <v>2724.8564261963425</v>
      </c>
      <c r="AM161" s="949">
        <f>(Q161-AC161)/CoreData!$F$136</f>
        <v>32.75277803710317</v>
      </c>
      <c r="AN161" s="862"/>
      <c r="AO161" s="862"/>
      <c r="AP161" s="949">
        <f t="shared" si="11"/>
        <v>5310.8629587162786</v>
      </c>
      <c r="AQ161" s="949">
        <f t="shared" si="12"/>
        <v>77.441699532385456</v>
      </c>
      <c r="AR161" s="950">
        <f t="shared" si="13"/>
        <v>0.82099999999999995</v>
      </c>
      <c r="AS161" s="950">
        <f t="shared" si="14"/>
        <v>0.91199999999999992</v>
      </c>
      <c r="AT161" s="949">
        <f t="shared" si="15"/>
        <v>550728.67776084528</v>
      </c>
      <c r="AU161" s="949">
        <f t="shared" si="16"/>
        <v>246707.51633856064</v>
      </c>
      <c r="AV161" s="949">
        <f t="shared" si="17"/>
        <v>725597.73091020458</v>
      </c>
      <c r="AW161" s="949">
        <f t="shared" si="18"/>
        <v>83.325936768626008</v>
      </c>
      <c r="AX161" s="949">
        <f t="shared" si="19"/>
        <v>85</v>
      </c>
      <c r="AY161" s="949">
        <f t="shared" si="21"/>
        <v>7607.9369199125958</v>
      </c>
      <c r="AZ161" s="949">
        <f t="shared" si="20"/>
        <v>32.75277803710317</v>
      </c>
      <c r="BA161" s="974"/>
      <c r="BB161" s="875">
        <f>H161*I161*J161*((Calculations!$D$29-Calculations!$D$58)/CoreData!$F$11+(Calculations!$D$31-Calculations!$D$60)/CoreData!$F$11*CoreData!$F$23)</f>
        <v>5310.8629587162786</v>
      </c>
      <c r="BC161" s="875">
        <f>H161*I161*J161*((Calculations!$D$35-Calculations!$D$62)/CoreData!$F$11)</f>
        <v>77.441699532385456</v>
      </c>
      <c r="BD161" s="876">
        <f>PS_Survey!$E$3</f>
        <v>0.82099999999999995</v>
      </c>
      <c r="BE161" s="876">
        <f>PS_Survey!$E$4</f>
        <v>0.91199999999999992</v>
      </c>
      <c r="BF161" s="877">
        <f>H161*I161*J161*CoreData!$F$7*PS_Survey!$E$5</f>
        <v>550728.67776084528</v>
      </c>
      <c r="BG161" s="877">
        <f>H161*I161*J161*CoreData!$F$7*(1-CoreData!$F$66)*PS_Survey!$E$6*PS_Survey!$E$7</f>
        <v>246707.51633856064</v>
      </c>
      <c r="BH161" s="875">
        <f>H161*I161*J161*CoreData!$F$7</f>
        <v>725597.73091020458</v>
      </c>
      <c r="BI161" s="875">
        <f>BB161*CoreData!$F$99+Units_month!BC161*CoreData!$F$130</f>
        <v>83.325936768626008</v>
      </c>
      <c r="BJ161" s="878">
        <f>PS_Survey!$E$8</f>
        <v>85</v>
      </c>
      <c r="BK161" s="879">
        <f t="shared" si="25"/>
        <v>7607.9369199125958</v>
      </c>
      <c r="BL161" s="875">
        <f>BB161/CoreData!$F$136</f>
        <v>32.75277803710317</v>
      </c>
      <c r="BM161" s="538"/>
      <c r="BN161" s="538"/>
      <c r="BO161" s="538"/>
      <c r="BP161" s="863"/>
      <c r="BQ161" s="863"/>
      <c r="BR161" s="863"/>
      <c r="BS161" s="863"/>
      <c r="BT161" s="863"/>
      <c r="BU161" s="863"/>
      <c r="BV161" s="863"/>
      <c r="BW161" s="863"/>
      <c r="BX161" s="863"/>
      <c r="BY161" s="863"/>
      <c r="BZ161" s="863"/>
      <c r="CA161" s="863"/>
      <c r="CB161" s="863"/>
      <c r="CC161" s="863"/>
      <c r="CD161" s="863"/>
      <c r="CE161" s="863"/>
      <c r="CF161" s="863"/>
      <c r="CG161" s="863"/>
      <c r="CH161" s="863"/>
      <c r="CI161" s="863"/>
      <c r="CJ161" s="863"/>
      <c r="CK161" s="863"/>
      <c r="CL161" s="863"/>
      <c r="CM161" s="863"/>
      <c r="CN161" s="863"/>
      <c r="CO161" s="863"/>
      <c r="CP161" s="863"/>
      <c r="CQ161" s="863"/>
      <c r="CR161" s="863"/>
      <c r="CS161" s="863"/>
      <c r="CT161" s="863"/>
      <c r="CU161" s="863"/>
      <c r="CV161" s="863"/>
      <c r="CW161" s="863"/>
      <c r="CX161" s="863"/>
      <c r="CY161" s="863"/>
      <c r="CZ161" s="863"/>
      <c r="DA161" s="863"/>
      <c r="DB161" s="863"/>
      <c r="DC161" s="863"/>
      <c r="DD161" s="863"/>
      <c r="DE161" s="863"/>
      <c r="DF161" s="863"/>
      <c r="DG161" s="863"/>
      <c r="DH161" s="863"/>
      <c r="DI161" s="863"/>
      <c r="DJ161" s="863"/>
      <c r="DK161" s="863"/>
      <c r="DL161" s="863"/>
      <c r="DM161" s="863"/>
      <c r="DN161" s="863"/>
      <c r="DO161" s="863"/>
      <c r="DP161" s="863"/>
      <c r="DQ161" s="863"/>
      <c r="DR161" s="863"/>
      <c r="DS161" s="863"/>
      <c r="DT161" s="863"/>
      <c r="DU161" s="863"/>
      <c r="DV161" s="863"/>
      <c r="DW161" s="863"/>
      <c r="DX161" s="863"/>
      <c r="DY161" s="863"/>
      <c r="DZ161" s="863"/>
      <c r="EA161" s="863"/>
      <c r="EB161" s="863"/>
      <c r="EC161" s="863"/>
      <c r="ED161" s="863"/>
      <c r="EE161" s="863"/>
      <c r="EF161" s="863"/>
      <c r="EG161" s="863"/>
      <c r="EH161" s="863"/>
      <c r="EI161" s="863"/>
      <c r="EJ161" s="863"/>
      <c r="EK161" s="863"/>
      <c r="EL161" s="863"/>
      <c r="EM161" s="863"/>
      <c r="EN161" s="863"/>
      <c r="EO161" s="863"/>
      <c r="EP161" s="863"/>
      <c r="EQ161" s="863"/>
      <c r="ER161" s="863"/>
      <c r="ES161" s="863"/>
      <c r="ET161" s="863"/>
      <c r="EU161" s="863"/>
      <c r="EV161" s="863"/>
      <c r="EW161" s="863"/>
      <c r="EX161" s="863"/>
      <c r="EY161" s="863"/>
      <c r="EZ161" s="863"/>
      <c r="FA161" s="863"/>
      <c r="FB161" s="863"/>
      <c r="FC161" s="863"/>
      <c r="FD161" s="863"/>
      <c r="FE161" s="863"/>
      <c r="FF161" s="863"/>
      <c r="FG161" s="863"/>
      <c r="FH161" s="863"/>
      <c r="FI161" s="863"/>
      <c r="FJ161" s="863"/>
      <c r="FK161" s="863"/>
      <c r="FL161" s="863"/>
      <c r="FM161" s="863"/>
      <c r="FN161" s="863"/>
      <c r="FO161" s="863"/>
    </row>
    <row r="162" spans="1:171" s="331" customFormat="1">
      <c r="A162" s="557" t="s">
        <v>335</v>
      </c>
      <c r="B162" s="557">
        <f t="shared" si="26"/>
        <v>157</v>
      </c>
      <c r="C162" s="528">
        <v>45261</v>
      </c>
      <c r="D162" s="540">
        <f t="shared" si="24"/>
        <v>45291</v>
      </c>
      <c r="E162" s="599">
        <f>Sale_Data!D133</f>
        <v>4200</v>
      </c>
      <c r="F162" s="541"/>
      <c r="G162" s="326">
        <f t="shared" si="23"/>
        <v>3299</v>
      </c>
      <c r="H162" s="610">
        <f>SUM($E$6:E161)-SUM($F$6:G161)</f>
        <v>184632</v>
      </c>
      <c r="I162" s="623">
        <f>VLOOKUP(A162,'Usage Rate Calc'!$T$7:$U$13,2,0)</f>
        <v>0.83517308048242433</v>
      </c>
      <c r="J162" s="624">
        <f>VLOOKUP(A162,WQ_Test!$A$3:$B$9,2,0)</f>
        <v>0.9</v>
      </c>
      <c r="K162" s="804">
        <f>$H162*CoreData!$F$44*I162*J162</f>
        <v>10521.745190647862</v>
      </c>
      <c r="L162" s="541">
        <f>$H162*CoreData!$F$45*I162*J162</f>
        <v>2725.6831423450667</v>
      </c>
      <c r="M162" s="576">
        <f>$H162*CoreData!$F$46</f>
        <v>185.81689510138992</v>
      </c>
      <c r="N162" s="761">
        <f t="shared" si="27"/>
        <v>7610.2451532014056</v>
      </c>
      <c r="O162" s="862"/>
      <c r="P162" s="862"/>
      <c r="Q162" s="949">
        <f>H162*I162*J162*((Calculations!$D$29)/CoreData!$F$11+(Calculations!$D$31)/CoreData!$F$11*CoreData!$F$23)</f>
        <v>7140.0652828138955</v>
      </c>
      <c r="R162" s="949">
        <f>H162*I162*J162*((Calculations!$D$35)/CoreData!$F$11)</f>
        <v>118.75342311326031</v>
      </c>
      <c r="S162" s="862">
        <v>0</v>
      </c>
      <c r="T162" s="862">
        <v>0</v>
      </c>
      <c r="U162" s="862">
        <v>0</v>
      </c>
      <c r="V162" s="862">
        <v>0</v>
      </c>
      <c r="W162" s="862">
        <v>0</v>
      </c>
      <c r="X162" s="862">
        <v>0</v>
      </c>
      <c r="Y162" s="862">
        <v>0</v>
      </c>
      <c r="Z162" s="862">
        <f t="shared" si="9"/>
        <v>10521.745190647862</v>
      </c>
      <c r="AA162" s="862"/>
      <c r="AB162" s="862"/>
      <c r="AC162" s="949">
        <f>H162*I162*J162*((Calculations!$D$58)/CoreData!$F$11+(Calculations!$D$60)/CoreData!$F$11*CoreData!$F$23)</f>
        <v>1827.5910185882974</v>
      </c>
      <c r="AD162" s="949">
        <f>H162*I162*J162*((Calculations!$D$62)/CoreData!$F$11)</f>
        <v>41.288227919608964</v>
      </c>
      <c r="AE162" s="950">
        <f>PS_Survey!$E$3</f>
        <v>0.82099999999999995</v>
      </c>
      <c r="AF162" s="950">
        <f>PS_Survey!$E$4</f>
        <v>0.91199999999999992</v>
      </c>
      <c r="AG162" s="862">
        <f>H162*I162*J162*CoreData!$F$7*PS_Survey!$E$5</f>
        <v>550895.7677723018</v>
      </c>
      <c r="AH162" s="862">
        <f>H162*I162*J162*CoreData!$F$7*(1-CoreData!$F$66)*PS_Survey!$E$6*PS_Survey!$E$7</f>
        <v>246782.36691997398</v>
      </c>
      <c r="AI162" s="862">
        <f>H162*I162*J162*CoreData!$F$7</f>
        <v>725817.87585283502</v>
      </c>
      <c r="AJ162" s="949">
        <f>(Q162-AC162)*CoreData!$F$99+(R162-AD162)*CoreData!$F$130</f>
        <v>83.351217696043676</v>
      </c>
      <c r="AK162" s="862">
        <f>PS_Survey!$E$8</f>
        <v>85</v>
      </c>
      <c r="AL162" s="862">
        <f t="shared" si="10"/>
        <v>2725.6831423450667</v>
      </c>
      <c r="AM162" s="949">
        <f>(Q162-AC162)/CoreData!$F$136</f>
        <v>32.762715166361993</v>
      </c>
      <c r="AN162" s="862"/>
      <c r="AO162" s="862"/>
      <c r="AP162" s="949">
        <f t="shared" si="11"/>
        <v>5312.4742642255978</v>
      </c>
      <c r="AQ162" s="949">
        <f t="shared" si="12"/>
        <v>77.46519519365134</v>
      </c>
      <c r="AR162" s="950">
        <f t="shared" si="13"/>
        <v>0.82099999999999995</v>
      </c>
      <c r="AS162" s="950">
        <f t="shared" si="14"/>
        <v>0.91199999999999992</v>
      </c>
      <c r="AT162" s="949">
        <f t="shared" si="15"/>
        <v>550895.7677723018</v>
      </c>
      <c r="AU162" s="949">
        <f t="shared" si="16"/>
        <v>246782.36691997398</v>
      </c>
      <c r="AV162" s="949">
        <f t="shared" si="17"/>
        <v>725817.87585283502</v>
      </c>
      <c r="AW162" s="949">
        <f t="shared" si="18"/>
        <v>83.351217696043676</v>
      </c>
      <c r="AX162" s="949">
        <f t="shared" si="19"/>
        <v>85</v>
      </c>
      <c r="AY162" s="949">
        <f t="shared" si="21"/>
        <v>7610.2451532014056</v>
      </c>
      <c r="AZ162" s="949">
        <f t="shared" si="20"/>
        <v>32.762715166361993</v>
      </c>
      <c r="BA162" s="974"/>
      <c r="BB162" s="875">
        <f>H162*I162*J162*((Calculations!$D$29-Calculations!$D$58)/CoreData!$F$11+(Calculations!$D$31-Calculations!$D$60)/CoreData!$F$11*CoreData!$F$23)</f>
        <v>5312.4742642255969</v>
      </c>
      <c r="BC162" s="875">
        <f>H162*I162*J162*((Calculations!$D$35-Calculations!$D$62)/CoreData!$F$11)</f>
        <v>77.465195193651354</v>
      </c>
      <c r="BD162" s="876">
        <f>PS_Survey!$E$3</f>
        <v>0.82099999999999995</v>
      </c>
      <c r="BE162" s="876">
        <f>PS_Survey!$E$4</f>
        <v>0.91199999999999992</v>
      </c>
      <c r="BF162" s="877">
        <f>H162*I162*J162*CoreData!$F$7*PS_Survey!$E$5</f>
        <v>550895.7677723018</v>
      </c>
      <c r="BG162" s="877">
        <f>H162*I162*J162*CoreData!$F$7*(1-CoreData!$F$66)*PS_Survey!$E$6*PS_Survey!$E$7</f>
        <v>246782.36691997398</v>
      </c>
      <c r="BH162" s="875">
        <f>H162*I162*J162*CoreData!$F$7</f>
        <v>725817.87585283502</v>
      </c>
      <c r="BI162" s="875">
        <f>BB162*CoreData!$F$99+Units_month!BC162*CoreData!$F$130</f>
        <v>83.351217696043662</v>
      </c>
      <c r="BJ162" s="878">
        <f>PS_Survey!$E$8</f>
        <v>85</v>
      </c>
      <c r="BK162" s="879">
        <f t="shared" si="25"/>
        <v>7610.2451532014056</v>
      </c>
      <c r="BL162" s="875">
        <f>BB162/CoreData!$F$136</f>
        <v>32.762715166361993</v>
      </c>
      <c r="BM162" s="538"/>
      <c r="BN162" s="538"/>
      <c r="BO162" s="538"/>
      <c r="BP162" s="863"/>
      <c r="BQ162" s="863"/>
      <c r="BR162" s="863"/>
      <c r="BS162" s="863"/>
      <c r="BT162" s="863"/>
      <c r="BU162" s="863"/>
      <c r="BV162" s="863"/>
      <c r="BW162" s="863"/>
      <c r="BX162" s="863"/>
      <c r="BY162" s="863"/>
      <c r="BZ162" s="863"/>
      <c r="CA162" s="863"/>
      <c r="CB162" s="863"/>
      <c r="CC162" s="863"/>
      <c r="CD162" s="863"/>
      <c r="CE162" s="863"/>
      <c r="CF162" s="863"/>
      <c r="CG162" s="863"/>
      <c r="CH162" s="863"/>
      <c r="CI162" s="863"/>
      <c r="CJ162" s="863"/>
      <c r="CK162" s="863"/>
      <c r="CL162" s="863"/>
      <c r="CM162" s="863"/>
      <c r="CN162" s="863"/>
      <c r="CO162" s="863"/>
      <c r="CP162" s="863"/>
      <c r="CQ162" s="863"/>
      <c r="CR162" s="863"/>
      <c r="CS162" s="863"/>
      <c r="CT162" s="863"/>
      <c r="CU162" s="863"/>
      <c r="CV162" s="863"/>
      <c r="CW162" s="863"/>
      <c r="CX162" s="863"/>
      <c r="CY162" s="863"/>
      <c r="CZ162" s="863"/>
      <c r="DA162" s="863"/>
      <c r="DB162" s="863"/>
      <c r="DC162" s="863"/>
      <c r="DD162" s="863"/>
      <c r="DE162" s="863"/>
      <c r="DF162" s="863"/>
      <c r="DG162" s="863"/>
      <c r="DH162" s="863"/>
      <c r="DI162" s="863"/>
      <c r="DJ162" s="863"/>
      <c r="DK162" s="863"/>
      <c r="DL162" s="863"/>
      <c r="DM162" s="863"/>
      <c r="DN162" s="863"/>
      <c r="DO162" s="863"/>
      <c r="DP162" s="863"/>
      <c r="DQ162" s="863"/>
      <c r="DR162" s="863"/>
      <c r="DS162" s="863"/>
      <c r="DT162" s="863"/>
      <c r="DU162" s="863"/>
      <c r="DV162" s="863"/>
      <c r="DW162" s="863"/>
      <c r="DX162" s="863"/>
      <c r="DY162" s="863"/>
      <c r="DZ162" s="863"/>
      <c r="EA162" s="863"/>
      <c r="EB162" s="863"/>
      <c r="EC162" s="863"/>
      <c r="ED162" s="863"/>
      <c r="EE162" s="863"/>
      <c r="EF162" s="863"/>
      <c r="EG162" s="863"/>
      <c r="EH162" s="863"/>
      <c r="EI162" s="863"/>
      <c r="EJ162" s="863"/>
      <c r="EK162" s="863"/>
      <c r="EL162" s="863"/>
      <c r="EM162" s="863"/>
      <c r="EN162" s="863"/>
      <c r="EO162" s="863"/>
      <c r="EP162" s="863"/>
      <c r="EQ162" s="863"/>
      <c r="ER162" s="863"/>
      <c r="ES162" s="863"/>
      <c r="ET162" s="863"/>
      <c r="EU162" s="863"/>
      <c r="EV162" s="863"/>
      <c r="EW162" s="863"/>
      <c r="EX162" s="863"/>
      <c r="EY162" s="863"/>
      <c r="EZ162" s="863"/>
      <c r="FA162" s="863"/>
      <c r="FB162" s="863"/>
      <c r="FC162" s="863"/>
      <c r="FD162" s="863"/>
      <c r="FE162" s="863"/>
      <c r="FF162" s="863"/>
      <c r="FG162" s="863"/>
      <c r="FH162" s="863"/>
      <c r="FI162" s="863"/>
      <c r="FJ162" s="863"/>
      <c r="FK162" s="863"/>
      <c r="FL162" s="863"/>
      <c r="FM162" s="863"/>
      <c r="FN162" s="863"/>
      <c r="FO162" s="863"/>
    </row>
    <row r="163" spans="1:171">
      <c r="A163" s="557" t="s">
        <v>336</v>
      </c>
      <c r="B163" s="557">
        <f t="shared" si="26"/>
        <v>158</v>
      </c>
      <c r="C163" s="529">
        <v>45292</v>
      </c>
      <c r="D163" s="540">
        <f t="shared" si="24"/>
        <v>45322</v>
      </c>
      <c r="E163" s="599">
        <f>Sale_Data!D134</f>
        <v>4200</v>
      </c>
      <c r="F163" s="541"/>
      <c r="G163" s="326">
        <f t="shared" si="23"/>
        <v>4190</v>
      </c>
      <c r="H163" s="610">
        <f>SUM($E$6:E162)-SUM($F$6:G162)</f>
        <v>185533</v>
      </c>
      <c r="I163" s="623">
        <f>VLOOKUP(A163,'Usage Rate Calc'!$T$7:$U$13,2,0)</f>
        <v>0.83097948577412828</v>
      </c>
      <c r="J163" s="624">
        <f>VLOOKUP(A163,WQ_Test!$A$3:$B$9,2,0)</f>
        <v>0.9</v>
      </c>
      <c r="K163" s="804">
        <f>$H163*CoreData!$F$44*I163*J163</f>
        <v>10520.001165994923</v>
      </c>
      <c r="L163" s="541">
        <f>$H163*CoreData!$F$45*I163*J163</f>
        <v>2725.2313486064604</v>
      </c>
      <c r="M163" s="576">
        <f>$H163*CoreData!$F$46</f>
        <v>186.72367736278747</v>
      </c>
      <c r="N163" s="761">
        <f t="shared" si="27"/>
        <v>7608.0461400256754</v>
      </c>
      <c r="O163" s="862"/>
      <c r="P163" s="862"/>
      <c r="Q163" s="949">
        <f>H163*I163*J163*((Calculations!$D$29)/CoreData!$F$11+(Calculations!$D$31)/CoreData!$F$11*CoreData!$F$23)</f>
        <v>7138.881786193213</v>
      </c>
      <c r="R163" s="949">
        <f>H163*I163*J163*((Calculations!$D$35)/CoreData!$F$11)</f>
        <v>118.73373922111337</v>
      </c>
      <c r="S163" s="862">
        <v>0</v>
      </c>
      <c r="T163" s="862">
        <v>0</v>
      </c>
      <c r="U163" s="862">
        <v>0</v>
      </c>
      <c r="V163" s="862">
        <v>0</v>
      </c>
      <c r="W163" s="862">
        <v>0</v>
      </c>
      <c r="X163" s="862">
        <v>0</v>
      </c>
      <c r="Y163" s="862">
        <v>0</v>
      </c>
      <c r="Z163" s="862">
        <f t="shared" si="9"/>
        <v>10520.001165994923</v>
      </c>
      <c r="AA163" s="862"/>
      <c r="AB163" s="862"/>
      <c r="AC163" s="949">
        <f>H163*I163*J163*((Calculations!$D$58)/CoreData!$F$11+(Calculations!$D$60)/CoreData!$F$11*CoreData!$F$23)</f>
        <v>1827.288087493298</v>
      </c>
      <c r="AD163" s="949">
        <f>H163*I163*J163*((Calculations!$D$62)/CoreData!$F$11)</f>
        <v>41.281384217726512</v>
      </c>
      <c r="AE163" s="950">
        <f>PS_Survey!$E$3</f>
        <v>0.82099999999999995</v>
      </c>
      <c r="AF163" s="950">
        <f>PS_Survey!$E$4</f>
        <v>0.91199999999999992</v>
      </c>
      <c r="AG163" s="862">
        <f>H163*I163*J163*CoreData!$F$7*PS_Survey!$E$5</f>
        <v>550804.45442239777</v>
      </c>
      <c r="AH163" s="862">
        <f>H163*I163*J163*CoreData!$F$7*(1-CoreData!$F$66)*PS_Survey!$E$6*PS_Survey!$E$7</f>
        <v>246741.46167811347</v>
      </c>
      <c r="AI163" s="862">
        <f>H163*I163*J163*CoreData!$F$7</f>
        <v>725697.56840895629</v>
      </c>
      <c r="AJ163" s="949">
        <f>(Q163-AC163)*CoreData!$F$99+(R163-AD163)*CoreData!$F$130</f>
        <v>83.337401872158921</v>
      </c>
      <c r="AK163" s="862">
        <f>PS_Survey!$E$8</f>
        <v>85</v>
      </c>
      <c r="AL163" s="862">
        <f t="shared" si="10"/>
        <v>2725.2313486064604</v>
      </c>
      <c r="AM163" s="949">
        <f>(Q163-AC163)/CoreData!$F$136</f>
        <v>32.757284604994851</v>
      </c>
      <c r="AN163" s="862"/>
      <c r="AO163" s="862"/>
      <c r="AP163" s="949">
        <f t="shared" si="11"/>
        <v>5311.593698699915</v>
      </c>
      <c r="AQ163" s="949">
        <f t="shared" si="12"/>
        <v>77.452355003386856</v>
      </c>
      <c r="AR163" s="950">
        <f t="shared" si="13"/>
        <v>0.82099999999999995</v>
      </c>
      <c r="AS163" s="950">
        <f t="shared" si="14"/>
        <v>0.91199999999999992</v>
      </c>
      <c r="AT163" s="949">
        <f t="shared" si="15"/>
        <v>550804.45442239777</v>
      </c>
      <c r="AU163" s="949">
        <f t="shared" si="16"/>
        <v>246741.46167811347</v>
      </c>
      <c r="AV163" s="949">
        <f t="shared" si="17"/>
        <v>725697.56840895629</v>
      </c>
      <c r="AW163" s="949">
        <f t="shared" si="18"/>
        <v>83.337401872158921</v>
      </c>
      <c r="AX163" s="949">
        <f t="shared" si="19"/>
        <v>85</v>
      </c>
      <c r="AY163" s="949">
        <f t="shared" si="21"/>
        <v>7608.0461400256754</v>
      </c>
      <c r="AZ163" s="949">
        <f t="shared" si="20"/>
        <v>32.757284604994851</v>
      </c>
      <c r="BA163" s="974"/>
      <c r="BB163" s="875">
        <f>H163*I163*J163*((Calculations!$D$29-Calculations!$D$58)/CoreData!$F$11+(Calculations!$D$31-Calculations!$D$60)/CoreData!$F$11*CoreData!$F$23)</f>
        <v>5311.5936986999141</v>
      </c>
      <c r="BC163" s="875">
        <f>H163*I163*J163*((Calculations!$D$35-Calculations!$D$62)/CoreData!$F$11)</f>
        <v>77.452355003386856</v>
      </c>
      <c r="BD163" s="876">
        <f>PS_Survey!$E$3</f>
        <v>0.82099999999999995</v>
      </c>
      <c r="BE163" s="876">
        <f>PS_Survey!$E$4</f>
        <v>0.91199999999999992</v>
      </c>
      <c r="BF163" s="877">
        <f>H163*I163*J163*CoreData!$F$7*PS_Survey!$E$5</f>
        <v>550804.45442239777</v>
      </c>
      <c r="BG163" s="877">
        <f>H163*I163*J163*CoreData!$F$7*(1-CoreData!$F$66)*PS_Survey!$E$6*PS_Survey!$E$7</f>
        <v>246741.46167811347</v>
      </c>
      <c r="BH163" s="875">
        <f>H163*I163*J163*CoreData!$F$7</f>
        <v>725697.56840895629</v>
      </c>
      <c r="BI163" s="875">
        <f>BB163*CoreData!$F$99+Units_month!BC163*CoreData!$F$130</f>
        <v>83.337401872158907</v>
      </c>
      <c r="BJ163" s="878">
        <f>PS_Survey!$E$8</f>
        <v>85</v>
      </c>
      <c r="BK163" s="879">
        <f t="shared" si="25"/>
        <v>7608.0461400256754</v>
      </c>
      <c r="BL163" s="875">
        <f>BB163/CoreData!$F$136</f>
        <v>32.757284604994844</v>
      </c>
    </row>
    <row r="164" spans="1:171">
      <c r="A164" s="557" t="s">
        <v>336</v>
      </c>
      <c r="B164" s="557">
        <f t="shared" si="26"/>
        <v>159</v>
      </c>
      <c r="C164" s="529">
        <v>45323</v>
      </c>
      <c r="D164" s="540">
        <f t="shared" si="24"/>
        <v>45351</v>
      </c>
      <c r="E164" s="599">
        <f>Sale_Data!D135</f>
        <v>4200</v>
      </c>
      <c r="F164" s="541"/>
      <c r="G164" s="326">
        <f t="shared" si="23"/>
        <v>2244</v>
      </c>
      <c r="H164" s="610">
        <f>SUM($E$6:E163)-SUM($F$6:G163)</f>
        <v>185543</v>
      </c>
      <c r="I164" s="623">
        <f>VLOOKUP(A164,'Usage Rate Calc'!$T$7:$U$13,2,0)</f>
        <v>0.83097948577412828</v>
      </c>
      <c r="J164" s="624">
        <f>VLOOKUP(A164,WQ_Test!$A$3:$B$9,2,0)</f>
        <v>0.9</v>
      </c>
      <c r="K164" s="804">
        <f>$H164*CoreData!$F$44*I164*J164</f>
        <v>10520.568181090137</v>
      </c>
      <c r="L164" s="541">
        <f>$H164*CoreData!$F$45*I164*J164</f>
        <v>2725.3782352168537</v>
      </c>
      <c r="M164" s="576">
        <f>$H164*CoreData!$F$46</f>
        <v>186.73374153882963</v>
      </c>
      <c r="N164" s="761">
        <f t="shared" si="27"/>
        <v>7608.456204334454</v>
      </c>
      <c r="O164" s="862"/>
      <c r="P164" s="862"/>
      <c r="Q164" s="949">
        <f>H164*I164*J164*((Calculations!$D$29)/CoreData!$F$11+(Calculations!$D$31)/CoreData!$F$11*CoreData!$F$23)</f>
        <v>7139.2665631216405</v>
      </c>
      <c r="R164" s="949">
        <f>H164*I164*J164*((Calculations!$D$35)/CoreData!$F$11)</f>
        <v>118.74013882329851</v>
      </c>
      <c r="S164" s="862">
        <v>0</v>
      </c>
      <c r="T164" s="862">
        <v>0</v>
      </c>
      <c r="U164" s="862">
        <v>0</v>
      </c>
      <c r="V164" s="862">
        <v>0</v>
      </c>
      <c r="W164" s="862">
        <v>0</v>
      </c>
      <c r="X164" s="862">
        <v>0</v>
      </c>
      <c r="Y164" s="862">
        <v>0</v>
      </c>
      <c r="Z164" s="862">
        <f t="shared" si="9"/>
        <v>10520.568181090137</v>
      </c>
      <c r="AA164" s="862"/>
      <c r="AB164" s="862"/>
      <c r="AC164" s="949">
        <f>H164*I164*J164*((Calculations!$D$58)/CoreData!$F$11+(Calculations!$D$60)/CoreData!$F$11*CoreData!$F$23)</f>
        <v>1827.3865760687804</v>
      </c>
      <c r="AD164" s="949">
        <f>H164*I164*J164*((Calculations!$D$62)/CoreData!$F$11)</f>
        <v>41.283609233449745</v>
      </c>
      <c r="AE164" s="950">
        <f>PS_Survey!$E$3</f>
        <v>0.82099999999999995</v>
      </c>
      <c r="AF164" s="950">
        <f>PS_Survey!$E$4</f>
        <v>0.91199999999999992</v>
      </c>
      <c r="AG164" s="862">
        <f>H164*I164*J164*CoreData!$F$7*PS_Survey!$E$5</f>
        <v>550834.14210353396</v>
      </c>
      <c r="AH164" s="862">
        <f>H164*I164*J164*CoreData!$F$7*(1-CoreData!$F$66)*PS_Survey!$E$6*PS_Survey!$E$7</f>
        <v>246754.76073874842</v>
      </c>
      <c r="AI164" s="862">
        <f>H164*I164*J164*CoreData!$F$7</f>
        <v>725736.68261335173</v>
      </c>
      <c r="AJ164" s="949">
        <f>(Q164-AC164)*CoreData!$F$99+(R164-AD164)*CoreData!$F$130</f>
        <v>83.341893655392752</v>
      </c>
      <c r="AK164" s="862">
        <f>PS_Survey!$E$8</f>
        <v>85</v>
      </c>
      <c r="AL164" s="862">
        <f t="shared" si="10"/>
        <v>2725.3782352168537</v>
      </c>
      <c r="AM164" s="949">
        <f>(Q164-AC164)/CoreData!$F$136</f>
        <v>32.759050182256303</v>
      </c>
      <c r="AN164" s="862"/>
      <c r="AO164" s="862"/>
      <c r="AP164" s="949">
        <f t="shared" si="11"/>
        <v>5311.8799870528601</v>
      </c>
      <c r="AQ164" s="949">
        <f t="shared" si="12"/>
        <v>77.45652958984877</v>
      </c>
      <c r="AR164" s="950">
        <f t="shared" si="13"/>
        <v>0.82099999999999995</v>
      </c>
      <c r="AS164" s="950">
        <f t="shared" si="14"/>
        <v>0.91199999999999992</v>
      </c>
      <c r="AT164" s="949">
        <f t="shared" si="15"/>
        <v>550834.14210353396</v>
      </c>
      <c r="AU164" s="949">
        <f t="shared" si="16"/>
        <v>246754.76073874842</v>
      </c>
      <c r="AV164" s="949">
        <f t="shared" si="17"/>
        <v>725736.68261335173</v>
      </c>
      <c r="AW164" s="949">
        <f t="shared" si="18"/>
        <v>83.341893655392752</v>
      </c>
      <c r="AX164" s="949">
        <f t="shared" si="19"/>
        <v>85</v>
      </c>
      <c r="AY164" s="949">
        <f t="shared" si="21"/>
        <v>7608.456204334454</v>
      </c>
      <c r="AZ164" s="949">
        <f t="shared" si="20"/>
        <v>32.759050182256303</v>
      </c>
      <c r="BA164" s="974"/>
      <c r="BB164" s="875">
        <f>H164*I164*J164*((Calculations!$D$29-Calculations!$D$58)/CoreData!$F$11+(Calculations!$D$31-Calculations!$D$60)/CoreData!$F$11*CoreData!$F$23)</f>
        <v>5311.8799870528601</v>
      </c>
      <c r="BC164" s="875">
        <f>H164*I164*J164*((Calculations!$D$35-Calculations!$D$62)/CoreData!$F$11)</f>
        <v>77.456529589848756</v>
      </c>
      <c r="BD164" s="876">
        <f>PS_Survey!$E$3</f>
        <v>0.82099999999999995</v>
      </c>
      <c r="BE164" s="876">
        <f>PS_Survey!$E$4</f>
        <v>0.91199999999999992</v>
      </c>
      <c r="BF164" s="877">
        <f>H164*I164*J164*CoreData!$F$7*PS_Survey!$E$5</f>
        <v>550834.14210353396</v>
      </c>
      <c r="BG164" s="877">
        <f>H164*I164*J164*CoreData!$F$7*(1-CoreData!$F$66)*PS_Survey!$E$6*PS_Survey!$E$7</f>
        <v>246754.76073874842</v>
      </c>
      <c r="BH164" s="875">
        <f>H164*I164*J164*CoreData!$F$7</f>
        <v>725736.68261335173</v>
      </c>
      <c r="BI164" s="875">
        <f>BB164*CoreData!$F$99+Units_month!BC164*CoreData!$F$130</f>
        <v>83.341893655392752</v>
      </c>
      <c r="BJ164" s="878">
        <f>PS_Survey!$E$8</f>
        <v>85</v>
      </c>
      <c r="BK164" s="879">
        <f t="shared" si="25"/>
        <v>7608.456204334454</v>
      </c>
      <c r="BL164" s="875">
        <f>BB164/CoreData!$F$136</f>
        <v>32.759050182256303</v>
      </c>
    </row>
    <row r="165" spans="1:171">
      <c r="A165" s="557" t="s">
        <v>336</v>
      </c>
      <c r="B165" s="557">
        <f t="shared" si="26"/>
        <v>160</v>
      </c>
      <c r="C165" s="528">
        <v>45352</v>
      </c>
      <c r="D165" s="540">
        <f t="shared" si="24"/>
        <v>45382</v>
      </c>
      <c r="E165" s="599">
        <f>Sale_Data!D136</f>
        <v>3500</v>
      </c>
      <c r="F165" s="541"/>
      <c r="G165" s="326">
        <f t="shared" si="23"/>
        <v>2808</v>
      </c>
      <c r="H165" s="610">
        <f>SUM($E$6:E164)-SUM($F$6:G164)</f>
        <v>187499</v>
      </c>
      <c r="I165" s="623">
        <f>VLOOKUP(A165,'Usage Rate Calc'!$T$7:$U$13,2,0)</f>
        <v>0.83097948577412828</v>
      </c>
      <c r="J165" s="624">
        <f>VLOOKUP(A165,WQ_Test!$A$3:$B$9,2,0)</f>
        <v>0.9</v>
      </c>
      <c r="K165" s="804">
        <f>$H165*CoreData!$F$44*I165*J165</f>
        <v>10631.476333713583</v>
      </c>
      <c r="L165" s="541">
        <f>$H165*CoreData!$F$45*I165*J165</f>
        <v>2754.1092562097451</v>
      </c>
      <c r="M165" s="576">
        <f>$H165*CoreData!$F$46</f>
        <v>188.7022943726738</v>
      </c>
      <c r="N165" s="761">
        <f t="shared" si="27"/>
        <v>7688.6647831311639</v>
      </c>
      <c r="O165" s="862"/>
      <c r="P165" s="862"/>
      <c r="Q165" s="949">
        <f>H165*I165*J165*((Calculations!$D$29)/CoreData!$F$11+(Calculations!$D$31)/CoreData!$F$11*CoreData!$F$23)</f>
        <v>7214.5289303220516</v>
      </c>
      <c r="R165" s="949">
        <f>H165*I165*J165*((Calculations!$D$35)/CoreData!$F$11)</f>
        <v>119.99190101070718</v>
      </c>
      <c r="S165" s="862">
        <v>0</v>
      </c>
      <c r="T165" s="862">
        <v>0</v>
      </c>
      <c r="U165" s="862">
        <v>0</v>
      </c>
      <c r="V165" s="862">
        <v>0</v>
      </c>
      <c r="W165" s="862">
        <v>0</v>
      </c>
      <c r="X165" s="862">
        <v>0</v>
      </c>
      <c r="Y165" s="862">
        <v>0</v>
      </c>
      <c r="Z165" s="862">
        <f t="shared" si="9"/>
        <v>10631.476333713583</v>
      </c>
      <c r="AA165" s="862"/>
      <c r="AB165" s="862"/>
      <c r="AC165" s="949">
        <f>H165*I165*J165*((Calculations!$D$58)/CoreData!$F$11+(Calculations!$D$60)/CoreData!$F$11*CoreData!$F$23)</f>
        <v>1846.6509414330922</v>
      </c>
      <c r="AD165" s="949">
        <f>H165*I165*J165*((Calculations!$D$62)/CoreData!$F$11)</f>
        <v>41.718822308912721</v>
      </c>
      <c r="AE165" s="950">
        <f>PS_Survey!$E$3</f>
        <v>0.82099999999999995</v>
      </c>
      <c r="AF165" s="950">
        <f>PS_Survey!$E$4</f>
        <v>0.91199999999999992</v>
      </c>
      <c r="AG165" s="862">
        <f>H165*I165*J165*CoreData!$F$7*PS_Survey!$E$5</f>
        <v>556641.05253375496</v>
      </c>
      <c r="AH165" s="862">
        <f>H165*I165*J165*CoreData!$F$7*(1-CoreData!$F$66)*PS_Survey!$E$6*PS_Survey!$E$7</f>
        <v>249356.05699894138</v>
      </c>
      <c r="AI165" s="862">
        <f>H165*I165*J165*CoreData!$F$7</f>
        <v>733387.42099308956</v>
      </c>
      <c r="AJ165" s="949">
        <f>(Q165-AC165)*CoreData!$F$99+(R165-AD165)*CoreData!$F$130</f>
        <v>84.220486455929262</v>
      </c>
      <c r="AK165" s="862">
        <f>PS_Survey!$E$8</f>
        <v>85</v>
      </c>
      <c r="AL165" s="862">
        <f t="shared" si="10"/>
        <v>2754.1092562097451</v>
      </c>
      <c r="AM165" s="949">
        <f>(Q165-AC165)/CoreData!$F$136</f>
        <v>33.104397094597346</v>
      </c>
      <c r="AN165" s="862"/>
      <c r="AO165" s="862"/>
      <c r="AP165" s="949">
        <f t="shared" si="11"/>
        <v>5367.8779888889594</v>
      </c>
      <c r="AQ165" s="949">
        <f t="shared" si="12"/>
        <v>78.273078701794461</v>
      </c>
      <c r="AR165" s="950">
        <f t="shared" si="13"/>
        <v>0.82099999999999995</v>
      </c>
      <c r="AS165" s="950">
        <f t="shared" si="14"/>
        <v>0.91199999999999992</v>
      </c>
      <c r="AT165" s="949">
        <f t="shared" si="15"/>
        <v>556641.05253375496</v>
      </c>
      <c r="AU165" s="949">
        <f t="shared" si="16"/>
        <v>249356.05699894138</v>
      </c>
      <c r="AV165" s="949">
        <f t="shared" si="17"/>
        <v>733387.42099308956</v>
      </c>
      <c r="AW165" s="949">
        <f t="shared" si="18"/>
        <v>84.220486455929262</v>
      </c>
      <c r="AX165" s="949">
        <f t="shared" si="19"/>
        <v>85</v>
      </c>
      <c r="AY165" s="949">
        <f t="shared" si="21"/>
        <v>7688.6647831311639</v>
      </c>
      <c r="AZ165" s="949">
        <f t="shared" si="20"/>
        <v>33.104397094597346</v>
      </c>
      <c r="BA165" s="974"/>
      <c r="BB165" s="875">
        <f>H165*I165*J165*((Calculations!$D$29-Calculations!$D$58)/CoreData!$F$11+(Calculations!$D$31-Calculations!$D$60)/CoreData!$F$11*CoreData!$F$23)</f>
        <v>5367.8779888889585</v>
      </c>
      <c r="BC165" s="875">
        <f>H165*I165*J165*((Calculations!$D$35-Calculations!$D$62)/CoreData!$F$11)</f>
        <v>78.273078701794461</v>
      </c>
      <c r="BD165" s="876">
        <f>PS_Survey!$E$3</f>
        <v>0.82099999999999995</v>
      </c>
      <c r="BE165" s="876">
        <f>PS_Survey!$E$4</f>
        <v>0.91199999999999992</v>
      </c>
      <c r="BF165" s="877">
        <f>H165*I165*J165*CoreData!$F$7*PS_Survey!$E$5</f>
        <v>556641.05253375496</v>
      </c>
      <c r="BG165" s="877">
        <f>H165*I165*J165*CoreData!$F$7*(1-CoreData!$F$66)*PS_Survey!$E$6*PS_Survey!$E$7</f>
        <v>249356.05699894138</v>
      </c>
      <c r="BH165" s="875">
        <f>H165*I165*J165*CoreData!$F$7</f>
        <v>733387.42099308956</v>
      </c>
      <c r="BI165" s="875">
        <f>BB165*CoreData!$F$99+Units_month!BC165*CoreData!$F$130</f>
        <v>84.220486455929247</v>
      </c>
      <c r="BJ165" s="878">
        <f>PS_Survey!$E$8</f>
        <v>85</v>
      </c>
      <c r="BK165" s="879">
        <f t="shared" si="25"/>
        <v>7688.6647831311639</v>
      </c>
      <c r="BL165" s="875">
        <f>BB165/CoreData!$F$136</f>
        <v>33.104397094597338</v>
      </c>
    </row>
    <row r="166" spans="1:171">
      <c r="A166" s="557" t="s">
        <v>336</v>
      </c>
      <c r="B166" s="557">
        <f t="shared" si="26"/>
        <v>161</v>
      </c>
      <c r="C166" s="529">
        <v>45383</v>
      </c>
      <c r="D166" s="540">
        <f t="shared" si="24"/>
        <v>45412</v>
      </c>
      <c r="E166" s="599">
        <f>Sale_Data!D137</f>
        <v>2800</v>
      </c>
      <c r="F166" s="541"/>
      <c r="G166" s="326">
        <f t="shared" si="23"/>
        <v>3883</v>
      </c>
      <c r="H166" s="610">
        <f>SUM($E$6:E165)-SUM($F$6:G165)</f>
        <v>188191</v>
      </c>
      <c r="I166" s="623">
        <f>VLOOKUP(A166,'Usage Rate Calc'!$T$7:$U$13,2,0)</f>
        <v>0.83097948577412828</v>
      </c>
      <c r="J166" s="624">
        <f>VLOOKUP(A166,WQ_Test!$A$3:$B$9,2,0)</f>
        <v>0.9</v>
      </c>
      <c r="K166" s="804">
        <f>$H166*CoreData!$F$44*I166*J166</f>
        <v>10670.713778302246</v>
      </c>
      <c r="L166" s="541">
        <f>$H166*CoreData!$F$45*I166*J166</f>
        <v>2764.2738096489488</v>
      </c>
      <c r="M166" s="576">
        <f>$H166*CoreData!$F$46</f>
        <v>189.39873535479046</v>
      </c>
      <c r="N166" s="761">
        <f t="shared" si="27"/>
        <v>7717.041233298507</v>
      </c>
      <c r="O166" s="862"/>
      <c r="P166" s="862"/>
      <c r="Q166" s="949">
        <f>H166*I166*J166*((Calculations!$D$29)/CoreData!$F$11+(Calculations!$D$31)/CoreData!$F$11*CoreData!$F$23)</f>
        <v>7241.1554937692326</v>
      </c>
      <c r="R166" s="949">
        <f>H166*I166*J166*((Calculations!$D$35)/CoreData!$F$11)</f>
        <v>120.43475348191723</v>
      </c>
      <c r="S166" s="862">
        <v>0</v>
      </c>
      <c r="T166" s="862">
        <v>0</v>
      </c>
      <c r="U166" s="862">
        <v>0</v>
      </c>
      <c r="V166" s="862">
        <v>0</v>
      </c>
      <c r="W166" s="862">
        <v>0</v>
      </c>
      <c r="X166" s="862">
        <v>0</v>
      </c>
      <c r="Y166" s="862">
        <v>0</v>
      </c>
      <c r="Z166" s="862">
        <f t="shared" si="9"/>
        <v>10670.713778302246</v>
      </c>
      <c r="AA166" s="862"/>
      <c r="AB166" s="862"/>
      <c r="AC166" s="949">
        <f>H166*I166*J166*((Calculations!$D$58)/CoreData!$F$11+(Calculations!$D$60)/CoreData!$F$11*CoreData!$F$23)</f>
        <v>1853.4663508564586</v>
      </c>
      <c r="AD166" s="949">
        <f>H166*I166*J166*((Calculations!$D$62)/CoreData!$F$11)</f>
        <v>41.872793396959956</v>
      </c>
      <c r="AE166" s="950">
        <f>PS_Survey!$E$3</f>
        <v>0.82099999999999995</v>
      </c>
      <c r="AF166" s="950">
        <f>PS_Survey!$E$4</f>
        <v>0.91199999999999992</v>
      </c>
      <c r="AG166" s="862">
        <f>H166*I166*J166*CoreData!$F$7*PS_Survey!$E$5</f>
        <v>558695.44006837322</v>
      </c>
      <c r="AH166" s="862">
        <f>H166*I166*J166*CoreData!$F$7*(1-CoreData!$F$66)*PS_Survey!$E$6*PS_Survey!$E$7</f>
        <v>250276.35199487882</v>
      </c>
      <c r="AI166" s="862">
        <f>H166*I166*J166*CoreData!$F$7</f>
        <v>736094.12393725058</v>
      </c>
      <c r="AJ166" s="949">
        <f>(Q166-AC166)*CoreData!$F$99+(R166-AD166)*CoreData!$F$130</f>
        <v>84.531317855710085</v>
      </c>
      <c r="AK166" s="862">
        <f>PS_Survey!$E$8</f>
        <v>85</v>
      </c>
      <c r="AL166" s="862">
        <f t="shared" si="10"/>
        <v>2764.2738096489488</v>
      </c>
      <c r="AM166" s="949">
        <f>(Q166-AC166)/CoreData!$F$136</f>
        <v>33.226575041090186</v>
      </c>
      <c r="AN166" s="862"/>
      <c r="AO166" s="862"/>
      <c r="AP166" s="949">
        <f t="shared" si="11"/>
        <v>5387.6891429127736</v>
      </c>
      <c r="AQ166" s="949">
        <f t="shared" si="12"/>
        <v>78.561960084957263</v>
      </c>
      <c r="AR166" s="950">
        <f t="shared" si="13"/>
        <v>0.82099999999999995</v>
      </c>
      <c r="AS166" s="950">
        <f t="shared" si="14"/>
        <v>0.91199999999999992</v>
      </c>
      <c r="AT166" s="949">
        <f t="shared" si="15"/>
        <v>558695.44006837322</v>
      </c>
      <c r="AU166" s="949">
        <f t="shared" si="16"/>
        <v>250276.35199487882</v>
      </c>
      <c r="AV166" s="949">
        <f t="shared" si="17"/>
        <v>736094.12393725058</v>
      </c>
      <c r="AW166" s="949">
        <f t="shared" si="18"/>
        <v>84.531317855710085</v>
      </c>
      <c r="AX166" s="949">
        <f t="shared" si="19"/>
        <v>85</v>
      </c>
      <c r="AY166" s="949">
        <f t="shared" si="21"/>
        <v>7717.041233298507</v>
      </c>
      <c r="AZ166" s="949">
        <f t="shared" si="20"/>
        <v>33.226575041090186</v>
      </c>
      <c r="BA166" s="974"/>
      <c r="BB166" s="875">
        <f>H166*I166*J166*((Calculations!$D$29-Calculations!$D$58)/CoreData!$F$11+(Calculations!$D$31-Calculations!$D$60)/CoreData!$F$11*CoreData!$F$23)</f>
        <v>5387.6891429127736</v>
      </c>
      <c r="BC166" s="875">
        <f>H166*I166*J166*((Calculations!$D$35-Calculations!$D$62)/CoreData!$F$11)</f>
        <v>78.561960084957278</v>
      </c>
      <c r="BD166" s="876">
        <f>PS_Survey!$E$3</f>
        <v>0.82099999999999995</v>
      </c>
      <c r="BE166" s="876">
        <f>PS_Survey!$E$4</f>
        <v>0.91199999999999992</v>
      </c>
      <c r="BF166" s="877">
        <f>H166*I166*J166*CoreData!$F$7*PS_Survey!$E$5</f>
        <v>558695.44006837322</v>
      </c>
      <c r="BG166" s="877">
        <f>H166*I166*J166*CoreData!$F$7*(1-CoreData!$F$66)*PS_Survey!$E$6*PS_Survey!$E$7</f>
        <v>250276.35199487882</v>
      </c>
      <c r="BH166" s="875">
        <f>H166*I166*J166*CoreData!$F$7</f>
        <v>736094.12393725058</v>
      </c>
      <c r="BI166" s="875">
        <f>BB166*CoreData!$F$99+Units_month!BC166*CoreData!$F$130</f>
        <v>84.531317855710085</v>
      </c>
      <c r="BJ166" s="878">
        <f>PS_Survey!$E$8</f>
        <v>85</v>
      </c>
      <c r="BK166" s="879">
        <f t="shared" si="25"/>
        <v>7717.041233298507</v>
      </c>
      <c r="BL166" s="875">
        <f>BB166/CoreData!$F$136</f>
        <v>33.226575041090186</v>
      </c>
    </row>
    <row r="167" spans="1:171">
      <c r="A167" s="557" t="s">
        <v>336</v>
      </c>
      <c r="B167" s="557">
        <f t="shared" si="26"/>
        <v>162</v>
      </c>
      <c r="C167" s="529">
        <v>45413</v>
      </c>
      <c r="D167" s="540">
        <f t="shared" si="24"/>
        <v>45443</v>
      </c>
      <c r="E167" s="599">
        <f>Sale_Data!D138</f>
        <v>3000</v>
      </c>
      <c r="F167" s="541"/>
      <c r="G167" s="326">
        <f t="shared" si="23"/>
        <v>3410</v>
      </c>
      <c r="H167" s="610">
        <f>SUM($E$6:E166)-SUM($F$6:G166)</f>
        <v>187108</v>
      </c>
      <c r="I167" s="623">
        <f>VLOOKUP(A167,'Usage Rate Calc'!$T$7:$U$13,2,0)</f>
        <v>0.83097948577412828</v>
      </c>
      <c r="J167" s="624">
        <f>VLOOKUP(A167,WQ_Test!$A$3:$B$9,2,0)</f>
        <v>0.9</v>
      </c>
      <c r="K167" s="804">
        <f>$H167*CoreData!$F$44*I167*J167</f>
        <v>10609.306043490798</v>
      </c>
      <c r="L167" s="541">
        <f>$H167*CoreData!$F$45*I167*J167</f>
        <v>2748.3659897433749</v>
      </c>
      <c r="M167" s="576">
        <f>$H167*CoreData!$F$46</f>
        <v>188.30878508942581</v>
      </c>
      <c r="N167" s="761">
        <f t="shared" si="27"/>
        <v>7672.6312686579968</v>
      </c>
      <c r="O167" s="862"/>
      <c r="P167" s="862"/>
      <c r="Q167" s="949">
        <f>H167*I167*J167*((Calculations!$D$29)/CoreData!$F$11+(Calculations!$D$31)/CoreData!$F$11*CoreData!$F$23)</f>
        <v>7199.4841524205385</v>
      </c>
      <c r="R167" s="949">
        <f>H167*I167*J167*((Calculations!$D$35)/CoreData!$F$11)</f>
        <v>119.74167656526916</v>
      </c>
      <c r="S167" s="862">
        <v>0</v>
      </c>
      <c r="T167" s="862">
        <v>0</v>
      </c>
      <c r="U167" s="862">
        <v>0</v>
      </c>
      <c r="V167" s="862">
        <v>0</v>
      </c>
      <c r="W167" s="862">
        <v>0</v>
      </c>
      <c r="X167" s="862">
        <v>0</v>
      </c>
      <c r="Y167" s="862">
        <v>0</v>
      </c>
      <c r="Z167" s="862">
        <f t="shared" si="9"/>
        <v>10609.306043490798</v>
      </c>
      <c r="AA167" s="862"/>
      <c r="AB167" s="862"/>
      <c r="AC167" s="949">
        <f>H167*I167*J167*((Calculations!$D$58)/CoreData!$F$11+(Calculations!$D$60)/CoreData!$F$11*CoreData!$F$23)</f>
        <v>1842.8000381317397</v>
      </c>
      <c r="AD167" s="949">
        <f>H167*I167*J167*((Calculations!$D$62)/CoreData!$F$11)</f>
        <v>41.631824194134595</v>
      </c>
      <c r="AE167" s="950">
        <f>PS_Survey!$E$3</f>
        <v>0.82099999999999995</v>
      </c>
      <c r="AF167" s="950">
        <f>PS_Survey!$E$4</f>
        <v>0.91199999999999992</v>
      </c>
      <c r="AG167" s="862">
        <f>H167*I167*J167*CoreData!$F$7*PS_Survey!$E$5</f>
        <v>555480.26420133363</v>
      </c>
      <c r="AH167" s="862">
        <f>H167*I167*J167*CoreData!$F$7*(1-CoreData!$F$66)*PS_Survey!$E$6*PS_Survey!$E$7</f>
        <v>248836.06372811552</v>
      </c>
      <c r="AI167" s="862">
        <f>H167*I167*J167*CoreData!$F$7</f>
        <v>731858.05560123001</v>
      </c>
      <c r="AJ167" s="949">
        <f>(Q167-AC167)*CoreData!$F$99+(R167-AD167)*CoreData!$F$130</f>
        <v>84.044857731486644</v>
      </c>
      <c r="AK167" s="862">
        <f>PS_Survey!$E$8</f>
        <v>85</v>
      </c>
      <c r="AL167" s="862">
        <f t="shared" si="10"/>
        <v>2748.3659897433749</v>
      </c>
      <c r="AM167" s="949">
        <f>(Q167-AC167)/CoreData!$F$136</f>
        <v>33.035363023674364</v>
      </c>
      <c r="AN167" s="862"/>
      <c r="AO167" s="862"/>
      <c r="AP167" s="949">
        <f t="shared" si="11"/>
        <v>5356.6841142887988</v>
      </c>
      <c r="AQ167" s="949">
        <f t="shared" si="12"/>
        <v>78.109852371134565</v>
      </c>
      <c r="AR167" s="950">
        <f t="shared" si="13"/>
        <v>0.82099999999999995</v>
      </c>
      <c r="AS167" s="950">
        <f t="shared" si="14"/>
        <v>0.91199999999999992</v>
      </c>
      <c r="AT167" s="949">
        <f t="shared" si="15"/>
        <v>555480.26420133363</v>
      </c>
      <c r="AU167" s="949">
        <f t="shared" si="16"/>
        <v>248836.06372811552</v>
      </c>
      <c r="AV167" s="949">
        <f t="shared" si="17"/>
        <v>731858.05560123001</v>
      </c>
      <c r="AW167" s="949">
        <f t="shared" si="18"/>
        <v>84.044857731486644</v>
      </c>
      <c r="AX167" s="949">
        <f t="shared" si="19"/>
        <v>85</v>
      </c>
      <c r="AY167" s="949">
        <f t="shared" si="21"/>
        <v>7672.6312686579968</v>
      </c>
      <c r="AZ167" s="949">
        <f t="shared" si="20"/>
        <v>33.035363023674364</v>
      </c>
      <c r="BA167" s="974"/>
      <c r="BB167" s="875">
        <f>H167*I167*J167*((Calculations!$D$29-Calculations!$D$58)/CoreData!$F$11+(Calculations!$D$31-Calculations!$D$60)/CoreData!$F$11*CoreData!$F$23)</f>
        <v>5356.6841142887979</v>
      </c>
      <c r="BC167" s="875">
        <f>H167*I167*J167*((Calculations!$D$35-Calculations!$D$62)/CoreData!$F$11)</f>
        <v>78.109852371134565</v>
      </c>
      <c r="BD167" s="876">
        <f>PS_Survey!$E$3</f>
        <v>0.82099999999999995</v>
      </c>
      <c r="BE167" s="876">
        <f>PS_Survey!$E$4</f>
        <v>0.91199999999999992</v>
      </c>
      <c r="BF167" s="877">
        <f>H167*I167*J167*CoreData!$F$7*PS_Survey!$E$5</f>
        <v>555480.26420133363</v>
      </c>
      <c r="BG167" s="877">
        <f>H167*I167*J167*CoreData!$F$7*(1-CoreData!$F$66)*PS_Survey!$E$6*PS_Survey!$E$7</f>
        <v>248836.06372811552</v>
      </c>
      <c r="BH167" s="875">
        <f>H167*I167*J167*CoreData!$F$7</f>
        <v>731858.05560123001</v>
      </c>
      <c r="BI167" s="875">
        <f>BB167*CoreData!$F$99+Units_month!BC167*CoreData!$F$130</f>
        <v>84.04485773148663</v>
      </c>
      <c r="BJ167" s="878">
        <f>PS_Survey!$E$8</f>
        <v>85</v>
      </c>
      <c r="BK167" s="879">
        <f t="shared" ref="BK167:BK173" si="28">N167</f>
        <v>7672.6312686579968</v>
      </c>
      <c r="BL167" s="875">
        <f>BB167/CoreData!$F$136</f>
        <v>33.035363023674364</v>
      </c>
    </row>
    <row r="168" spans="1:171">
      <c r="A168" s="557" t="s">
        <v>336</v>
      </c>
      <c r="B168" s="557">
        <f t="shared" si="26"/>
        <v>163</v>
      </c>
      <c r="C168" s="528">
        <v>45444</v>
      </c>
      <c r="D168" s="540">
        <f t="shared" si="24"/>
        <v>45473</v>
      </c>
      <c r="E168" s="599">
        <f>Sale_Data!D139</f>
        <v>3200</v>
      </c>
      <c r="F168" s="541"/>
      <c r="G168" s="326">
        <f t="shared" si="23"/>
        <v>2752</v>
      </c>
      <c r="H168" s="610">
        <f>SUM($E$6:E167)-SUM($F$6:G167)</f>
        <v>186698</v>
      </c>
      <c r="I168" s="623">
        <f>VLOOKUP(A168,'Usage Rate Calc'!$T$7:$U$13,2,0)</f>
        <v>0.83097948577412828</v>
      </c>
      <c r="J168" s="624">
        <f>VLOOKUP(A168,WQ_Test!$A$3:$B$9,2,0)</f>
        <v>0.9</v>
      </c>
      <c r="K168" s="804">
        <f>$H168*CoreData!$F$44*I168*J168</f>
        <v>10586.05842458711</v>
      </c>
      <c r="L168" s="541">
        <f>$H168*CoreData!$F$45*I168*J168</f>
        <v>2742.3436387172578</v>
      </c>
      <c r="M168" s="576">
        <f>$H168*CoreData!$F$46</f>
        <v>187.89615387169775</v>
      </c>
      <c r="N168" s="761">
        <f t="shared" si="27"/>
        <v>7655.8186319981551</v>
      </c>
      <c r="O168" s="862"/>
      <c r="P168" s="862"/>
      <c r="Q168" s="949">
        <f>H168*I168*J168*((Calculations!$D$29)/CoreData!$F$11+(Calculations!$D$31)/CoreData!$F$11*CoreData!$F$23)</f>
        <v>7183.7082983550108</v>
      </c>
      <c r="R168" s="949">
        <f>H168*I168*J168*((Calculations!$D$35)/CoreData!$F$11)</f>
        <v>119.47929287567938</v>
      </c>
      <c r="S168" s="862">
        <v>0</v>
      </c>
      <c r="T168" s="862">
        <v>0</v>
      </c>
      <c r="U168" s="862">
        <v>0</v>
      </c>
      <c r="V168" s="862">
        <v>0</v>
      </c>
      <c r="W168" s="862">
        <v>0</v>
      </c>
      <c r="X168" s="862">
        <v>0</v>
      </c>
      <c r="Y168" s="862">
        <v>0</v>
      </c>
      <c r="Z168" s="862">
        <f t="shared" ref="Z168:Z173" si="29">K168</f>
        <v>10586.05842458711</v>
      </c>
      <c r="AA168" s="862"/>
      <c r="AB168" s="862"/>
      <c r="AC168" s="949">
        <f>H168*I168*J168*((Calculations!$D$58)/CoreData!$F$11+(Calculations!$D$60)/CoreData!$F$11*CoreData!$F$23)</f>
        <v>1838.7620065369704</v>
      </c>
      <c r="AD168" s="949">
        <f>H168*I168*J168*((Calculations!$D$62)/CoreData!$F$11)</f>
        <v>41.540598549482326</v>
      </c>
      <c r="AE168" s="950">
        <f>PS_Survey!$E$3</f>
        <v>0.82099999999999995</v>
      </c>
      <c r="AF168" s="950">
        <f>PS_Survey!$E$4</f>
        <v>0.91199999999999992</v>
      </c>
      <c r="AG168" s="862">
        <f>H168*I168*J168*CoreData!$F$7*PS_Survey!$E$5</f>
        <v>554263.06927475333</v>
      </c>
      <c r="AH168" s="862">
        <f>H168*I168*J168*CoreData!$F$7*(1-CoreData!$F$66)*PS_Survey!$E$6*PS_Survey!$E$7</f>
        <v>248290.80224208321</v>
      </c>
      <c r="AI168" s="862">
        <f>H168*I168*J168*CoreData!$F$7</f>
        <v>730254.37322101893</v>
      </c>
      <c r="AJ168" s="949">
        <f>(Q168-AC168)*CoreData!$F$99+(R168-AD168)*CoreData!$F$130</f>
        <v>83.860694618899728</v>
      </c>
      <c r="AK168" s="862">
        <f>PS_Survey!$E$8</f>
        <v>85</v>
      </c>
      <c r="AL168" s="862">
        <f t="shared" ref="AL168:AL173" si="30">L168</f>
        <v>2742.3436387172578</v>
      </c>
      <c r="AM168" s="949">
        <f>(Q168-AC168)/CoreData!$F$136</f>
        <v>32.962974355954614</v>
      </c>
      <c r="AN168" s="862"/>
      <c r="AO168" s="862"/>
      <c r="AP168" s="949">
        <f t="shared" ref="AP168:AP173" si="31">ABS(Q168-AC168)</f>
        <v>5344.9462918180407</v>
      </c>
      <c r="AQ168" s="949">
        <f t="shared" ref="AQ168:AQ173" si="32">ABS(R168-AD168)</f>
        <v>77.938694326197052</v>
      </c>
      <c r="AR168" s="950">
        <f t="shared" ref="AR168:AR173" si="33">ABS(S168-AE168)</f>
        <v>0.82099999999999995</v>
      </c>
      <c r="AS168" s="950">
        <f t="shared" ref="AS168:AS173" si="34">ABS(T168-AF168)</f>
        <v>0.91199999999999992</v>
      </c>
      <c r="AT168" s="949">
        <f t="shared" ref="AT168:AT173" si="35">ABS(U168-AG168)</f>
        <v>554263.06927475333</v>
      </c>
      <c r="AU168" s="949">
        <f t="shared" ref="AU168:AU173" si="36">ABS(V168-AH168)</f>
        <v>248290.80224208321</v>
      </c>
      <c r="AV168" s="949">
        <f t="shared" ref="AV168:AV173" si="37">ABS(W168-AI168)</f>
        <v>730254.37322101893</v>
      </c>
      <c r="AW168" s="949">
        <f t="shared" ref="AW168:AW173" si="38">ABS(X168-AJ168)</f>
        <v>83.860694618899728</v>
      </c>
      <c r="AX168" s="949">
        <f t="shared" ref="AX168:AX173" si="39">ABS(Y168-AK168)</f>
        <v>85</v>
      </c>
      <c r="AY168" s="949">
        <f t="shared" ref="AY168:AY173" si="40">ABS(Z168-AL168)-M168</f>
        <v>7655.8186319981551</v>
      </c>
      <c r="AZ168" s="949">
        <f t="shared" ref="AZ168:AZ173" si="41">ABS(AA168-AM168)</f>
        <v>32.962974355954614</v>
      </c>
      <c r="BA168" s="974"/>
      <c r="BB168" s="875">
        <f>H168*I168*J168*((Calculations!$D$29-Calculations!$D$58)/CoreData!$F$11+(Calculations!$D$31-Calculations!$D$60)/CoreData!$F$11*CoreData!$F$23)</f>
        <v>5344.9462918180407</v>
      </c>
      <c r="BC168" s="875">
        <f>H168*I168*J168*((Calculations!$D$35-Calculations!$D$62)/CoreData!$F$11)</f>
        <v>77.938694326197052</v>
      </c>
      <c r="BD168" s="876">
        <f>PS_Survey!$E$3</f>
        <v>0.82099999999999995</v>
      </c>
      <c r="BE168" s="876">
        <f>PS_Survey!$E$4</f>
        <v>0.91199999999999992</v>
      </c>
      <c r="BF168" s="877">
        <f>H168*I168*J168*CoreData!$F$7*PS_Survey!$E$5</f>
        <v>554263.06927475333</v>
      </c>
      <c r="BG168" s="877">
        <f>H168*I168*J168*CoreData!$F$7*(1-CoreData!$F$66)*PS_Survey!$E$6*PS_Survey!$E$7</f>
        <v>248290.80224208321</v>
      </c>
      <c r="BH168" s="875">
        <f>H168*I168*J168*CoreData!$F$7</f>
        <v>730254.37322101893</v>
      </c>
      <c r="BI168" s="875">
        <f>BB168*CoreData!$F$99+Units_month!BC168*CoreData!$F$130</f>
        <v>83.860694618899728</v>
      </c>
      <c r="BJ168" s="878">
        <f>PS_Survey!$E$8</f>
        <v>85</v>
      </c>
      <c r="BK168" s="879">
        <f t="shared" si="28"/>
        <v>7655.8186319981551</v>
      </c>
      <c r="BL168" s="875">
        <f>BB168/CoreData!$F$136</f>
        <v>32.962974355954614</v>
      </c>
    </row>
    <row r="169" spans="1:171">
      <c r="A169" s="557" t="s">
        <v>336</v>
      </c>
      <c r="B169" s="557">
        <f t="shared" si="26"/>
        <v>164</v>
      </c>
      <c r="C169" s="529">
        <v>45474</v>
      </c>
      <c r="D169" s="540">
        <f t="shared" si="24"/>
        <v>45504</v>
      </c>
      <c r="E169" s="599">
        <f>Sale_Data!D140</f>
        <v>3500</v>
      </c>
      <c r="F169" s="541"/>
      <c r="G169" s="326">
        <f t="shared" si="23"/>
        <v>2910</v>
      </c>
      <c r="H169" s="610">
        <f>SUM($E$6:E168)-SUM($F$6:G168)</f>
        <v>187146</v>
      </c>
      <c r="I169" s="623">
        <f>VLOOKUP(A169,'Usage Rate Calc'!$T$7:$U$13,2,0)</f>
        <v>0.83097948577412828</v>
      </c>
      <c r="J169" s="624">
        <f>VLOOKUP(A169,WQ_Test!$A$3:$B$9,2,0)</f>
        <v>0.9</v>
      </c>
      <c r="K169" s="804">
        <f>$H169*CoreData!$F$44*I169*J169</f>
        <v>10611.460700852604</v>
      </c>
      <c r="L169" s="541">
        <f>$H169*CoreData!$F$45*I169*J169</f>
        <v>2748.9241588628693</v>
      </c>
      <c r="M169" s="576">
        <f>$H169*CoreData!$F$46</f>
        <v>188.34702895838598</v>
      </c>
      <c r="N169" s="761">
        <f t="shared" si="27"/>
        <v>7674.1895130313487</v>
      </c>
      <c r="O169" s="862"/>
      <c r="P169" s="862"/>
      <c r="Q169" s="949">
        <f>H169*I169*J169*((Calculations!$D$29)/CoreData!$F$11+(Calculations!$D$31)/CoreData!$F$11*CoreData!$F$23)</f>
        <v>7200.9463047485633</v>
      </c>
      <c r="R169" s="949">
        <f>H169*I169*J169*((Calculations!$D$35)/CoreData!$F$11)</f>
        <v>119.76599505357261</v>
      </c>
      <c r="S169" s="862">
        <v>0</v>
      </c>
      <c r="T169" s="862">
        <v>0</v>
      </c>
      <c r="U169" s="862">
        <v>0</v>
      </c>
      <c r="V169" s="862">
        <v>0</v>
      </c>
      <c r="W169" s="862">
        <v>0</v>
      </c>
      <c r="X169" s="862">
        <v>0</v>
      </c>
      <c r="Y169" s="862">
        <v>0</v>
      </c>
      <c r="Z169" s="862">
        <f t="shared" si="29"/>
        <v>10611.460700852604</v>
      </c>
      <c r="AA169" s="862"/>
      <c r="AB169" s="862"/>
      <c r="AC169" s="949">
        <f>H169*I169*J169*((Calculations!$D$58)/CoreData!$F$11+(Calculations!$D$60)/CoreData!$F$11*CoreData!$F$23)</f>
        <v>1843.1742947185719</v>
      </c>
      <c r="AD169" s="949">
        <f>H169*I169*J169*((Calculations!$D$62)/CoreData!$F$11)</f>
        <v>41.640279253882852</v>
      </c>
      <c r="AE169" s="950">
        <f>PS_Survey!$E$3</f>
        <v>0.82099999999999995</v>
      </c>
      <c r="AF169" s="950">
        <f>PS_Survey!$E$4</f>
        <v>0.91199999999999992</v>
      </c>
      <c r="AG169" s="862">
        <f>H169*I169*J169*CoreData!$F$7*PS_Survey!$E$5</f>
        <v>555593.07738965075</v>
      </c>
      <c r="AH169" s="862">
        <f>H169*I169*J169*CoreData!$F$7*(1-CoreData!$F$66)*PS_Survey!$E$6*PS_Survey!$E$7</f>
        <v>248886.60015852822</v>
      </c>
      <c r="AI169" s="862">
        <f>H169*I169*J169*CoreData!$F$7</f>
        <v>732006.68957793247</v>
      </c>
      <c r="AJ169" s="949">
        <f>(Q169-AC169)*CoreData!$F$99+(R169-AD169)*CoreData!$F$130</f>
        <v>84.061926507775183</v>
      </c>
      <c r="AK169" s="862">
        <f>PS_Survey!$E$8</f>
        <v>85</v>
      </c>
      <c r="AL169" s="862">
        <f t="shared" si="30"/>
        <v>2748.9241588628693</v>
      </c>
      <c r="AM169" s="949">
        <f>(Q169-AC169)/CoreData!$F$136</f>
        <v>33.042072217267908</v>
      </c>
      <c r="AN169" s="862"/>
      <c r="AO169" s="862"/>
      <c r="AP169" s="949">
        <f t="shared" si="31"/>
        <v>5357.7720100299912</v>
      </c>
      <c r="AQ169" s="949">
        <f t="shared" si="32"/>
        <v>78.125715799689758</v>
      </c>
      <c r="AR169" s="950">
        <f t="shared" si="33"/>
        <v>0.82099999999999995</v>
      </c>
      <c r="AS169" s="950">
        <f t="shared" si="34"/>
        <v>0.91199999999999992</v>
      </c>
      <c r="AT169" s="949">
        <f t="shared" si="35"/>
        <v>555593.07738965075</v>
      </c>
      <c r="AU169" s="949">
        <f t="shared" si="36"/>
        <v>248886.60015852822</v>
      </c>
      <c r="AV169" s="949">
        <f t="shared" si="37"/>
        <v>732006.68957793247</v>
      </c>
      <c r="AW169" s="949">
        <f t="shared" si="38"/>
        <v>84.061926507775183</v>
      </c>
      <c r="AX169" s="949">
        <f t="shared" si="39"/>
        <v>85</v>
      </c>
      <c r="AY169" s="949">
        <f t="shared" si="40"/>
        <v>7674.1895130313487</v>
      </c>
      <c r="AZ169" s="949">
        <f t="shared" si="41"/>
        <v>33.042072217267908</v>
      </c>
      <c r="BA169" s="974"/>
      <c r="BB169" s="875">
        <f>H169*I169*J169*((Calculations!$D$29-Calculations!$D$58)/CoreData!$F$11+(Calculations!$D$31-Calculations!$D$60)/CoreData!$F$11*CoreData!$F$23)</f>
        <v>5357.7720100299903</v>
      </c>
      <c r="BC169" s="875">
        <f>H169*I169*J169*((Calculations!$D$35-Calculations!$D$62)/CoreData!$F$11)</f>
        <v>78.125715799689758</v>
      </c>
      <c r="BD169" s="876">
        <f>PS_Survey!$E$3</f>
        <v>0.82099999999999995</v>
      </c>
      <c r="BE169" s="876">
        <f>PS_Survey!$E$4</f>
        <v>0.91199999999999992</v>
      </c>
      <c r="BF169" s="877">
        <f>H169*I169*J169*CoreData!$F$7*PS_Survey!$E$5</f>
        <v>555593.07738965075</v>
      </c>
      <c r="BG169" s="877">
        <f>H169*I169*J169*CoreData!$F$7*(1-CoreData!$F$66)*PS_Survey!$E$6*PS_Survey!$E$7</f>
        <v>248886.60015852822</v>
      </c>
      <c r="BH169" s="875">
        <f>H169*I169*J169*CoreData!$F$7</f>
        <v>732006.68957793247</v>
      </c>
      <c r="BI169" s="875">
        <f>BB169*CoreData!$F$99+Units_month!BC169*CoreData!$F$130</f>
        <v>84.061926507775169</v>
      </c>
      <c r="BJ169" s="878">
        <f>PS_Survey!$E$8</f>
        <v>85</v>
      </c>
      <c r="BK169" s="879">
        <f t="shared" si="28"/>
        <v>7674.1895130313487</v>
      </c>
      <c r="BL169" s="875">
        <f>BB169/CoreData!$F$136</f>
        <v>33.042072217267901</v>
      </c>
    </row>
    <row r="170" spans="1:171">
      <c r="A170" s="557" t="s">
        <v>336</v>
      </c>
      <c r="B170" s="557">
        <f t="shared" si="26"/>
        <v>165</v>
      </c>
      <c r="C170" s="529">
        <v>45505</v>
      </c>
      <c r="D170" s="540">
        <f t="shared" si="24"/>
        <v>45535</v>
      </c>
      <c r="E170" s="599">
        <f>Sale_Data!D141</f>
        <v>3500</v>
      </c>
      <c r="F170" s="541"/>
      <c r="G170" s="326">
        <f t="shared" si="23"/>
        <v>2079</v>
      </c>
      <c r="H170" s="610">
        <f>SUM($E$6:E169)-SUM($F$6:G169)</f>
        <v>187736</v>
      </c>
      <c r="I170" s="623">
        <f>VLOOKUP(A170,'Usage Rate Calc'!$T$7:$U$13,2,0)</f>
        <v>0.83097948577412828</v>
      </c>
      <c r="J170" s="624">
        <f>VLOOKUP(A170,WQ_Test!$A$3:$B$9,2,0)</f>
        <v>0.9</v>
      </c>
      <c r="K170" s="804">
        <f>$H170*CoreData!$F$44*I170*J170</f>
        <v>10644.914591470106</v>
      </c>
      <c r="L170" s="541">
        <f>$H170*CoreData!$F$45*I170*J170</f>
        <v>2757.590468876062</v>
      </c>
      <c r="M170" s="576">
        <f>$H170*CoreData!$F$46</f>
        <v>188.9408153448727</v>
      </c>
      <c r="N170" s="761">
        <f t="shared" si="27"/>
        <v>7698.3833072491707</v>
      </c>
      <c r="O170" s="862"/>
      <c r="P170" s="862"/>
      <c r="Q170" s="949">
        <f>H170*I170*J170*((Calculations!$D$29)/CoreData!$F$11+(Calculations!$D$31)/CoreData!$F$11*CoreData!$F$23)</f>
        <v>7223.6481435257838</v>
      </c>
      <c r="R170" s="949">
        <f>H170*I170*J170*((Calculations!$D$35)/CoreData!$F$11)</f>
        <v>120.14357158249446</v>
      </c>
      <c r="S170" s="862">
        <v>0</v>
      </c>
      <c r="T170" s="862">
        <v>0</v>
      </c>
      <c r="U170" s="862">
        <v>0</v>
      </c>
      <c r="V170" s="862">
        <v>0</v>
      </c>
      <c r="W170" s="862">
        <v>0</v>
      </c>
      <c r="X170" s="862">
        <v>0</v>
      </c>
      <c r="Y170" s="862">
        <v>0</v>
      </c>
      <c r="Z170" s="862">
        <f t="shared" si="29"/>
        <v>10644.914591470106</v>
      </c>
      <c r="AA170" s="862"/>
      <c r="AB170" s="862"/>
      <c r="AC170" s="949">
        <f>H170*I170*J170*((Calculations!$D$58)/CoreData!$F$11+(Calculations!$D$60)/CoreData!$F$11*CoreData!$F$23)</f>
        <v>1848.98512067202</v>
      </c>
      <c r="AD170" s="949">
        <f>H170*I170*J170*((Calculations!$D$62)/CoreData!$F$11)</f>
        <v>41.771555181553182</v>
      </c>
      <c r="AE170" s="950">
        <f>PS_Survey!$E$3</f>
        <v>0.82099999999999995</v>
      </c>
      <c r="AF170" s="950">
        <f>PS_Survey!$E$4</f>
        <v>0.91199999999999992</v>
      </c>
      <c r="AG170" s="862">
        <f>H170*I170*J170*CoreData!$F$7*PS_Survey!$E$5</f>
        <v>557344.65057668067</v>
      </c>
      <c r="AH170" s="862">
        <f>H170*I170*J170*CoreData!$F$7*(1-CoreData!$F$66)*PS_Survey!$E$6*PS_Survey!$E$7</f>
        <v>249671.24473598937</v>
      </c>
      <c r="AI170" s="862">
        <f>H170*I170*J170*CoreData!$F$7</f>
        <v>734314.42763726041</v>
      </c>
      <c r="AJ170" s="949">
        <f>(Q170-AC170)*CoreData!$F$99+(R170-AD170)*CoreData!$F$130</f>
        <v>84.326941718570964</v>
      </c>
      <c r="AK170" s="862">
        <f>PS_Survey!$E$8</f>
        <v>85</v>
      </c>
      <c r="AL170" s="862">
        <f t="shared" si="30"/>
        <v>2757.590468876062</v>
      </c>
      <c r="AM170" s="949">
        <f>(Q170-AC170)/CoreData!$F$136</f>
        <v>33.146241275693882</v>
      </c>
      <c r="AN170" s="862"/>
      <c r="AO170" s="862"/>
      <c r="AP170" s="949">
        <f t="shared" si="31"/>
        <v>5374.6630228537633</v>
      </c>
      <c r="AQ170" s="949">
        <f t="shared" si="32"/>
        <v>78.372016400941277</v>
      </c>
      <c r="AR170" s="950">
        <f t="shared" si="33"/>
        <v>0.82099999999999995</v>
      </c>
      <c r="AS170" s="950">
        <f t="shared" si="34"/>
        <v>0.91199999999999992</v>
      </c>
      <c r="AT170" s="949">
        <f t="shared" si="35"/>
        <v>557344.65057668067</v>
      </c>
      <c r="AU170" s="949">
        <f t="shared" si="36"/>
        <v>249671.24473598937</v>
      </c>
      <c r="AV170" s="949">
        <f t="shared" si="37"/>
        <v>734314.42763726041</v>
      </c>
      <c r="AW170" s="949">
        <f t="shared" si="38"/>
        <v>84.326941718570964</v>
      </c>
      <c r="AX170" s="949">
        <f t="shared" si="39"/>
        <v>85</v>
      </c>
      <c r="AY170" s="949">
        <f t="shared" si="40"/>
        <v>7698.3833072491707</v>
      </c>
      <c r="AZ170" s="949">
        <f t="shared" si="41"/>
        <v>33.146241275693882</v>
      </c>
      <c r="BA170" s="974"/>
      <c r="BB170" s="875">
        <f>H170*I170*J170*((Calculations!$D$29-Calculations!$D$58)/CoreData!$F$11+(Calculations!$D$31-Calculations!$D$60)/CoreData!$F$11*CoreData!$F$23)</f>
        <v>5374.6630228537633</v>
      </c>
      <c r="BC170" s="875">
        <f>H170*I170*J170*((Calculations!$D$35-Calculations!$D$62)/CoreData!$F$11)</f>
        <v>78.372016400941277</v>
      </c>
      <c r="BD170" s="876">
        <f>PS_Survey!$E$3</f>
        <v>0.82099999999999995</v>
      </c>
      <c r="BE170" s="876">
        <f>PS_Survey!$E$4</f>
        <v>0.91199999999999992</v>
      </c>
      <c r="BF170" s="877">
        <f>H170*I170*J170*CoreData!$F$7*PS_Survey!$E$5</f>
        <v>557344.65057668067</v>
      </c>
      <c r="BG170" s="877">
        <f>H170*I170*J170*CoreData!$F$7*(1-CoreData!$F$66)*PS_Survey!$E$6*PS_Survey!$E$7</f>
        <v>249671.24473598937</v>
      </c>
      <c r="BH170" s="875">
        <f>H170*I170*J170*CoreData!$F$7</f>
        <v>734314.42763726041</v>
      </c>
      <c r="BI170" s="875">
        <f>BB170*CoreData!$F$99+Units_month!BC170*CoreData!$F$130</f>
        <v>84.326941718570964</v>
      </c>
      <c r="BJ170" s="878">
        <f>PS_Survey!$E$8</f>
        <v>85</v>
      </c>
      <c r="BK170" s="879">
        <f t="shared" si="28"/>
        <v>7698.3833072491707</v>
      </c>
      <c r="BL170" s="875">
        <f>BB170/CoreData!$F$136</f>
        <v>33.146241275693882</v>
      </c>
    </row>
    <row r="171" spans="1:171">
      <c r="A171" s="557" t="s">
        <v>336</v>
      </c>
      <c r="B171" s="557">
        <f t="shared" si="26"/>
        <v>166</v>
      </c>
      <c r="C171" s="528">
        <v>45536</v>
      </c>
      <c r="D171" s="540">
        <f t="shared" si="24"/>
        <v>45565</v>
      </c>
      <c r="E171" s="599">
        <f>Sale_Data!D142</f>
        <v>3800</v>
      </c>
      <c r="F171" s="541"/>
      <c r="G171" s="326">
        <f t="shared" si="23"/>
        <v>3907</v>
      </c>
      <c r="H171" s="610">
        <f>SUM($E$6:E170)-SUM($F$6:G170)</f>
        <v>189157</v>
      </c>
      <c r="I171" s="623">
        <f>VLOOKUP(A171,'Usage Rate Calc'!$T$7:$U$13,2,0)</f>
        <v>0.83097948577412828</v>
      </c>
      <c r="J171" s="624">
        <f>VLOOKUP(A171,WQ_Test!$A$3:$B$9,2,0)</f>
        <v>0.9</v>
      </c>
      <c r="K171" s="804">
        <f>$H171*CoreData!$F$44*I171*J171</f>
        <v>10725.487436499716</v>
      </c>
      <c r="L171" s="541">
        <f>$H171*CoreData!$F$45*I171*J171</f>
        <v>2778.4630562129228</v>
      </c>
      <c r="M171" s="576">
        <f>$H171*CoreData!$F$46</f>
        <v>190.37093476046198</v>
      </c>
      <c r="N171" s="761">
        <f t="shared" si="27"/>
        <v>7756.6534455263318</v>
      </c>
      <c r="O171" s="862"/>
      <c r="P171" s="862"/>
      <c r="Q171" s="949">
        <f>H171*I171*J171*((Calculations!$D$29)/CoreData!$F$11+(Calculations!$D$31)/CoreData!$F$11*CoreData!$F$23)</f>
        <v>7278.324945055324</v>
      </c>
      <c r="R171" s="949">
        <f>H171*I171*J171*((Calculations!$D$35)/CoreData!$F$11)</f>
        <v>121.05295505299941</v>
      </c>
      <c r="S171" s="862">
        <v>0</v>
      </c>
      <c r="T171" s="862">
        <v>0</v>
      </c>
      <c r="U171" s="862">
        <v>0</v>
      </c>
      <c r="V171" s="862">
        <v>0</v>
      </c>
      <c r="W171" s="862">
        <v>0</v>
      </c>
      <c r="X171" s="862">
        <v>0</v>
      </c>
      <c r="Y171" s="862">
        <v>0</v>
      </c>
      <c r="Z171" s="862">
        <f t="shared" si="29"/>
        <v>10725.487436499716</v>
      </c>
      <c r="AA171" s="862"/>
      <c r="AB171" s="862"/>
      <c r="AC171" s="949">
        <f>H171*I171*J171*((Calculations!$D$58)/CoreData!$F$11+(Calculations!$D$60)/CoreData!$F$11*CoreData!$F$23)</f>
        <v>1862.9803472480353</v>
      </c>
      <c r="AD171" s="949">
        <f>H171*I171*J171*((Calculations!$D$62)/CoreData!$F$11)</f>
        <v>42.087729915823566</v>
      </c>
      <c r="AE171" s="950">
        <f>PS_Survey!$E$3</f>
        <v>0.82099999999999995</v>
      </c>
      <c r="AF171" s="950">
        <f>PS_Survey!$E$4</f>
        <v>0.91199999999999992</v>
      </c>
      <c r="AG171" s="862">
        <f>H171*I171*J171*CoreData!$F$7*PS_Survey!$E$5</f>
        <v>561563.2700661202</v>
      </c>
      <c r="AH171" s="862">
        <f>H171*I171*J171*CoreData!$F$7*(1-CoreData!$F$66)*PS_Survey!$E$6*PS_Survey!$E$7</f>
        <v>251561.04125221336</v>
      </c>
      <c r="AI171" s="862">
        <f>H171*I171*J171*CoreData!$F$7</f>
        <v>739872.55608184484</v>
      </c>
      <c r="AJ171" s="949">
        <f>(Q171-AC171)*CoreData!$F$99+(R171-AD171)*CoreData!$F$130</f>
        <v>84.965224116097744</v>
      </c>
      <c r="AK171" s="862">
        <f>PS_Survey!$E$8</f>
        <v>85</v>
      </c>
      <c r="AL171" s="862">
        <f t="shared" si="30"/>
        <v>2778.4630562129228</v>
      </c>
      <c r="AM171" s="949">
        <f>(Q171-AC171)/CoreData!$F$136</f>
        <v>33.397129804546957</v>
      </c>
      <c r="AN171" s="862"/>
      <c r="AO171" s="862"/>
      <c r="AP171" s="949">
        <f t="shared" si="31"/>
        <v>5415.3445978072887</v>
      </c>
      <c r="AQ171" s="949">
        <f t="shared" si="32"/>
        <v>78.96522513717585</v>
      </c>
      <c r="AR171" s="950">
        <f t="shared" si="33"/>
        <v>0.82099999999999995</v>
      </c>
      <c r="AS171" s="950">
        <f t="shared" si="34"/>
        <v>0.91199999999999992</v>
      </c>
      <c r="AT171" s="949">
        <f t="shared" si="35"/>
        <v>561563.2700661202</v>
      </c>
      <c r="AU171" s="949">
        <f t="shared" si="36"/>
        <v>251561.04125221336</v>
      </c>
      <c r="AV171" s="949">
        <f t="shared" si="37"/>
        <v>739872.55608184484</v>
      </c>
      <c r="AW171" s="949">
        <f t="shared" si="38"/>
        <v>84.965224116097744</v>
      </c>
      <c r="AX171" s="949">
        <f t="shared" si="39"/>
        <v>85</v>
      </c>
      <c r="AY171" s="949">
        <f t="shared" si="40"/>
        <v>7756.6534455263318</v>
      </c>
      <c r="AZ171" s="949">
        <f t="shared" si="41"/>
        <v>33.397129804546957</v>
      </c>
      <c r="BA171" s="974"/>
      <c r="BB171" s="875">
        <f>H171*I171*J171*((Calculations!$D$29-Calculations!$D$58)/CoreData!$F$11+(Calculations!$D$31-Calculations!$D$60)/CoreData!$F$11*CoreData!$F$23)</f>
        <v>5415.3445978072878</v>
      </c>
      <c r="BC171" s="875">
        <f>H171*I171*J171*((Calculations!$D$35-Calculations!$D$62)/CoreData!$F$11)</f>
        <v>78.96522513717585</v>
      </c>
      <c r="BD171" s="876">
        <f>PS_Survey!$E$3</f>
        <v>0.82099999999999995</v>
      </c>
      <c r="BE171" s="876">
        <f>PS_Survey!$E$4</f>
        <v>0.91199999999999992</v>
      </c>
      <c r="BF171" s="877">
        <f>H171*I171*J171*CoreData!$F$7*PS_Survey!$E$5</f>
        <v>561563.2700661202</v>
      </c>
      <c r="BG171" s="877">
        <f>H171*I171*J171*CoreData!$F$7*(1-CoreData!$F$66)*PS_Survey!$E$6*PS_Survey!$E$7</f>
        <v>251561.04125221336</v>
      </c>
      <c r="BH171" s="875">
        <f>H171*I171*J171*CoreData!$F$7</f>
        <v>739872.55608184484</v>
      </c>
      <c r="BI171" s="875">
        <f>BB171*CoreData!$F$99+Units_month!BC171*CoreData!$F$130</f>
        <v>84.96522411609773</v>
      </c>
      <c r="BJ171" s="878">
        <f>PS_Survey!$E$8</f>
        <v>85</v>
      </c>
      <c r="BK171" s="879">
        <f t="shared" si="28"/>
        <v>7756.6534455263318</v>
      </c>
      <c r="BL171" s="875">
        <f>BB171/CoreData!$F$136</f>
        <v>33.39712980454695</v>
      </c>
    </row>
    <row r="172" spans="1:171">
      <c r="A172" s="557" t="s">
        <v>336</v>
      </c>
      <c r="B172" s="557">
        <f t="shared" si="26"/>
        <v>167</v>
      </c>
      <c r="C172" s="529">
        <v>45566</v>
      </c>
      <c r="D172" s="540">
        <f t="shared" si="24"/>
        <v>45596</v>
      </c>
      <c r="E172" s="599">
        <f>Sale_Data!D143</f>
        <v>3800</v>
      </c>
      <c r="F172" s="541"/>
      <c r="G172" s="326">
        <f t="shared" si="23"/>
        <v>1815</v>
      </c>
      <c r="H172" s="610">
        <f>SUM($E$6:E171)-SUM($F$6:G171)</f>
        <v>189050</v>
      </c>
      <c r="I172" s="623">
        <f>VLOOKUP(A172,'Usage Rate Calc'!$T$7:$U$13,2,0)</f>
        <v>0.83097948577412828</v>
      </c>
      <c r="J172" s="624">
        <f>VLOOKUP(A172,WQ_Test!$A$3:$B$9,2,0)</f>
        <v>0.9</v>
      </c>
      <c r="K172" s="804">
        <f>$H172*CoreData!$F$44*I172*J172</f>
        <v>10719.420374980949</v>
      </c>
      <c r="L172" s="541">
        <f>$H172*CoreData!$F$45*I172*J172</f>
        <v>2776.8913694817165</v>
      </c>
      <c r="M172" s="576">
        <f>$H172*CoreData!$F$46</f>
        <v>190.26324807681098</v>
      </c>
      <c r="N172" s="761">
        <f t="shared" si="27"/>
        <v>7752.2657574224222</v>
      </c>
      <c r="O172" s="862"/>
      <c r="P172" s="862"/>
      <c r="Q172" s="949">
        <f>H172*I172*J172*((Calculations!$D$29)/CoreData!$F$11+(Calculations!$D$31)/CoreData!$F$11*CoreData!$F$23)</f>
        <v>7274.2078319211496</v>
      </c>
      <c r="R172" s="949">
        <f>H172*I172*J172*((Calculations!$D$35)/CoreData!$F$11)</f>
        <v>120.98447930961866</v>
      </c>
      <c r="S172" s="862">
        <v>0</v>
      </c>
      <c r="T172" s="862">
        <v>0</v>
      </c>
      <c r="U172" s="862">
        <v>0</v>
      </c>
      <c r="V172" s="862">
        <v>0</v>
      </c>
      <c r="W172" s="862">
        <v>0</v>
      </c>
      <c r="X172" s="862">
        <v>0</v>
      </c>
      <c r="Y172" s="862">
        <v>0</v>
      </c>
      <c r="Z172" s="862">
        <f t="shared" si="29"/>
        <v>10719.420374980949</v>
      </c>
      <c r="AA172" s="862"/>
      <c r="AB172" s="862"/>
      <c r="AC172" s="949">
        <f>H172*I172*J172*((Calculations!$D$58)/CoreData!$F$11+(Calculations!$D$60)/CoreData!$F$11*CoreData!$F$23)</f>
        <v>1861.9265194903762</v>
      </c>
      <c r="AD172" s="949">
        <f>H172*I172*J172*((Calculations!$D$62)/CoreData!$F$11)</f>
        <v>42.063922247585047</v>
      </c>
      <c r="AE172" s="950">
        <f>PS_Survey!$E$3</f>
        <v>0.82099999999999995</v>
      </c>
      <c r="AF172" s="950">
        <f>PS_Survey!$E$4</f>
        <v>0.91199999999999992</v>
      </c>
      <c r="AG172" s="862">
        <f>H172*I172*J172*CoreData!$F$7*PS_Survey!$E$5</f>
        <v>561245.61187796399</v>
      </c>
      <c r="AH172" s="862">
        <f>H172*I172*J172*CoreData!$F$7*(1-CoreData!$F$66)*PS_Survey!$E$6*PS_Survey!$E$7</f>
        <v>251418.74130341955</v>
      </c>
      <c r="AI172" s="862">
        <f>H172*I172*J172*CoreData!$F$7</f>
        <v>739454.03409481421</v>
      </c>
      <c r="AJ172" s="949">
        <f>(Q172-AC172)*CoreData!$F$99+(R172-AD172)*CoreData!$F$130</f>
        <v>84.917162035495778</v>
      </c>
      <c r="AK172" s="862">
        <f>PS_Survey!$E$8</f>
        <v>85</v>
      </c>
      <c r="AL172" s="862">
        <f t="shared" si="30"/>
        <v>2776.8913694817165</v>
      </c>
      <c r="AM172" s="949">
        <f>(Q172-AC172)/CoreData!$F$136</f>
        <v>33.378238127849357</v>
      </c>
      <c r="AN172" s="862"/>
      <c r="AO172" s="862"/>
      <c r="AP172" s="949">
        <f t="shared" si="31"/>
        <v>5412.2813124307731</v>
      </c>
      <c r="AQ172" s="949">
        <f t="shared" si="32"/>
        <v>78.920557062033623</v>
      </c>
      <c r="AR172" s="950">
        <f t="shared" si="33"/>
        <v>0.82099999999999995</v>
      </c>
      <c r="AS172" s="950">
        <f t="shared" si="34"/>
        <v>0.91199999999999992</v>
      </c>
      <c r="AT172" s="949">
        <f t="shared" si="35"/>
        <v>561245.61187796399</v>
      </c>
      <c r="AU172" s="949">
        <f t="shared" si="36"/>
        <v>251418.74130341955</v>
      </c>
      <c r="AV172" s="949">
        <f t="shared" si="37"/>
        <v>739454.03409481421</v>
      </c>
      <c r="AW172" s="949">
        <f t="shared" si="38"/>
        <v>84.917162035495778</v>
      </c>
      <c r="AX172" s="949">
        <f t="shared" si="39"/>
        <v>85</v>
      </c>
      <c r="AY172" s="949">
        <f t="shared" si="40"/>
        <v>7752.2657574224222</v>
      </c>
      <c r="AZ172" s="949">
        <f t="shared" si="41"/>
        <v>33.378238127849357</v>
      </c>
      <c r="BA172" s="974"/>
      <c r="BB172" s="875">
        <f>H172*I172*J172*((Calculations!$D$29-Calculations!$D$58)/CoreData!$F$11+(Calculations!$D$31-Calculations!$D$60)/CoreData!$F$11*CoreData!$F$23)</f>
        <v>5412.2813124307731</v>
      </c>
      <c r="BC172" s="875">
        <f>H172*I172*J172*((Calculations!$D$35-Calculations!$D$62)/CoreData!$F$11)</f>
        <v>78.920557062033623</v>
      </c>
      <c r="BD172" s="876">
        <f>PS_Survey!$E$3</f>
        <v>0.82099999999999995</v>
      </c>
      <c r="BE172" s="876">
        <f>PS_Survey!$E$4</f>
        <v>0.91199999999999992</v>
      </c>
      <c r="BF172" s="877">
        <f>H172*I172*J172*CoreData!$F$7*PS_Survey!$E$5</f>
        <v>561245.61187796399</v>
      </c>
      <c r="BG172" s="877">
        <f>H172*I172*J172*CoreData!$F$7*(1-CoreData!$F$66)*PS_Survey!$E$6*PS_Survey!$E$7</f>
        <v>251418.74130341955</v>
      </c>
      <c r="BH172" s="875">
        <f>H172*I172*J172*CoreData!$F$7</f>
        <v>739454.03409481421</v>
      </c>
      <c r="BI172" s="875">
        <f>BB172*CoreData!$F$99+Units_month!BC172*CoreData!$F$130</f>
        <v>84.917162035495778</v>
      </c>
      <c r="BJ172" s="878">
        <f>PS_Survey!$E$8</f>
        <v>85</v>
      </c>
      <c r="BK172" s="879">
        <f t="shared" si="28"/>
        <v>7752.2657574224222</v>
      </c>
      <c r="BL172" s="875">
        <f>BB172/CoreData!$F$136</f>
        <v>33.378238127849357</v>
      </c>
    </row>
    <row r="173" spans="1:171" s="491" customFormat="1" ht="15.75" thickBot="1">
      <c r="A173" s="557" t="s">
        <v>336</v>
      </c>
      <c r="B173" s="557">
        <f t="shared" si="26"/>
        <v>168</v>
      </c>
      <c r="C173" s="529">
        <v>45597</v>
      </c>
      <c r="D173" s="540">
        <f t="shared" si="24"/>
        <v>45626</v>
      </c>
      <c r="E173" s="600">
        <f>Sale_Data!D144</f>
        <v>4000</v>
      </c>
      <c r="F173" s="601"/>
      <c r="G173" s="326">
        <f t="shared" si="23"/>
        <v>1764</v>
      </c>
      <c r="H173" s="611">
        <f>SUM($E$6:E172)-SUM($F$6:G172)</f>
        <v>191035</v>
      </c>
      <c r="I173" s="625">
        <f>VLOOKUP(A173,'Usage Rate Calc'!$T$7:$U$13,2,0)</f>
        <v>0.83097948577412828</v>
      </c>
      <c r="J173" s="626">
        <f>VLOOKUP(A173,WQ_Test!$A$3:$B$9,2,0)</f>
        <v>0.9</v>
      </c>
      <c r="K173" s="805">
        <f>$H173*CoreData!$F$44*I173*J173</f>
        <v>10831.972871380511</v>
      </c>
      <c r="L173" s="798">
        <f>$H173*CoreData!$F$45*I173*J173</f>
        <v>2806.0483616447486</v>
      </c>
      <c r="M173" s="608">
        <f>$H173*CoreData!$F$46</f>
        <v>192.26098702117739</v>
      </c>
      <c r="N173" s="762">
        <f t="shared" si="27"/>
        <v>7833.6635227145844</v>
      </c>
      <c r="O173" s="862"/>
      <c r="P173" s="862"/>
      <c r="Q173" s="949">
        <f>H173*I173*J173*((Calculations!$D$29)/CoreData!$F$11+(Calculations!$D$31)/CoreData!$F$11*CoreData!$F$23)</f>
        <v>7350.586052214001</v>
      </c>
      <c r="R173" s="949">
        <f>H173*I173*J173*((Calculations!$D$35)/CoreData!$F$11)</f>
        <v>122.25480034336421</v>
      </c>
      <c r="S173" s="862">
        <v>0</v>
      </c>
      <c r="T173" s="862">
        <v>0</v>
      </c>
      <c r="U173" s="862">
        <v>0</v>
      </c>
      <c r="V173" s="862">
        <v>0</v>
      </c>
      <c r="W173" s="862">
        <v>0</v>
      </c>
      <c r="X173" s="862">
        <v>0</v>
      </c>
      <c r="Y173" s="862">
        <v>0</v>
      </c>
      <c r="Z173" s="862">
        <f t="shared" si="29"/>
        <v>10831.972871380511</v>
      </c>
      <c r="AA173" s="862"/>
      <c r="AB173" s="862"/>
      <c r="AC173" s="949">
        <f>H173*I173*J173*((Calculations!$D$58)/CoreData!$F$11+(Calculations!$D$60)/CoreData!$F$11*CoreData!$F$23)</f>
        <v>1881.4765017235866</v>
      </c>
      <c r="AD173" s="949">
        <f>H173*I173*J173*((Calculations!$D$62)/CoreData!$F$11)</f>
        <v>42.505587868645385</v>
      </c>
      <c r="AE173" s="950">
        <f>PS_Survey!$E$3</f>
        <v>0.82099999999999995</v>
      </c>
      <c r="AF173" s="950">
        <f>PS_Survey!$E$4</f>
        <v>0.91199999999999992</v>
      </c>
      <c r="AG173" s="862">
        <f>H173*I173*J173*CoreData!$F$7*PS_Survey!$E$5</f>
        <v>567138.61658347992</v>
      </c>
      <c r="AH173" s="862">
        <f>H173*I173*J173*CoreData!$F$7*(1-CoreData!$F$66)*PS_Survey!$E$6*PS_Survey!$E$7</f>
        <v>254058.60483945394</v>
      </c>
      <c r="AI173" s="862">
        <f>H173*I173*J173*CoreData!$F$7</f>
        <v>747218.20366729889</v>
      </c>
      <c r="AJ173" s="949">
        <f>(Q173-AC173)*CoreData!$F$99+(R173-AD173)*CoreData!$F$130</f>
        <v>85.808781007410403</v>
      </c>
      <c r="AK173" s="862">
        <f>PS_Survey!$E$8</f>
        <v>85</v>
      </c>
      <c r="AL173" s="862">
        <f t="shared" si="30"/>
        <v>2806.0483616447486</v>
      </c>
      <c r="AM173" s="949">
        <f>(Q173-AC173)/CoreData!$F$136</f>
        <v>33.72870521424862</v>
      </c>
      <c r="AN173" s="862"/>
      <c r="AO173" s="862"/>
      <c r="AP173" s="949">
        <f t="shared" si="31"/>
        <v>5469.1095504904142</v>
      </c>
      <c r="AQ173" s="949">
        <f t="shared" si="32"/>
        <v>79.749212474718831</v>
      </c>
      <c r="AR173" s="950">
        <f t="shared" si="33"/>
        <v>0.82099999999999995</v>
      </c>
      <c r="AS173" s="950">
        <f t="shared" si="34"/>
        <v>0.91199999999999992</v>
      </c>
      <c r="AT173" s="949">
        <f t="shared" si="35"/>
        <v>567138.61658347992</v>
      </c>
      <c r="AU173" s="949">
        <f t="shared" si="36"/>
        <v>254058.60483945394</v>
      </c>
      <c r="AV173" s="949">
        <f t="shared" si="37"/>
        <v>747218.20366729889</v>
      </c>
      <c r="AW173" s="949">
        <f t="shared" si="38"/>
        <v>85.808781007410403</v>
      </c>
      <c r="AX173" s="949">
        <f t="shared" si="39"/>
        <v>85</v>
      </c>
      <c r="AY173" s="949">
        <f t="shared" si="40"/>
        <v>7833.6635227145844</v>
      </c>
      <c r="AZ173" s="949">
        <f t="shared" si="41"/>
        <v>33.72870521424862</v>
      </c>
      <c r="BA173" s="974"/>
      <c r="BB173" s="875">
        <f>H173*I173*J173*((Calculations!$D$29-Calculations!$D$58)/CoreData!$F$11+(Calculations!$D$31-Calculations!$D$60)/CoreData!$F$11*CoreData!$F$23)</f>
        <v>5469.1095504904142</v>
      </c>
      <c r="BC173" s="875">
        <f>H173*I173*J173*((Calculations!$D$35-Calculations!$D$62)/CoreData!$F$11)</f>
        <v>79.749212474718831</v>
      </c>
      <c r="BD173" s="876">
        <f>PS_Survey!$E$3</f>
        <v>0.82099999999999995</v>
      </c>
      <c r="BE173" s="876">
        <f>PS_Survey!$E$4</f>
        <v>0.91199999999999992</v>
      </c>
      <c r="BF173" s="877">
        <f>H173*I173*J173*CoreData!$F$7*PS_Survey!$E$5</f>
        <v>567138.61658347992</v>
      </c>
      <c r="BG173" s="877">
        <f>H173*I173*J173*CoreData!$F$7*(1-CoreData!$F$66)*PS_Survey!$E$6*PS_Survey!$E$7</f>
        <v>254058.60483945394</v>
      </c>
      <c r="BH173" s="875">
        <f>H173*I173*J173*CoreData!$F$7</f>
        <v>747218.20366729889</v>
      </c>
      <c r="BI173" s="875">
        <f>BB173*CoreData!$F$99+Units_month!BC173*CoreData!$F$130</f>
        <v>85.808781007410403</v>
      </c>
      <c r="BJ173" s="878">
        <f>PS_Survey!$E$8</f>
        <v>85</v>
      </c>
      <c r="BK173" s="879">
        <f t="shared" si="28"/>
        <v>7833.6635227145844</v>
      </c>
      <c r="BL173" s="875">
        <f>BB173/CoreData!$F$136</f>
        <v>33.72870521424862</v>
      </c>
      <c r="BM173" s="538"/>
      <c r="BN173" s="538"/>
      <c r="BO173" s="538"/>
      <c r="BP173" s="863"/>
      <c r="BQ173" s="863"/>
      <c r="BR173" s="863"/>
      <c r="BS173" s="863"/>
      <c r="BT173" s="863"/>
      <c r="BU173" s="863"/>
      <c r="BV173" s="863"/>
      <c r="BW173" s="863"/>
      <c r="BX173" s="863"/>
      <c r="BY173" s="863"/>
      <c r="BZ173" s="863"/>
      <c r="CA173" s="863"/>
      <c r="CB173" s="863"/>
      <c r="CC173" s="863"/>
      <c r="CD173" s="863"/>
      <c r="CE173" s="863"/>
      <c r="CF173" s="863"/>
      <c r="CG173" s="863"/>
      <c r="CH173" s="863"/>
      <c r="CI173" s="863"/>
      <c r="CJ173" s="863"/>
      <c r="CK173" s="863"/>
      <c r="CL173" s="863"/>
      <c r="CM173" s="863"/>
      <c r="CN173" s="863"/>
      <c r="CO173" s="863"/>
      <c r="CP173" s="863"/>
      <c r="CQ173" s="863"/>
      <c r="CR173" s="863"/>
      <c r="CS173" s="863"/>
      <c r="CT173" s="863"/>
      <c r="CU173" s="863"/>
      <c r="CV173" s="863"/>
      <c r="CW173" s="863"/>
      <c r="CX173" s="863"/>
      <c r="CY173" s="863"/>
      <c r="CZ173" s="863"/>
      <c r="DA173" s="863"/>
      <c r="DB173" s="863"/>
      <c r="DC173" s="863"/>
      <c r="DD173" s="863"/>
      <c r="DE173" s="863"/>
      <c r="DF173" s="863"/>
      <c r="DG173" s="863"/>
      <c r="DH173" s="863"/>
      <c r="DI173" s="863"/>
      <c r="DJ173" s="863"/>
      <c r="DK173" s="863"/>
      <c r="DL173" s="863"/>
      <c r="DM173" s="863"/>
      <c r="DN173" s="863"/>
      <c r="DO173" s="863"/>
      <c r="DP173" s="863"/>
      <c r="DQ173" s="863"/>
      <c r="DR173" s="863"/>
      <c r="DS173" s="863"/>
      <c r="DT173" s="863"/>
      <c r="DU173" s="863"/>
      <c r="DV173" s="863"/>
      <c r="DW173" s="863"/>
      <c r="DX173" s="863"/>
      <c r="DY173" s="863"/>
      <c r="DZ173" s="863"/>
      <c r="EA173" s="863"/>
      <c r="EB173" s="863"/>
      <c r="EC173" s="863"/>
      <c r="ED173" s="863"/>
      <c r="EE173" s="863"/>
      <c r="EF173" s="863"/>
      <c r="EG173" s="863"/>
      <c r="EH173" s="863"/>
      <c r="EI173" s="863"/>
      <c r="EJ173" s="863"/>
      <c r="EK173" s="863"/>
      <c r="EL173" s="863"/>
      <c r="EM173" s="863"/>
      <c r="EN173" s="863"/>
      <c r="EO173" s="863"/>
      <c r="EP173" s="863"/>
      <c r="EQ173" s="863"/>
      <c r="ER173" s="863"/>
      <c r="ES173" s="863"/>
      <c r="ET173" s="863"/>
      <c r="EU173" s="863"/>
      <c r="EV173" s="863"/>
      <c r="EW173" s="863"/>
      <c r="EX173" s="863"/>
      <c r="EY173" s="863"/>
      <c r="EZ173" s="863"/>
      <c r="FA173" s="863"/>
      <c r="FB173" s="863"/>
      <c r="FC173" s="863"/>
      <c r="FD173" s="863"/>
      <c r="FE173" s="863"/>
      <c r="FF173" s="863"/>
      <c r="FG173" s="863"/>
      <c r="FH173" s="863"/>
      <c r="FI173" s="863"/>
      <c r="FJ173" s="863"/>
      <c r="FK173" s="863"/>
      <c r="FL173" s="863"/>
      <c r="FM173" s="863"/>
      <c r="FN173" s="863"/>
      <c r="FO173" s="863"/>
    </row>
    <row r="174" spans="1:171">
      <c r="B174" s="419">
        <f t="shared" si="26"/>
        <v>169</v>
      </c>
      <c r="C174" s="528">
        <v>45627</v>
      </c>
      <c r="F174" s="538"/>
      <c r="G174" s="539"/>
      <c r="H174" s="538"/>
      <c r="I174" s="572"/>
      <c r="J174" s="572"/>
      <c r="K174" s="538"/>
      <c r="L174" s="538"/>
      <c r="M174" s="538"/>
      <c r="N174" s="538"/>
      <c r="O174" s="863"/>
      <c r="P174" s="863"/>
      <c r="Q174" s="863"/>
      <c r="R174" s="863"/>
      <c r="S174" s="863"/>
      <c r="T174" s="863"/>
      <c r="U174" s="863"/>
      <c r="V174" s="863"/>
      <c r="W174" s="863"/>
      <c r="X174" s="863"/>
      <c r="Y174" s="863"/>
      <c r="Z174" s="863"/>
      <c r="AA174" s="863"/>
      <c r="AB174" s="863"/>
      <c r="AC174" s="863"/>
      <c r="AD174" s="863"/>
      <c r="AE174" s="863"/>
      <c r="AF174" s="863"/>
      <c r="AG174" s="863"/>
      <c r="AH174" s="863"/>
      <c r="AI174" s="863"/>
      <c r="AJ174" s="863"/>
      <c r="AK174" s="863"/>
      <c r="AL174" s="863"/>
      <c r="AM174" s="863"/>
      <c r="AN174" s="863"/>
      <c r="AO174" s="863"/>
      <c r="AP174" s="863"/>
      <c r="AQ174" s="863"/>
      <c r="AR174" s="863"/>
      <c r="AS174" s="863"/>
      <c r="AT174" s="863"/>
      <c r="AU174" s="863"/>
      <c r="AV174" s="863"/>
      <c r="AW174" s="863"/>
      <c r="AX174" s="863"/>
      <c r="AY174" s="863"/>
      <c r="AZ174" s="863"/>
      <c r="BA174" s="538"/>
    </row>
    <row r="175" spans="1:171">
      <c r="C175" s="325"/>
      <c r="F175" s="538"/>
      <c r="G175" s="539"/>
      <c r="H175" s="538"/>
      <c r="I175" s="572"/>
      <c r="J175" s="572"/>
      <c r="K175" s="538"/>
      <c r="L175" s="538"/>
      <c r="M175" s="538"/>
      <c r="N175" s="573"/>
      <c r="O175" s="864"/>
      <c r="P175" s="864"/>
      <c r="Q175" s="864"/>
      <c r="R175" s="864"/>
      <c r="S175" s="864"/>
      <c r="T175" s="864"/>
      <c r="U175" s="864"/>
      <c r="V175" s="864"/>
      <c r="W175" s="864"/>
      <c r="X175" s="864"/>
      <c r="Y175" s="864"/>
      <c r="Z175" s="864"/>
      <c r="AA175" s="864"/>
      <c r="AB175" s="864"/>
      <c r="AC175" s="864"/>
      <c r="AD175" s="864"/>
      <c r="AE175" s="864"/>
      <c r="AF175" s="864"/>
      <c r="AG175" s="864"/>
      <c r="AH175" s="864"/>
      <c r="AI175" s="864"/>
      <c r="AJ175" s="864"/>
      <c r="AK175" s="864"/>
      <c r="AL175" s="864"/>
      <c r="AM175" s="864"/>
      <c r="AN175" s="864"/>
      <c r="AO175" s="864"/>
      <c r="AP175" s="864"/>
      <c r="AQ175" s="864"/>
      <c r="AR175" s="864"/>
      <c r="AS175" s="864"/>
      <c r="AT175" s="864"/>
      <c r="AU175" s="864"/>
      <c r="AV175" s="864"/>
      <c r="AW175" s="864"/>
      <c r="AX175" s="864"/>
      <c r="AY175" s="864"/>
      <c r="AZ175" s="864"/>
      <c r="BA175" s="573"/>
    </row>
    <row r="176" spans="1:171">
      <c r="F176" s="538"/>
      <c r="G176" s="539"/>
      <c r="H176" s="538"/>
      <c r="I176" s="572"/>
      <c r="J176" s="572"/>
      <c r="K176" s="538"/>
      <c r="L176" s="538"/>
      <c r="M176" s="538"/>
      <c r="N176" s="573"/>
      <c r="O176" s="864"/>
      <c r="P176" s="864"/>
      <c r="Q176" s="864"/>
      <c r="R176" s="864"/>
      <c r="S176" s="864"/>
      <c r="T176" s="864"/>
      <c r="U176" s="864"/>
      <c r="V176" s="864"/>
      <c r="W176" s="864"/>
      <c r="X176" s="864"/>
      <c r="Y176" s="864"/>
      <c r="Z176" s="864"/>
      <c r="AA176" s="864"/>
      <c r="AB176" s="864"/>
      <c r="AC176" s="864"/>
      <c r="AD176" s="864"/>
      <c r="AE176" s="864"/>
      <c r="AF176" s="864"/>
      <c r="AG176" s="864"/>
      <c r="AH176" s="864"/>
      <c r="AI176" s="864"/>
      <c r="AJ176" s="864"/>
      <c r="AK176" s="864"/>
      <c r="AL176" s="864"/>
      <c r="AM176" s="864"/>
      <c r="AN176" s="864"/>
      <c r="AO176" s="864"/>
      <c r="AP176" s="864"/>
      <c r="AQ176" s="864"/>
      <c r="AR176" s="864"/>
      <c r="AS176" s="864"/>
      <c r="AT176" s="864"/>
      <c r="AU176" s="864"/>
      <c r="AV176" s="864"/>
      <c r="AW176" s="864"/>
      <c r="AX176" s="864"/>
      <c r="AY176" s="864"/>
      <c r="AZ176" s="864"/>
      <c r="BA176" s="573"/>
    </row>
    <row r="177" spans="6:53">
      <c r="F177" s="538"/>
      <c r="G177" s="538"/>
      <c r="H177" s="538"/>
      <c r="I177" s="538"/>
      <c r="J177" s="538"/>
      <c r="K177" s="538"/>
      <c r="L177" s="538"/>
      <c r="M177" s="538"/>
      <c r="N177" s="538"/>
      <c r="O177" s="863"/>
      <c r="P177" s="863"/>
      <c r="Q177" s="863"/>
      <c r="R177" s="863"/>
      <c r="S177" s="863"/>
      <c r="T177" s="863"/>
      <c r="U177" s="863"/>
      <c r="V177" s="863"/>
      <c r="W177" s="863"/>
      <c r="X177" s="863"/>
      <c r="Y177" s="863"/>
      <c r="Z177" s="863"/>
      <c r="AA177" s="863"/>
      <c r="AB177" s="863"/>
      <c r="AC177" s="863"/>
      <c r="AD177" s="863"/>
      <c r="AE177" s="863"/>
      <c r="AF177" s="863"/>
      <c r="AG177" s="863"/>
      <c r="AH177" s="863"/>
      <c r="AI177" s="863"/>
      <c r="AJ177" s="863"/>
      <c r="AK177" s="863"/>
      <c r="AL177" s="863"/>
      <c r="AM177" s="863"/>
      <c r="AN177" s="863"/>
      <c r="AO177" s="863"/>
      <c r="AP177" s="863"/>
      <c r="AQ177" s="863"/>
      <c r="AR177" s="863"/>
      <c r="AS177" s="863"/>
      <c r="AT177" s="863"/>
      <c r="AU177" s="863"/>
      <c r="AV177" s="863"/>
      <c r="AW177" s="863"/>
      <c r="AX177" s="863"/>
      <c r="AY177" s="863"/>
      <c r="AZ177" s="863"/>
      <c r="BA177" s="538"/>
    </row>
    <row r="178" spans="6:53">
      <c r="F178" s="320"/>
      <c r="G178" s="320"/>
    </row>
    <row r="197" spans="7:7">
      <c r="G197" s="938"/>
    </row>
  </sheetData>
  <customSheetViews>
    <customSheetView guid="{D2AE56D6-E8AC-4B34-81C8-5074B4320CEA}" scale="60" showPageBreaks="1" fitToPage="1" printArea="1">
      <pane xSplit="16" ySplit="5" topLeftCell="Q78" activePane="bottomRight" state="frozen"/>
      <selection pane="bottomRight" activeCell="X97" sqref="X97"/>
      <pageMargins left="0.7" right="0.7" top="0.75" bottom="0.75" header="0.3" footer="0.3"/>
      <pageSetup scale="59" fitToHeight="0" orientation="landscape" verticalDpi="1200" r:id="rId1"/>
    </customSheetView>
  </customSheetViews>
  <mergeCells count="9">
    <mergeCell ref="C4:N4"/>
    <mergeCell ref="BB3:BE3"/>
    <mergeCell ref="BB4:BE4"/>
    <mergeCell ref="Q3:T3"/>
    <mergeCell ref="Q4:T4"/>
    <mergeCell ref="AC3:AF3"/>
    <mergeCell ref="AC4:AF4"/>
    <mergeCell ref="AP3:AS3"/>
    <mergeCell ref="AP4:AS4"/>
  </mergeCells>
  <phoneticPr fontId="56" type="noConversion"/>
  <pageMargins left="0.7" right="0.7" top="0.75" bottom="0.75" header="0.3" footer="0.3"/>
  <pageSetup scale="58" fitToHeight="0" orientation="landscape" verticalDpi="120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2:I142"/>
  <sheetViews>
    <sheetView topLeftCell="C17" zoomScale="106" zoomScaleNormal="106" zoomScalePageLayoutView="80" workbookViewId="0">
      <selection activeCell="D29" sqref="D29"/>
    </sheetView>
  </sheetViews>
  <sheetFormatPr defaultColWidth="17.140625" defaultRowHeight="15"/>
  <cols>
    <col min="1" max="1" width="3.42578125" style="339" customWidth="1"/>
    <col min="2" max="2" width="18.42578125" style="339" customWidth="1"/>
    <col min="3" max="3" width="145.42578125" style="339" customWidth="1"/>
    <col min="4" max="4" width="21.28515625" style="339" bestFit="1" customWidth="1"/>
    <col min="5" max="5" width="26.28515625" style="339" customWidth="1"/>
    <col min="6" max="16384" width="17.140625" style="339"/>
  </cols>
  <sheetData>
    <row r="2" spans="2:9" ht="23.25" customHeight="1">
      <c r="B2" s="337" t="s">
        <v>245</v>
      </c>
      <c r="C2" s="338"/>
      <c r="D2" s="338"/>
    </row>
    <row r="3" spans="2:9" ht="22.5" customHeight="1">
      <c r="B3" s="1254" t="s">
        <v>110</v>
      </c>
      <c r="C3" s="1254"/>
      <c r="D3" s="340"/>
      <c r="E3" s="340"/>
    </row>
    <row r="4" spans="2:9" ht="18">
      <c r="B4" s="1255" t="s">
        <v>444</v>
      </c>
      <c r="C4" s="1256"/>
    </row>
    <row r="6" spans="2:9">
      <c r="B6" s="341" t="s">
        <v>6</v>
      </c>
      <c r="E6" s="398"/>
    </row>
    <row r="7" spans="2:9" ht="15.75" thickBot="1">
      <c r="B7" s="341"/>
    </row>
    <row r="8" spans="2:9" ht="18.75" thickBot="1">
      <c r="B8" s="339" t="s">
        <v>36</v>
      </c>
      <c r="C8" s="341" t="s">
        <v>40</v>
      </c>
      <c r="D8" s="342">
        <f>(D10-D12)*D14*D16-D18</f>
        <v>0.6620326661620638</v>
      </c>
      <c r="E8" s="397"/>
      <c r="F8" s="343"/>
      <c r="G8" s="463"/>
      <c r="I8" s="344"/>
    </row>
    <row r="9" spans="2:9">
      <c r="B9" s="341"/>
      <c r="D9" s="345"/>
      <c r="E9" s="251"/>
    </row>
    <row r="10" spans="2:9" ht="18">
      <c r="B10" s="339" t="s">
        <v>37</v>
      </c>
      <c r="C10" s="341" t="s">
        <v>39</v>
      </c>
      <c r="D10" s="346">
        <f>D88+D94+D100</f>
        <v>0.90979397192326739</v>
      </c>
      <c r="E10" s="397"/>
    </row>
    <row r="11" spans="2:9">
      <c r="B11" s="341"/>
      <c r="D11" s="345"/>
      <c r="E11" s="251"/>
    </row>
    <row r="12" spans="2:9" ht="18">
      <c r="B12" s="339" t="s">
        <v>38</v>
      </c>
      <c r="C12" s="341" t="s">
        <v>41</v>
      </c>
      <c r="D12" s="346">
        <f>D90+D96+D102</f>
        <v>0.23568429451062581</v>
      </c>
      <c r="E12" s="397"/>
    </row>
    <row r="13" spans="2:9">
      <c r="B13" s="341"/>
      <c r="D13" s="345"/>
    </row>
    <row r="14" spans="2:9" ht="18">
      <c r="B14" s="341" t="s">
        <v>32</v>
      </c>
      <c r="C14" s="341" t="s">
        <v>14</v>
      </c>
      <c r="D14" s="347">
        <v>1</v>
      </c>
    </row>
    <row r="15" spans="2:9">
      <c r="B15" s="341"/>
      <c r="C15" s="341"/>
      <c r="D15" s="460"/>
    </row>
    <row r="16" spans="2:9">
      <c r="B16" s="1" t="s">
        <v>442</v>
      </c>
      <c r="C16" s="1" t="s">
        <v>443</v>
      </c>
      <c r="D16" s="347">
        <v>1</v>
      </c>
    </row>
    <row r="17" spans="2:5">
      <c r="B17" s="341"/>
      <c r="D17" s="345"/>
    </row>
    <row r="18" spans="2:5" ht="18">
      <c r="B18" s="339" t="s">
        <v>34</v>
      </c>
      <c r="C18" s="341" t="s">
        <v>35</v>
      </c>
      <c r="D18" s="348">
        <f>CoreData!F109</f>
        <v>1.2077011250577793E-2</v>
      </c>
      <c r="E18" s="349"/>
    </row>
    <row r="20" spans="2:5">
      <c r="D20" s="345"/>
    </row>
    <row r="21" spans="2:5" ht="15" customHeight="1"/>
    <row r="22" spans="2:5" ht="21" customHeight="1">
      <c r="B22" s="1257" t="s">
        <v>15</v>
      </c>
      <c r="C22" s="1257"/>
    </row>
    <row r="23" spans="2:5" ht="18">
      <c r="B23" s="1259" t="s">
        <v>547</v>
      </c>
      <c r="C23" s="1258"/>
    </row>
    <row r="24" spans="2:5" ht="18">
      <c r="B24" s="1259" t="s">
        <v>649</v>
      </c>
      <c r="C24" s="1258"/>
      <c r="D24" s="350" t="s">
        <v>17</v>
      </c>
      <c r="E24" s="351"/>
    </row>
    <row r="25" spans="2:5" ht="18" customHeight="1">
      <c r="B25" s="1258" t="s">
        <v>648</v>
      </c>
      <c r="C25" s="1258"/>
      <c r="D25" s="352" t="s">
        <v>18</v>
      </c>
      <c r="E25" s="351"/>
    </row>
    <row r="26" spans="2:5" ht="18">
      <c r="B26" s="1258" t="s">
        <v>647</v>
      </c>
      <c r="C26" s="1258"/>
      <c r="D26" s="353" t="s">
        <v>356</v>
      </c>
    </row>
    <row r="27" spans="2:5">
      <c r="B27" s="853" t="s">
        <v>0</v>
      </c>
      <c r="C27" s="852"/>
    </row>
    <row r="28" spans="2:5">
      <c r="B28" s="853"/>
      <c r="C28" s="852"/>
    </row>
    <row r="29" spans="2:5" ht="18">
      <c r="B29" s="852" t="s">
        <v>548</v>
      </c>
      <c r="C29" s="852" t="s">
        <v>543</v>
      </c>
      <c r="D29" s="354">
        <f>(1-D33)*(1-D39)*D37*D45*(D41+D43)</f>
        <v>0.4910055636833654</v>
      </c>
      <c r="E29" s="355"/>
    </row>
    <row r="30" spans="2:5">
      <c r="B30" s="852"/>
      <c r="C30" s="852"/>
      <c r="D30" s="356"/>
      <c r="E30" s="355"/>
    </row>
    <row r="31" spans="2:5" ht="18" customHeight="1">
      <c r="B31" s="852" t="s">
        <v>549</v>
      </c>
      <c r="C31" s="852" t="s">
        <v>543</v>
      </c>
      <c r="D31" s="357">
        <f>(1-D33)*(1-D39)*D37*D47*(D41+D43)</f>
        <v>2.1063567261285165E-2</v>
      </c>
      <c r="E31" s="355"/>
    </row>
    <row r="32" spans="2:5" ht="18" customHeight="1">
      <c r="B32" s="852"/>
      <c r="C32" s="852"/>
      <c r="D32" s="358"/>
      <c r="E32" s="355"/>
    </row>
    <row r="33" spans="2:5" ht="18" customHeight="1">
      <c r="B33" s="852" t="s">
        <v>338</v>
      </c>
      <c r="C33" s="852" t="s">
        <v>339</v>
      </c>
      <c r="D33" s="359">
        <f>CoreData!F68</f>
        <v>5.7500000000000002E-2</v>
      </c>
      <c r="E33" s="355"/>
    </row>
    <row r="34" spans="2:5" ht="18" customHeight="1">
      <c r="B34" s="852"/>
      <c r="C34" s="852"/>
      <c r="D34" s="358"/>
      <c r="E34" s="355"/>
    </row>
    <row r="35" spans="2:5" ht="18" customHeight="1">
      <c r="B35" s="852" t="s">
        <v>550</v>
      </c>
      <c r="C35" s="852" t="s">
        <v>453</v>
      </c>
      <c r="D35" s="461">
        <f>(1-D33)*(1-D39)*D37*D49*(D41+D43)</f>
        <v>1.0268367702891024E-2</v>
      </c>
      <c r="E35" s="355"/>
    </row>
    <row r="36" spans="2:5" ht="15" customHeight="1">
      <c r="B36" s="853"/>
      <c r="C36" s="852"/>
      <c r="D36" s="345"/>
    </row>
    <row r="37" spans="2:5" ht="21.75" customHeight="1">
      <c r="B37" s="853" t="s">
        <v>551</v>
      </c>
      <c r="C37" s="853" t="s">
        <v>1</v>
      </c>
      <c r="D37" s="346">
        <f>CoreData!F64</f>
        <v>1914.18</v>
      </c>
      <c r="E37" s="361"/>
    </row>
    <row r="38" spans="2:5">
      <c r="B38" s="853"/>
      <c r="C38" s="852"/>
      <c r="D38" s="345"/>
    </row>
    <row r="39" spans="2:5" ht="30" customHeight="1">
      <c r="B39" s="853" t="s">
        <v>552</v>
      </c>
      <c r="C39" s="853" t="s">
        <v>2</v>
      </c>
      <c r="D39" s="347">
        <f>CoreData!F66</f>
        <v>0.25969999999999999</v>
      </c>
      <c r="E39" s="362"/>
    </row>
    <row r="40" spans="2:5">
      <c r="B40" s="853"/>
      <c r="C40" s="852"/>
      <c r="D40" s="345"/>
    </row>
    <row r="41" spans="2:5" ht="18">
      <c r="B41" s="853" t="s">
        <v>553</v>
      </c>
      <c r="C41" s="853" t="s">
        <v>3</v>
      </c>
      <c r="D41" s="346">
        <f>CoreData!F40</f>
        <v>1.19</v>
      </c>
      <c r="E41" s="363"/>
    </row>
    <row r="42" spans="2:5">
      <c r="B42" s="853"/>
      <c r="C42" s="852"/>
      <c r="D42" s="345"/>
    </row>
    <row r="43" spans="2:5" ht="18">
      <c r="B43" s="853" t="s">
        <v>554</v>
      </c>
      <c r="C43" s="853" t="s">
        <v>19</v>
      </c>
      <c r="D43" s="346">
        <f>CoreData!F41</f>
        <v>0.55000000000000004</v>
      </c>
    </row>
    <row r="44" spans="2:5">
      <c r="B44" s="853"/>
      <c r="C44" s="852"/>
      <c r="D44" s="364"/>
    </row>
    <row r="45" spans="2:5" ht="30" customHeight="1">
      <c r="B45" s="853" t="s">
        <v>650</v>
      </c>
      <c r="C45" s="853" t="s">
        <v>122</v>
      </c>
      <c r="D45" s="365">
        <f>CoreData!F88</f>
        <v>2.1128335400000001E-4</v>
      </c>
      <c r="E45" s="364"/>
    </row>
    <row r="46" spans="2:5">
      <c r="B46" s="853"/>
      <c r="C46" s="852"/>
      <c r="D46" s="364"/>
    </row>
    <row r="47" spans="2:5" ht="30">
      <c r="B47" s="853" t="s">
        <v>651</v>
      </c>
      <c r="C47" s="853" t="s">
        <v>16</v>
      </c>
      <c r="D47" s="366">
        <f>CoreData!F91</f>
        <v>9.0638100000000002E-6</v>
      </c>
      <c r="E47" s="364"/>
    </row>
    <row r="48" spans="2:5">
      <c r="B48" s="853"/>
      <c r="C48" s="852"/>
    </row>
    <row r="49" spans="2:6" ht="30">
      <c r="B49" s="853" t="s">
        <v>555</v>
      </c>
      <c r="C49" s="853" t="s">
        <v>546</v>
      </c>
      <c r="D49" s="367">
        <f>CoreData!F94</f>
        <v>4.4185551627906986E-6</v>
      </c>
    </row>
    <row r="50" spans="2:6" ht="15" customHeight="1">
      <c r="B50" s="853"/>
      <c r="C50" s="852"/>
    </row>
    <row r="51" spans="2:6" ht="19.5" customHeight="1">
      <c r="B51" s="1257" t="s">
        <v>5</v>
      </c>
      <c r="C51" s="1257"/>
    </row>
    <row r="52" spans="2:6" ht="18">
      <c r="B52" s="1256" t="s">
        <v>23</v>
      </c>
      <c r="C52" s="1256"/>
    </row>
    <row r="53" spans="2:6" ht="18">
      <c r="B53" s="1263" t="s">
        <v>652</v>
      </c>
      <c r="C53" s="1256"/>
    </row>
    <row r="54" spans="2:6" ht="18">
      <c r="B54" s="1263" t="s">
        <v>653</v>
      </c>
      <c r="C54" s="1256"/>
    </row>
    <row r="55" spans="2:6" ht="18">
      <c r="B55" s="1259" t="s">
        <v>541</v>
      </c>
      <c r="C55" s="1259"/>
      <c r="E55" s="851"/>
      <c r="F55" s="851"/>
    </row>
    <row r="56" spans="2:6">
      <c r="B56" s="341" t="s">
        <v>6</v>
      </c>
    </row>
    <row r="57" spans="2:6">
      <c r="B57" s="341"/>
    </row>
    <row r="58" spans="2:6" ht="18" customHeight="1">
      <c r="B58" s="341" t="s">
        <v>46</v>
      </c>
      <c r="C58" s="341" t="s">
        <v>7</v>
      </c>
      <c r="D58" s="368">
        <f>(1-D66)*D64*D72*(D68+D70)</f>
        <v>0.14738811232023688</v>
      </c>
      <c r="E58" s="363"/>
    </row>
    <row r="59" spans="2:6">
      <c r="B59" s="341"/>
      <c r="C59" s="341"/>
      <c r="D59" s="363"/>
      <c r="E59" s="363"/>
    </row>
    <row r="60" spans="2:6" ht="18" customHeight="1">
      <c r="B60" s="341" t="s">
        <v>48</v>
      </c>
      <c r="C60" s="341" t="s">
        <v>7</v>
      </c>
      <c r="D60" s="369">
        <f>(1-D66)*D64*D74*(D68+D70)</f>
        <v>1.7733295484752324E-3</v>
      </c>
      <c r="E60" s="363"/>
    </row>
    <row r="61" spans="2:6" ht="18" customHeight="1">
      <c r="B61" s="341"/>
      <c r="C61" s="341"/>
      <c r="D61" s="370"/>
      <c r="E61" s="363"/>
    </row>
    <row r="62" spans="2:6" ht="18" customHeight="1">
      <c r="B62" s="399" t="s">
        <v>542</v>
      </c>
      <c r="C62" s="399" t="s">
        <v>7</v>
      </c>
      <c r="D62" s="371">
        <f>(1-D66)*D64*D76*(D68+D70)</f>
        <v>3.5701093489740035E-3</v>
      </c>
      <c r="E62" s="363"/>
    </row>
    <row r="63" spans="2:6">
      <c r="B63" s="341"/>
    </row>
    <row r="64" spans="2:6" ht="18">
      <c r="B64" s="341" t="s">
        <v>24</v>
      </c>
      <c r="C64" s="341" t="s">
        <v>1</v>
      </c>
      <c r="D64" s="372">
        <f>CoreData!F64</f>
        <v>1914.18</v>
      </c>
      <c r="E64" s="361"/>
    </row>
    <row r="65" spans="2:5">
      <c r="B65" s="341"/>
    </row>
    <row r="66" spans="2:5" ht="27.75" customHeight="1">
      <c r="B66" s="341" t="s">
        <v>25</v>
      </c>
      <c r="C66" s="341" t="s">
        <v>26</v>
      </c>
      <c r="D66" s="373">
        <f>CoreData!F66</f>
        <v>0.25969999999999999</v>
      </c>
      <c r="E66" s="362"/>
    </row>
    <row r="67" spans="2:5" ht="15" customHeight="1">
      <c r="B67" s="341"/>
    </row>
    <row r="68" spans="2:5" ht="18">
      <c r="B68" s="341" t="s">
        <v>22</v>
      </c>
      <c r="C68" s="341" t="s">
        <v>4</v>
      </c>
      <c r="D68" s="374">
        <f>CoreData!F72</f>
        <v>0.55000000000000004</v>
      </c>
    </row>
    <row r="69" spans="2:5" ht="15" customHeight="1">
      <c r="B69" s="341"/>
    </row>
    <row r="70" spans="2:5" ht="18">
      <c r="B70" s="341" t="s">
        <v>27</v>
      </c>
      <c r="C70" s="341" t="s">
        <v>8</v>
      </c>
      <c r="D70" s="375">
        <f>CoreData!F74</f>
        <v>0.03</v>
      </c>
    </row>
    <row r="71" spans="2:5">
      <c r="B71" s="341"/>
    </row>
    <row r="72" spans="2:5" ht="30">
      <c r="B72" s="987" t="s">
        <v>643</v>
      </c>
      <c r="C72" s="341" t="s">
        <v>9</v>
      </c>
      <c r="D72" s="365">
        <f>CoreData!F89</f>
        <v>1.7932628000000002E-4</v>
      </c>
      <c r="E72" s="364"/>
    </row>
    <row r="73" spans="2:5">
      <c r="B73" s="341"/>
      <c r="C73" s="419"/>
    </row>
    <row r="74" spans="2:5" ht="30">
      <c r="B74" s="987" t="s">
        <v>642</v>
      </c>
      <c r="C74" s="399" t="s">
        <v>544</v>
      </c>
      <c r="D74" s="366">
        <f>CoreData!F92</f>
        <v>2.1576000000000003E-6</v>
      </c>
      <c r="E74" s="364"/>
    </row>
    <row r="75" spans="2:5">
      <c r="B75" s="341"/>
      <c r="C75" s="852"/>
    </row>
    <row r="76" spans="2:5" ht="18">
      <c r="B76" s="399" t="s">
        <v>412</v>
      </c>
      <c r="C76" s="853" t="s">
        <v>545</v>
      </c>
      <c r="D76" s="376">
        <f>CoreData!F95</f>
        <v>4.343731788583511E-6</v>
      </c>
    </row>
    <row r="77" spans="2:5">
      <c r="B77" s="341"/>
    </row>
    <row r="78" spans="2:5">
      <c r="B78" s="1257" t="s">
        <v>10</v>
      </c>
      <c r="C78" s="1257"/>
    </row>
    <row r="79" spans="2:5" ht="18">
      <c r="B79" s="1256" t="s">
        <v>54</v>
      </c>
      <c r="C79" s="1256"/>
    </row>
    <row r="80" spans="2:5" ht="18">
      <c r="B80" s="1256" t="s">
        <v>55</v>
      </c>
      <c r="C80" s="1256"/>
    </row>
    <row r="81" spans="2:5" ht="18">
      <c r="B81" s="1259" t="s">
        <v>429</v>
      </c>
      <c r="C81" s="1259"/>
    </row>
    <row r="82" spans="2:5" ht="18">
      <c r="B82" s="1259" t="s">
        <v>447</v>
      </c>
      <c r="C82" s="1259"/>
    </row>
    <row r="83" spans="2:5" ht="18">
      <c r="B83" s="1259" t="s">
        <v>430</v>
      </c>
      <c r="C83" s="1259"/>
    </row>
    <row r="84" spans="2:5" ht="18">
      <c r="B84" s="1259" t="s">
        <v>431</v>
      </c>
      <c r="C84" s="1259"/>
    </row>
    <row r="85" spans="2:5">
      <c r="B85" s="341"/>
    </row>
    <row r="86" spans="2:5">
      <c r="B86" s="341" t="s">
        <v>0</v>
      </c>
    </row>
    <row r="87" spans="2:5">
      <c r="B87" s="341"/>
    </row>
    <row r="88" spans="2:5" ht="18">
      <c r="B88" s="341" t="s">
        <v>43</v>
      </c>
      <c r="C88" s="341" t="s">
        <v>28</v>
      </c>
      <c r="D88" s="354">
        <f>D92*((D106*D113)+D116)*D110</f>
        <v>0.69918210257383873</v>
      </c>
      <c r="E88" s="355"/>
    </row>
    <row r="89" spans="2:5">
      <c r="B89" s="341"/>
      <c r="D89" s="345"/>
    </row>
    <row r="90" spans="2:5" ht="18">
      <c r="B90" s="339" t="s">
        <v>44</v>
      </c>
      <c r="C90" s="341" t="s">
        <v>33</v>
      </c>
      <c r="D90" s="354">
        <f>D58*(((D106*D113)+D116)*D110)</f>
        <v>0.20987772418177095</v>
      </c>
      <c r="E90" s="355"/>
    </row>
    <row r="91" spans="2:5">
      <c r="B91" s="341"/>
      <c r="D91" s="345"/>
    </row>
    <row r="92" spans="2:5" ht="18">
      <c r="B92" s="341" t="s">
        <v>45</v>
      </c>
      <c r="C92" s="341" t="s">
        <v>11</v>
      </c>
      <c r="D92" s="377">
        <f>D29</f>
        <v>0.4910055636833654</v>
      </c>
      <c r="E92" s="343"/>
    </row>
    <row r="93" spans="2:5">
      <c r="B93" s="341"/>
      <c r="C93" s="341"/>
      <c r="D93" s="345"/>
    </row>
    <row r="94" spans="2:5" ht="18">
      <c r="B94" s="341" t="s">
        <v>49</v>
      </c>
      <c r="C94" s="341" t="s">
        <v>28</v>
      </c>
      <c r="D94" s="378">
        <f>D31*((D106*D113)+D116)*D110*CoreData!F23</f>
        <v>0.17996459105234913</v>
      </c>
      <c r="E94" s="317"/>
    </row>
    <row r="95" spans="2:5">
      <c r="B95" s="341"/>
      <c r="D95" s="345"/>
    </row>
    <row r="96" spans="2:5" ht="18">
      <c r="B96" s="339" t="s">
        <v>50</v>
      </c>
      <c r="C96" s="341" t="s">
        <v>33</v>
      </c>
      <c r="D96" s="357">
        <f>D60*((D106*D113)+D116)*D110*CoreData!F23</f>
        <v>1.5151114862626571E-2</v>
      </c>
      <c r="E96" s="318"/>
    </row>
    <row r="97" spans="2:6">
      <c r="B97" s="341"/>
      <c r="D97" s="345"/>
    </row>
    <row r="98" spans="2:6" ht="18">
      <c r="B98" s="341" t="s">
        <v>51</v>
      </c>
      <c r="C98" s="341" t="s">
        <v>11</v>
      </c>
      <c r="D98" s="378">
        <f>D31</f>
        <v>2.1063567261285165E-2</v>
      </c>
      <c r="E98" s="343"/>
    </row>
    <row r="99" spans="2:6">
      <c r="B99" s="341"/>
      <c r="C99" s="341"/>
      <c r="D99" s="345"/>
      <c r="E99" s="343"/>
    </row>
    <row r="100" spans="2:6" ht="18">
      <c r="B100" s="399" t="s">
        <v>357</v>
      </c>
      <c r="C100" s="399" t="s">
        <v>432</v>
      </c>
      <c r="D100" s="379">
        <f>D104*((D108*D128)+D130)*D125</f>
        <v>3.0647278297079635E-2</v>
      </c>
      <c r="E100" s="343"/>
    </row>
    <row r="101" spans="2:6">
      <c r="B101" s="399"/>
      <c r="C101" s="399"/>
      <c r="D101" s="345"/>
      <c r="E101" s="343"/>
    </row>
    <row r="102" spans="2:6" ht="18">
      <c r="B102" s="399" t="s">
        <v>358</v>
      </c>
      <c r="C102" s="399" t="s">
        <v>433</v>
      </c>
      <c r="D102" s="379">
        <f>D62*((D108*D128)+D130)*D125</f>
        <v>1.0655455466228281E-2</v>
      </c>
      <c r="F102" s="343"/>
    </row>
    <row r="103" spans="2:6">
      <c r="B103" s="399"/>
      <c r="C103" s="399"/>
      <c r="D103" s="345"/>
      <c r="E103" s="343"/>
    </row>
    <row r="104" spans="2:6" ht="18">
      <c r="B104" s="399" t="s">
        <v>434</v>
      </c>
      <c r="C104" s="399" t="s">
        <v>359</v>
      </c>
      <c r="D104" s="379">
        <f>D35</f>
        <v>1.0268367702891024E-2</v>
      </c>
      <c r="E104" s="343"/>
    </row>
    <row r="105" spans="2:6">
      <c r="B105" s="399"/>
      <c r="C105" s="399"/>
      <c r="D105" s="345"/>
      <c r="E105" s="343"/>
    </row>
    <row r="106" spans="2:6" ht="18">
      <c r="B106" s="399" t="s">
        <v>435</v>
      </c>
      <c r="C106" s="399" t="s">
        <v>12</v>
      </c>
      <c r="D106" s="380">
        <f>CoreData!F97</f>
        <v>0.77</v>
      </c>
      <c r="E106" s="381"/>
    </row>
    <row r="107" spans="2:6">
      <c r="B107" s="399"/>
      <c r="C107" s="399"/>
      <c r="D107" s="381"/>
      <c r="E107" s="381"/>
    </row>
    <row r="108" spans="2:6" ht="24.75" customHeight="1">
      <c r="B108" s="458" t="s">
        <v>436</v>
      </c>
      <c r="C108" s="439" t="s">
        <v>361</v>
      </c>
      <c r="D108" s="473">
        <f>CoreData!F132</f>
        <v>1</v>
      </c>
      <c r="E108" s="381"/>
    </row>
    <row r="109" spans="2:6">
      <c r="B109" s="341"/>
    </row>
    <row r="110" spans="2:6" ht="18">
      <c r="B110" s="341" t="s">
        <v>52</v>
      </c>
      <c r="C110" s="1260" t="s">
        <v>13</v>
      </c>
      <c r="D110" s="1261">
        <f>CoreData!F99</f>
        <v>1.4999999999999999E-2</v>
      </c>
      <c r="E110" s="370"/>
    </row>
    <row r="111" spans="2:6" ht="18">
      <c r="B111" s="341" t="s">
        <v>61</v>
      </c>
      <c r="C111" s="1260"/>
      <c r="D111" s="1262"/>
      <c r="E111" s="370"/>
    </row>
    <row r="112" spans="2:6">
      <c r="B112" s="341"/>
      <c r="D112" s="383"/>
    </row>
    <row r="113" spans="2:5" ht="18">
      <c r="B113" s="341" t="s">
        <v>58</v>
      </c>
      <c r="C113" s="1260" t="s">
        <v>30</v>
      </c>
      <c r="D113" s="1261">
        <f>CoreData!F103</f>
        <v>112</v>
      </c>
      <c r="E113" s="384"/>
    </row>
    <row r="114" spans="2:5" ht="18">
      <c r="B114" s="341" t="s">
        <v>59</v>
      </c>
      <c r="C114" s="1260"/>
      <c r="D114" s="1262"/>
      <c r="E114" s="384"/>
    </row>
    <row r="115" spans="2:5">
      <c r="B115" s="341"/>
      <c r="D115" s="383"/>
    </row>
    <row r="116" spans="2:5" ht="18">
      <c r="B116" s="341" t="s">
        <v>53</v>
      </c>
      <c r="C116" s="1260" t="s">
        <v>31</v>
      </c>
      <c r="D116" s="1261">
        <f>CoreData!F104</f>
        <v>8.6920000000000002</v>
      </c>
      <c r="E116" s="370"/>
    </row>
    <row r="117" spans="2:5" ht="18">
      <c r="B117" s="341" t="s">
        <v>60</v>
      </c>
      <c r="C117" s="1260"/>
      <c r="D117" s="1262"/>
      <c r="E117" s="370"/>
    </row>
    <row r="118" spans="2:5">
      <c r="B118" s="341"/>
      <c r="D118" s="385"/>
    </row>
    <row r="119" spans="2:5" ht="36">
      <c r="B119" s="311" t="s">
        <v>428</v>
      </c>
      <c r="C119" s="459" t="s">
        <v>415</v>
      </c>
      <c r="D119" s="474">
        <f>CoreData!F106</f>
        <v>112</v>
      </c>
      <c r="E119" s="387"/>
    </row>
    <row r="120" spans="2:5">
      <c r="B120" s="311"/>
      <c r="C120" s="459"/>
      <c r="D120" s="388"/>
      <c r="E120" s="387"/>
    </row>
    <row r="121" spans="2:5" ht="40.5" customHeight="1">
      <c r="B121" s="311" t="s">
        <v>355</v>
      </c>
      <c r="C121" s="459" t="s">
        <v>413</v>
      </c>
      <c r="D121" s="474">
        <f>CoreData!F107</f>
        <v>5.298</v>
      </c>
      <c r="E121" s="387"/>
    </row>
    <row r="122" spans="2:5" ht="11.25" customHeight="1">
      <c r="B122" s="399"/>
      <c r="C122" s="419"/>
      <c r="D122" s="389"/>
    </row>
    <row r="123" spans="2:5" ht="36">
      <c r="B123" s="311" t="s">
        <v>416</v>
      </c>
      <c r="C123" s="459" t="s">
        <v>351</v>
      </c>
      <c r="D123" s="390">
        <f>CoreData!F101</f>
        <v>2.9499999999999998E-2</v>
      </c>
      <c r="E123" s="391"/>
    </row>
    <row r="124" spans="2:5">
      <c r="B124" s="311"/>
      <c r="C124" s="459"/>
      <c r="D124" s="387"/>
      <c r="E124" s="391"/>
    </row>
    <row r="125" spans="2:5" ht="36">
      <c r="B125" s="458" t="s">
        <v>437</v>
      </c>
      <c r="C125" s="439" t="s">
        <v>381</v>
      </c>
      <c r="D125" s="392">
        <f>CoreData!F129</f>
        <v>4.7300000000000002E-2</v>
      </c>
      <c r="E125" s="382"/>
    </row>
    <row r="126" spans="2:5">
      <c r="B126" s="386"/>
      <c r="C126" s="387"/>
      <c r="D126" s="393"/>
      <c r="E126" s="391"/>
    </row>
    <row r="127" spans="2:5">
      <c r="B127" s="386"/>
      <c r="C127" s="387"/>
      <c r="D127" s="393"/>
      <c r="E127" s="391"/>
    </row>
    <row r="128" spans="2:5" ht="43.5" customHeight="1">
      <c r="B128" s="458" t="s">
        <v>438</v>
      </c>
      <c r="C128" s="394" t="s">
        <v>409</v>
      </c>
      <c r="D128" s="475">
        <f>CoreData!F124</f>
        <v>63.1</v>
      </c>
      <c r="E128" s="391"/>
    </row>
    <row r="129" spans="2:5">
      <c r="B129" s="386"/>
      <c r="C129" s="387"/>
      <c r="D129" s="393"/>
      <c r="E129" s="391"/>
    </row>
    <row r="130" spans="2:5" ht="45.75" customHeight="1">
      <c r="B130" s="458" t="s">
        <v>439</v>
      </c>
      <c r="C130" s="394" t="s">
        <v>410</v>
      </c>
      <c r="D130" s="395">
        <f>CoreData!F126</f>
        <v>0</v>
      </c>
      <c r="E130" s="391"/>
    </row>
    <row r="133" spans="2:5" ht="19.5">
      <c r="C133" s="313" t="s">
        <v>441</v>
      </c>
    </row>
    <row r="135" spans="2:5">
      <c r="B135" s="360"/>
      <c r="C135" s="360"/>
    </row>
    <row r="136" spans="2:5" ht="14.25" customHeight="1">
      <c r="B136" s="360"/>
      <c r="C136" s="360"/>
      <c r="E136" s="396"/>
    </row>
    <row r="137" spans="2:5" ht="18" customHeight="1">
      <c r="B137" s="417" t="s">
        <v>362</v>
      </c>
      <c r="C137" s="439" t="s">
        <v>440</v>
      </c>
      <c r="D137" s="462">
        <f>CoreData!F117</f>
        <v>714.96</v>
      </c>
      <c r="E137" s="360"/>
    </row>
    <row r="138" spans="2:5">
      <c r="B138" s="417" t="s">
        <v>364</v>
      </c>
      <c r="C138" s="439" t="s">
        <v>365</v>
      </c>
      <c r="D138" s="339">
        <f>CoreData!F118</f>
        <v>4.1859999999999999</v>
      </c>
      <c r="E138" s="343"/>
    </row>
    <row r="139" spans="2:5">
      <c r="B139" s="417" t="s">
        <v>366</v>
      </c>
      <c r="C139" s="439" t="s">
        <v>367</v>
      </c>
      <c r="D139" s="339">
        <f>CoreData!F119</f>
        <v>100</v>
      </c>
    </row>
    <row r="140" spans="2:5">
      <c r="B140" s="417" t="s">
        <v>368</v>
      </c>
      <c r="C140" s="439" t="s">
        <v>369</v>
      </c>
      <c r="D140" s="339">
        <f>CoreData!F120</f>
        <v>20</v>
      </c>
      <c r="E140" s="343"/>
    </row>
    <row r="141" spans="2:5">
      <c r="B141" s="417" t="s">
        <v>370</v>
      </c>
      <c r="C141" s="439" t="s">
        <v>371</v>
      </c>
      <c r="D141" s="339">
        <f>CoreData!F121</f>
        <v>2260</v>
      </c>
    </row>
    <row r="142" spans="2:5">
      <c r="B142" s="417" t="s">
        <v>372</v>
      </c>
      <c r="C142" s="439" t="s">
        <v>199</v>
      </c>
      <c r="D142" s="339">
        <f>CoreData!F122</f>
        <v>0.5</v>
      </c>
      <c r="E142" s="362"/>
    </row>
  </sheetData>
  <sheetProtection selectLockedCells="1"/>
  <customSheetViews>
    <customSheetView guid="{D2AE56D6-E8AC-4B34-81C8-5074B4320CEA}" scale="90" showPageBreaks="1" fitToPage="1" printArea="1" topLeftCell="A40">
      <selection activeCell="D31" sqref="D31"/>
      <pageMargins left="0.7" right="0.7" top="0.75" bottom="0.75" header="0.3" footer="0.3"/>
      <pageSetup scale="76" fitToWidth="2" fitToHeight="0" orientation="landscape" r:id="rId1"/>
    </customSheetView>
  </customSheetViews>
  <mergeCells count="25">
    <mergeCell ref="B26:C26"/>
    <mergeCell ref="B55:C55"/>
    <mergeCell ref="B83:C83"/>
    <mergeCell ref="B84:C84"/>
    <mergeCell ref="B82:C82"/>
    <mergeCell ref="B78:C78"/>
    <mergeCell ref="B54:C54"/>
    <mergeCell ref="B51:C51"/>
    <mergeCell ref="B52:C52"/>
    <mergeCell ref="B81:C81"/>
    <mergeCell ref="B80:C80"/>
    <mergeCell ref="B79:C79"/>
    <mergeCell ref="B53:C53"/>
    <mergeCell ref="C110:C111"/>
    <mergeCell ref="D110:D111"/>
    <mergeCell ref="C113:C114"/>
    <mergeCell ref="D113:D114"/>
    <mergeCell ref="C116:C117"/>
    <mergeCell ref="D116:D117"/>
    <mergeCell ref="B3:C3"/>
    <mergeCell ref="B4:C4"/>
    <mergeCell ref="B22:C22"/>
    <mergeCell ref="B25:C25"/>
    <mergeCell ref="B23:C23"/>
    <mergeCell ref="B24:C24"/>
  </mergeCells>
  <phoneticPr fontId="56" type="noConversion"/>
  <pageMargins left="0.7" right="0.7" top="0.75" bottom="0.75" header="0.3" footer="0.3"/>
  <pageSetup scale="75" fitToWidth="2" fitToHeight="0" orientation="landscape" r:id="rId2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2:U174"/>
  <sheetViews>
    <sheetView zoomScale="60" zoomScaleNormal="6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4" sqref="B4"/>
    </sheetView>
  </sheetViews>
  <sheetFormatPr defaultColWidth="9.140625" defaultRowHeight="15"/>
  <cols>
    <col min="1" max="1" width="2.7109375" style="38" customWidth="1"/>
    <col min="2" max="2" width="10.140625" style="38" bestFit="1" customWidth="1"/>
    <col min="3" max="3" width="12.140625" style="38" bestFit="1" customWidth="1"/>
    <col min="4" max="4" width="10" style="38" customWidth="1"/>
    <col min="5" max="5" width="14.28515625" style="38" customWidth="1"/>
    <col min="6" max="6" width="12.7109375" style="38" customWidth="1"/>
    <col min="7" max="7" width="13.42578125" style="38" customWidth="1"/>
    <col min="8" max="8" width="4.7109375" style="38" customWidth="1"/>
    <col min="9" max="9" width="12" style="38" customWidth="1"/>
    <col min="10" max="11" width="9.140625" style="38"/>
    <col min="12" max="12" width="4.85546875" style="38" customWidth="1"/>
    <col min="13" max="13" width="8.85546875" style="38" customWidth="1"/>
    <col min="14" max="14" width="20.140625" style="38" customWidth="1"/>
    <col min="15" max="15" width="19.42578125" style="38" customWidth="1"/>
    <col min="16" max="16" width="24.42578125" style="38" customWidth="1"/>
    <col min="17" max="17" width="17" style="38" customWidth="1"/>
    <col min="18" max="18" width="14.140625" style="38" customWidth="1"/>
    <col min="19" max="19" width="13.7109375" style="38" customWidth="1"/>
    <col min="20" max="20" width="18.42578125" style="38" customWidth="1"/>
    <col min="21" max="21" width="20.85546875" style="38" customWidth="1"/>
    <col min="22" max="16384" width="9.140625" style="38"/>
  </cols>
  <sheetData>
    <row r="2" spans="2:21" ht="21">
      <c r="B2" s="262" t="s">
        <v>345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2:21" ht="47.25" customHeight="1">
      <c r="B3" s="1264" t="s">
        <v>798</v>
      </c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64"/>
      <c r="Q3" s="1264"/>
      <c r="R3" s="1264"/>
      <c r="S3" s="1264"/>
    </row>
    <row r="4" spans="2:21" ht="15.75" thickBot="1"/>
    <row r="5" spans="2:21" ht="15.75" thickBot="1">
      <c r="B5" s="265" t="s">
        <v>145</v>
      </c>
      <c r="C5" s="266"/>
      <c r="D5" s="267"/>
      <c r="E5" s="268"/>
      <c r="F5" s="268"/>
      <c r="G5" s="268"/>
      <c r="H5" s="240"/>
      <c r="I5" s="48"/>
      <c r="J5" s="48"/>
      <c r="K5" s="48"/>
      <c r="L5" s="48"/>
      <c r="M5" s="48"/>
      <c r="P5" s="476" t="s">
        <v>456</v>
      </c>
    </row>
    <row r="6" spans="2:21" ht="60.75" thickBot="1">
      <c r="B6" s="52" t="s">
        <v>90</v>
      </c>
      <c r="C6" s="53"/>
      <c r="D6" s="54" t="s">
        <v>92</v>
      </c>
      <c r="E6" s="54" t="s">
        <v>146</v>
      </c>
      <c r="F6" s="54" t="s">
        <v>146</v>
      </c>
      <c r="G6" s="55" t="s">
        <v>147</v>
      </c>
      <c r="H6" s="241"/>
      <c r="I6" s="269" t="s">
        <v>337</v>
      </c>
      <c r="J6" s="270" t="s">
        <v>148</v>
      </c>
      <c r="K6" s="271" t="s">
        <v>141</v>
      </c>
      <c r="L6" s="238"/>
      <c r="M6" s="272" t="s">
        <v>337</v>
      </c>
      <c r="N6" s="273" t="s">
        <v>156</v>
      </c>
      <c r="O6" s="531"/>
      <c r="P6" s="274" t="s">
        <v>157</v>
      </c>
      <c r="Q6" s="275" t="s">
        <v>158</v>
      </c>
      <c r="R6" s="276" t="s">
        <v>159</v>
      </c>
      <c r="T6" s="560" t="s">
        <v>488</v>
      </c>
      <c r="U6" s="559" t="s">
        <v>487</v>
      </c>
    </row>
    <row r="7" spans="2:21">
      <c r="B7" s="535">
        <f>Units_month!C6</f>
        <v>40513</v>
      </c>
      <c r="C7" s="535">
        <f>Units_month!D6</f>
        <v>40543</v>
      </c>
      <c r="D7" s="46">
        <f>Units_month!E6</f>
        <v>3929</v>
      </c>
      <c r="E7" s="46"/>
      <c r="F7" s="46"/>
      <c r="G7" s="47">
        <f>D7</f>
        <v>3929</v>
      </c>
      <c r="H7" s="49"/>
      <c r="I7" s="49">
        <v>1</v>
      </c>
      <c r="J7" s="56" t="s">
        <v>149</v>
      </c>
      <c r="K7" s="197">
        <f>US_Survey!D9</f>
        <v>0.97199999999999998</v>
      </c>
      <c r="L7" s="236"/>
      <c r="N7" s="1265" t="s">
        <v>330</v>
      </c>
      <c r="O7" s="1266"/>
      <c r="P7" s="1266"/>
      <c r="Q7" s="1266"/>
      <c r="R7" s="1267"/>
      <c r="T7" s="561" t="s">
        <v>330</v>
      </c>
      <c r="U7" s="568">
        <f>R12</f>
        <v>0.75931861663936573</v>
      </c>
    </row>
    <row r="8" spans="2:21">
      <c r="B8" s="535">
        <f>Units_month!C7</f>
        <v>40544</v>
      </c>
      <c r="C8" s="535">
        <f>Units_month!D7</f>
        <v>40574</v>
      </c>
      <c r="D8" s="46">
        <f>Units_month!E7</f>
        <v>1219</v>
      </c>
      <c r="E8" s="46"/>
      <c r="F8" s="46"/>
      <c r="G8" s="47">
        <f>G7+D8</f>
        <v>5148</v>
      </c>
      <c r="H8" s="49"/>
      <c r="I8" s="49">
        <v>2</v>
      </c>
      <c r="J8" s="57" t="s">
        <v>150</v>
      </c>
      <c r="K8" s="197">
        <f>US_Survey!E9</f>
        <v>0.81100000000000005</v>
      </c>
      <c r="L8" s="236"/>
      <c r="M8" s="38">
        <v>1</v>
      </c>
      <c r="N8" s="534">
        <v>43070</v>
      </c>
      <c r="O8" s="534">
        <v>43465</v>
      </c>
      <c r="P8" s="536">
        <v>0.15291517801481558</v>
      </c>
      <c r="Q8" s="218">
        <v>0.13808240574737848</v>
      </c>
      <c r="R8" s="220"/>
      <c r="S8" s="244"/>
      <c r="T8" s="561" t="s">
        <v>331</v>
      </c>
      <c r="U8" s="1132">
        <f>R18</f>
        <v>0.8261992527019878</v>
      </c>
    </row>
    <row r="9" spans="2:21">
      <c r="B9" s="535">
        <f>Units_month!C8</f>
        <v>40575</v>
      </c>
      <c r="C9" s="535">
        <f>Units_month!D8</f>
        <v>40602</v>
      </c>
      <c r="D9" s="46">
        <f>Units_month!E8</f>
        <v>4260</v>
      </c>
      <c r="E9" s="46"/>
      <c r="F9" s="46"/>
      <c r="G9" s="63">
        <f t="shared" ref="G9:G72" si="0">G8+D9</f>
        <v>9408</v>
      </c>
      <c r="H9" s="239"/>
      <c r="I9" s="49">
        <v>3</v>
      </c>
      <c r="J9" s="56" t="s">
        <v>151</v>
      </c>
      <c r="K9" s="198">
        <f>US_Survey!F9</f>
        <v>0.75</v>
      </c>
      <c r="L9" s="236"/>
      <c r="M9" s="38">
        <v>2</v>
      </c>
      <c r="N9" s="534">
        <v>42705</v>
      </c>
      <c r="O9" s="537">
        <v>43069</v>
      </c>
      <c r="P9" s="536">
        <v>0.21527303057271716</v>
      </c>
      <c r="Q9" s="218">
        <v>0.17092678627473742</v>
      </c>
      <c r="R9" s="220"/>
      <c r="T9" s="561" t="s">
        <v>332</v>
      </c>
      <c r="U9" s="940">
        <f>R24</f>
        <v>0.8318481316963624</v>
      </c>
    </row>
    <row r="10" spans="2:21">
      <c r="B10" s="535">
        <f>Units_month!C9</f>
        <v>40603</v>
      </c>
      <c r="C10" s="535">
        <f>Units_month!D9</f>
        <v>40633</v>
      </c>
      <c r="D10" s="46">
        <f>Units_month!E9</f>
        <v>1667</v>
      </c>
      <c r="E10" s="46"/>
      <c r="F10" s="46"/>
      <c r="G10" s="63">
        <f t="shared" si="0"/>
        <v>11075</v>
      </c>
      <c r="H10" s="239"/>
      <c r="I10" s="49">
        <v>4</v>
      </c>
      <c r="J10" s="56" t="s">
        <v>152</v>
      </c>
      <c r="K10" s="198">
        <f>US_Survey!G9</f>
        <v>0.80600000000000005</v>
      </c>
      <c r="L10" s="236"/>
      <c r="M10" s="38">
        <v>3</v>
      </c>
      <c r="N10" s="534">
        <v>42339</v>
      </c>
      <c r="O10" s="534">
        <v>42704</v>
      </c>
      <c r="P10" s="536">
        <v>0.22668781949585756</v>
      </c>
      <c r="Q10" s="218">
        <v>0.14576026793583641</v>
      </c>
      <c r="R10" s="220"/>
      <c r="T10" s="561" t="s">
        <v>333</v>
      </c>
      <c r="U10" s="568">
        <f>R30</f>
        <v>0.84012342119072481</v>
      </c>
    </row>
    <row r="11" spans="2:21">
      <c r="B11" s="535">
        <f>Units_month!C10</f>
        <v>40634</v>
      </c>
      <c r="C11" s="535">
        <f>Units_month!D10</f>
        <v>40663</v>
      </c>
      <c r="D11" s="46">
        <f>Units_month!E10</f>
        <v>1135</v>
      </c>
      <c r="E11" s="46"/>
      <c r="F11" s="46"/>
      <c r="G11" s="63">
        <f t="shared" si="0"/>
        <v>12210</v>
      </c>
      <c r="H11" s="239"/>
      <c r="I11" s="49">
        <v>5</v>
      </c>
      <c r="J11" s="56" t="s">
        <v>153</v>
      </c>
      <c r="K11" s="198">
        <f>US_Survey!H9</f>
        <v>0.82899999999999996</v>
      </c>
      <c r="L11" s="236"/>
      <c r="M11" s="38">
        <v>4</v>
      </c>
      <c r="N11" s="534">
        <v>41974</v>
      </c>
      <c r="O11" s="534">
        <v>42338</v>
      </c>
      <c r="P11" s="536">
        <v>0.18351369129767447</v>
      </c>
      <c r="Q11" s="218">
        <v>0.14277365182959076</v>
      </c>
      <c r="R11" s="242"/>
      <c r="T11" s="561" t="s">
        <v>334</v>
      </c>
      <c r="U11" s="568">
        <f>R36</f>
        <v>0.83958676178013258</v>
      </c>
    </row>
    <row r="12" spans="2:21" ht="15.75" thickBot="1">
      <c r="B12" s="535">
        <f>Units_month!C11</f>
        <v>40664</v>
      </c>
      <c r="C12" s="535">
        <f>Units_month!D11</f>
        <v>40694</v>
      </c>
      <c r="D12" s="46">
        <f>Units_month!E11</f>
        <v>3891</v>
      </c>
      <c r="E12" s="46"/>
      <c r="F12" s="46"/>
      <c r="G12" s="63">
        <f t="shared" si="0"/>
        <v>16101</v>
      </c>
      <c r="H12" s="239"/>
      <c r="I12" s="305">
        <v>6</v>
      </c>
      <c r="J12" s="306" t="s">
        <v>154</v>
      </c>
      <c r="K12" s="307">
        <f>US_Survey!I15</f>
        <v>0</v>
      </c>
      <c r="L12" s="236"/>
      <c r="M12" s="38">
        <v>5</v>
      </c>
      <c r="N12" s="534">
        <v>41609</v>
      </c>
      <c r="O12" s="534">
        <v>41973</v>
      </c>
      <c r="P12" s="536">
        <v>0.22161028061893523</v>
      </c>
      <c r="Q12" s="218">
        <v>0.16177550485182271</v>
      </c>
      <c r="R12" s="243">
        <f>SUM(Q8:Q12)</f>
        <v>0.75931861663936573</v>
      </c>
      <c r="T12" s="561" t="s">
        <v>335</v>
      </c>
      <c r="U12" s="568">
        <f>R42</f>
        <v>0.83517308048242433</v>
      </c>
    </row>
    <row r="13" spans="2:21" ht="15.75" thickBot="1">
      <c r="B13" s="535">
        <f>Units_month!C12</f>
        <v>40695</v>
      </c>
      <c r="C13" s="535">
        <f>Units_month!D12</f>
        <v>40724</v>
      </c>
      <c r="D13" s="46">
        <f>Units_month!E12</f>
        <v>7153</v>
      </c>
      <c r="E13" s="46"/>
      <c r="F13" s="46"/>
      <c r="G13" s="63">
        <f t="shared" si="0"/>
        <v>23254</v>
      </c>
      <c r="H13" s="239"/>
      <c r="I13" s="305">
        <v>7</v>
      </c>
      <c r="J13" s="308" t="s">
        <v>155</v>
      </c>
      <c r="K13" s="309">
        <v>0</v>
      </c>
      <c r="L13" s="237"/>
      <c r="N13" s="533" t="s">
        <v>331</v>
      </c>
      <c r="O13" s="532"/>
      <c r="P13" s="278">
        <f>SUM(P8:P12)</f>
        <v>1</v>
      </c>
      <c r="Q13" s="279"/>
      <c r="R13" s="280"/>
      <c r="T13" s="561" t="s">
        <v>336</v>
      </c>
      <c r="U13" s="568">
        <f>R48</f>
        <v>0.83097948577412828</v>
      </c>
    </row>
    <row r="14" spans="2:21">
      <c r="B14" s="535">
        <f>Units_month!C13</f>
        <v>40725</v>
      </c>
      <c r="C14" s="535">
        <f>Units_month!D13</f>
        <v>40755</v>
      </c>
      <c r="D14" s="46">
        <f>Units_month!E13</f>
        <v>5070</v>
      </c>
      <c r="E14" s="46"/>
      <c r="F14" s="46"/>
      <c r="G14" s="63">
        <f t="shared" si="0"/>
        <v>28324</v>
      </c>
      <c r="H14" s="239"/>
      <c r="I14" s="49"/>
      <c r="J14" s="49"/>
      <c r="K14" s="49"/>
      <c r="M14" s="38">
        <v>1</v>
      </c>
      <c r="N14" s="534">
        <v>43466</v>
      </c>
      <c r="O14" s="534">
        <v>43830</v>
      </c>
      <c r="P14" s="536">
        <f>SUMIFS($D$7:$D$174,$B$7:$B$174,"&gt;="&amp;N14,$C$7:$C$174,"&lt;="&amp;O14)/SUMIFS($D$7:$D$174,$B$7:$B$174,"&gt;="&amp;$N$18,$C$7:$C$174,"&lt;="&amp;$O$14)</f>
        <v>0.16561956768195904</v>
      </c>
      <c r="Q14" s="218">
        <f t="shared" ref="Q14:Q24" si="1">P14*(IF(M14 &gt;5,0,VLOOKUP(M14,$I$7:$K$11,3,FALSE)))</f>
        <v>0.16098221978686419</v>
      </c>
      <c r="R14" s="227"/>
    </row>
    <row r="15" spans="2:21">
      <c r="B15" s="535">
        <f>Units_month!C14</f>
        <v>40756</v>
      </c>
      <c r="C15" s="535">
        <f>Units_month!D14</f>
        <v>40786</v>
      </c>
      <c r="D15" s="46">
        <f>Units_month!E14</f>
        <v>4679</v>
      </c>
      <c r="E15" s="46"/>
      <c r="F15" s="46"/>
      <c r="G15" s="63">
        <f t="shared" si="0"/>
        <v>33003</v>
      </c>
      <c r="H15" s="239"/>
      <c r="I15" s="49"/>
      <c r="J15" s="49"/>
      <c r="K15" s="49"/>
      <c r="M15" s="38">
        <v>2</v>
      </c>
      <c r="N15" s="534">
        <v>43101</v>
      </c>
      <c r="O15" s="534">
        <v>43465</v>
      </c>
      <c r="P15" s="536">
        <f>SUMIFS($D$7:$D$174,$B$7:$B$174,"&gt;="&amp;N15,$C$7:$C$174,"&lt;="&amp;O15)/SUMIFS($D$7:$D$174,$B$7:$B$174,"&gt;="&amp;$N$18,$C$7:$C$174,"&lt;="&amp;$O$14)</f>
        <v>0.15011620436852846</v>
      </c>
      <c r="Q15" s="218">
        <f t="shared" si="1"/>
        <v>0.1217442417428766</v>
      </c>
      <c r="R15" s="227"/>
    </row>
    <row r="16" spans="2:21">
      <c r="B16" s="535">
        <f>Units_month!C15</f>
        <v>40787</v>
      </c>
      <c r="C16" s="535">
        <f>Units_month!D15</f>
        <v>40816</v>
      </c>
      <c r="D16" s="46">
        <f>Units_month!E15</f>
        <v>2587</v>
      </c>
      <c r="E16" s="46"/>
      <c r="F16" s="46"/>
      <c r="G16" s="63">
        <f t="shared" si="0"/>
        <v>35590</v>
      </c>
      <c r="H16" s="239"/>
      <c r="I16" s="49"/>
      <c r="J16" s="49"/>
      <c r="K16" s="49"/>
      <c r="M16" s="38">
        <v>3</v>
      </c>
      <c r="N16" s="534">
        <v>42736</v>
      </c>
      <c r="O16" s="534">
        <v>43100</v>
      </c>
      <c r="P16" s="536">
        <f>SUMIFS($D$7:$D$174,$B$7:$B$174,"&gt;="&amp;N16,$C$7:$C$174,"&lt;="&amp;O16)/SUMIFS($D$7:$D$174,$B$7:$B$174,"&gt;="&amp;$N$18,$C$7:$C$174,"&lt;="&amp;$O$14)</f>
        <v>0.22761412591640842</v>
      </c>
      <c r="Q16" s="218">
        <f t="shared" si="1"/>
        <v>0.17071059443730632</v>
      </c>
      <c r="R16" s="227"/>
    </row>
    <row r="17" spans="2:18">
      <c r="B17" s="535">
        <f>Units_month!C16</f>
        <v>40817</v>
      </c>
      <c r="C17" s="535">
        <f>Units_month!D16</f>
        <v>40847</v>
      </c>
      <c r="D17" s="46">
        <f>Units_month!E16</f>
        <v>5773</v>
      </c>
      <c r="E17" s="46"/>
      <c r="F17" s="46"/>
      <c r="G17" s="63">
        <f t="shared" si="0"/>
        <v>41363</v>
      </c>
      <c r="H17" s="239"/>
      <c r="I17" s="49"/>
      <c r="M17" s="38">
        <v>4</v>
      </c>
      <c r="N17" s="534">
        <v>42370</v>
      </c>
      <c r="O17" s="534">
        <v>42735</v>
      </c>
      <c r="P17" s="536">
        <f>SUMIFS($D$7:$D$174,$B$7:$B$174,"&gt;="&amp;N17,$C$7:$C$174,"&lt;="&amp;O17)/SUMIFS($D$7:$D$174,$B$7:$B$174,"&gt;="&amp;$N$18,$C$7:$C$174,"&lt;="&amp;$O$14)</f>
        <v>0.25220599350011336</v>
      </c>
      <c r="Q17" s="218">
        <f t="shared" si="1"/>
        <v>0.20327803076109138</v>
      </c>
      <c r="R17" s="227"/>
    </row>
    <row r="18" spans="2:18" ht="15.75" thickBot="1">
      <c r="B18" s="535">
        <f>Units_month!C17</f>
        <v>40848</v>
      </c>
      <c r="C18" s="535">
        <f>Units_month!D17</f>
        <v>40877</v>
      </c>
      <c r="D18" s="46">
        <f>Units_month!E17</f>
        <v>3876</v>
      </c>
      <c r="E18" s="46"/>
      <c r="F18" s="46"/>
      <c r="G18" s="63">
        <f t="shared" si="0"/>
        <v>45239</v>
      </c>
      <c r="H18" s="239"/>
      <c r="I18" s="49"/>
      <c r="L18" s="49"/>
      <c r="M18" s="38">
        <v>5</v>
      </c>
      <c r="N18" s="534">
        <v>42005</v>
      </c>
      <c r="O18" s="534">
        <v>42369</v>
      </c>
      <c r="P18" s="536">
        <f>SUMIFS($D$7:$D$174,$B$7:$B$174,"&gt;="&amp;N18,$C$7:$C$174,"&lt;="&amp;O18)/SUMIFS($D$7:$D$174,$B$7:$B$174,"&gt;="&amp;$N$18,$C$7:$C$174,"&lt;="&amp;$O$14)</f>
        <v>0.20444410853299069</v>
      </c>
      <c r="Q18" s="218">
        <f t="shared" si="1"/>
        <v>0.16948416597384927</v>
      </c>
      <c r="R18" s="243">
        <f>SUM(Q14:Q18)</f>
        <v>0.8261992527019878</v>
      </c>
    </row>
    <row r="19" spans="2:18">
      <c r="B19" s="535">
        <f>Units_month!C18</f>
        <v>40878</v>
      </c>
      <c r="C19" s="535">
        <f>Units_month!D18</f>
        <v>40908</v>
      </c>
      <c r="D19" s="46">
        <f>Units_month!E18</f>
        <v>5108</v>
      </c>
      <c r="E19" s="46"/>
      <c r="F19" s="46"/>
      <c r="G19" s="63">
        <f t="shared" si="0"/>
        <v>50347</v>
      </c>
      <c r="H19" s="239"/>
      <c r="I19" s="49"/>
      <c r="L19" s="49"/>
      <c r="N19" s="533" t="s">
        <v>332</v>
      </c>
      <c r="O19" s="532"/>
      <c r="P19" s="281">
        <f>SUM(P14:P18)</f>
        <v>1</v>
      </c>
      <c r="Q19" s="282"/>
      <c r="R19" s="280"/>
    </row>
    <row r="20" spans="2:18">
      <c r="B20" s="535">
        <f>Units_month!C19</f>
        <v>40909</v>
      </c>
      <c r="C20" s="535">
        <f>Units_month!D19</f>
        <v>40939</v>
      </c>
      <c r="D20" s="46">
        <f>Units_month!E19</f>
        <v>3079</v>
      </c>
      <c r="E20" s="46"/>
      <c r="F20" s="46"/>
      <c r="G20" s="63">
        <f t="shared" si="0"/>
        <v>53426</v>
      </c>
      <c r="H20" s="239"/>
      <c r="I20" s="49"/>
      <c r="L20" s="49"/>
      <c r="M20" s="38">
        <v>1</v>
      </c>
      <c r="N20" s="534">
        <v>43831</v>
      </c>
      <c r="O20" s="534">
        <v>44196</v>
      </c>
      <c r="P20" s="536">
        <f>SUMIFS($D$7:$D$174,$B$7:$B$174,"&gt;="&amp;N20,$C$7:$C$174,"&lt;="&amp;O20)/SUMIFS($D$7:$D$174,$B$7:$B$174,"&gt;="&amp;$N$24,$C$7:$C$174,"&lt;="&amp;$O$20)</f>
        <v>0.16692553496700666</v>
      </c>
      <c r="Q20" s="218">
        <f t="shared" si="1"/>
        <v>0.16225161998793047</v>
      </c>
      <c r="R20" s="227"/>
    </row>
    <row r="21" spans="2:18">
      <c r="B21" s="535">
        <f>Units_month!C20</f>
        <v>40940</v>
      </c>
      <c r="C21" s="535">
        <f>Units_month!D20</f>
        <v>40968</v>
      </c>
      <c r="D21" s="46">
        <f>Units_month!E20</f>
        <v>3401</v>
      </c>
      <c r="E21" s="46"/>
      <c r="F21" s="46"/>
      <c r="G21" s="63">
        <f t="shared" si="0"/>
        <v>56827</v>
      </c>
      <c r="H21" s="239"/>
      <c r="I21" s="49"/>
      <c r="M21" s="38">
        <v>2</v>
      </c>
      <c r="N21" s="534">
        <v>43466</v>
      </c>
      <c r="O21" s="534">
        <v>43830</v>
      </c>
      <c r="P21" s="536">
        <f>SUMIFS($D$7:$D$174,$B$7:$B$174,"&gt;="&amp;N21,$C$7:$C$174,"&lt;="&amp;O21)/SUMIFS($D$7:$D$174,$B$7:$B$174,"&gt;="&amp;$N$24,$C$7:$C$174,"&lt;="&amp;$O$20)</f>
        <v>0.17343021932905295</v>
      </c>
      <c r="Q21" s="218">
        <f t="shared" si="1"/>
        <v>0.14065190787586196</v>
      </c>
      <c r="R21" s="227"/>
    </row>
    <row r="22" spans="2:18">
      <c r="B22" s="535">
        <f>Units_month!C21</f>
        <v>40969</v>
      </c>
      <c r="C22" s="535">
        <f>Units_month!D21</f>
        <v>40999</v>
      </c>
      <c r="D22" s="46">
        <f>Units_month!E21</f>
        <v>3124</v>
      </c>
      <c r="E22" s="46"/>
      <c r="F22" s="46"/>
      <c r="G22" s="63">
        <f t="shared" si="0"/>
        <v>59951</v>
      </c>
      <c r="H22" s="239"/>
      <c r="I22" s="49"/>
      <c r="J22" s="49"/>
      <c r="K22" s="49"/>
      <c r="M22" s="38">
        <v>3</v>
      </c>
      <c r="N22" s="534">
        <v>43101</v>
      </c>
      <c r="O22" s="534">
        <v>43465</v>
      </c>
      <c r="P22" s="536">
        <f>SUMIFS($D$7:$D$174,$B$7:$B$174,"&gt;="&amp;N22,$C$7:$C$174,"&lt;="&amp;O22)/SUMIFS($D$7:$D$174,$B$7:$B$174,"&gt;="&amp;$N$24,$C$7:$C$174,"&lt;="&amp;$O$20)</f>
        <v>0.15719571432811311</v>
      </c>
      <c r="Q22" s="218">
        <f t="shared" si="1"/>
        <v>0.11789678574608484</v>
      </c>
      <c r="R22" s="227"/>
    </row>
    <row r="23" spans="2:18">
      <c r="B23" s="535">
        <f>Units_month!C22</f>
        <v>41000</v>
      </c>
      <c r="C23" s="535">
        <f>Units_month!D22</f>
        <v>41029</v>
      </c>
      <c r="D23" s="46">
        <f>Units_month!E22</f>
        <v>2959</v>
      </c>
      <c r="E23" s="46"/>
      <c r="F23" s="46"/>
      <c r="G23" s="63">
        <f t="shared" si="0"/>
        <v>62910</v>
      </c>
      <c r="H23" s="239"/>
      <c r="I23" s="49"/>
      <c r="J23" s="49"/>
      <c r="K23" s="49"/>
      <c r="L23" s="45"/>
      <c r="M23" s="38">
        <v>4</v>
      </c>
      <c r="N23" s="534">
        <v>42736</v>
      </c>
      <c r="O23" s="534">
        <v>43100</v>
      </c>
      <c r="P23" s="536">
        <f>SUMIFS($D$7:$D$174,$B$7:$B$174,"&gt;="&amp;N23,$C$7:$C$174,"&lt;="&amp;O23)/SUMIFS($D$7:$D$174,$B$7:$B$174,"&gt;="&amp;$N$24,$C$7:$C$174,"&lt;="&amp;$O$20)</f>
        <v>0.2383484532206844</v>
      </c>
      <c r="Q23" s="218">
        <f t="shared" si="1"/>
        <v>0.19210885329587163</v>
      </c>
      <c r="R23" s="227"/>
    </row>
    <row r="24" spans="2:18" ht="15.75" thickBot="1">
      <c r="B24" s="535">
        <f>Units_month!C23</f>
        <v>41030</v>
      </c>
      <c r="C24" s="535">
        <f>Units_month!D23</f>
        <v>41060</v>
      </c>
      <c r="D24" s="58">
        <f>Units_month!E23</f>
        <v>3655</v>
      </c>
      <c r="E24" s="58"/>
      <c r="F24" s="58"/>
      <c r="G24" s="14">
        <f t="shared" si="0"/>
        <v>66565</v>
      </c>
      <c r="H24" s="239"/>
      <c r="I24" s="49"/>
      <c r="J24" s="49"/>
      <c r="K24" s="48"/>
      <c r="M24" s="38">
        <v>5</v>
      </c>
      <c r="N24" s="534">
        <v>42370</v>
      </c>
      <c r="O24" s="534">
        <v>42735</v>
      </c>
      <c r="P24" s="536">
        <f>SUMIFS($D$7:$D$174,$B$7:$B$174,"&gt;="&amp;N24,$C$7:$C$174,"&lt;="&amp;O24)/SUMIFS($D$7:$D$174,$B$7:$B$174,"&gt;="&amp;$N$24,$C$7:$C$174,"&lt;="&amp;$O$20)</f>
        <v>0.26410007815514291</v>
      </c>
      <c r="Q24" s="218">
        <f t="shared" si="1"/>
        <v>0.21893896479061348</v>
      </c>
      <c r="R24" s="243">
        <f>SUM(Q20:Q24)</f>
        <v>0.8318481316963624</v>
      </c>
    </row>
    <row r="25" spans="2:18" ht="15.75" thickBot="1">
      <c r="B25" s="535">
        <f>Units_month!C24</f>
        <v>41061</v>
      </c>
      <c r="C25" s="535">
        <f>Units_month!D24</f>
        <v>41090</v>
      </c>
      <c r="D25" s="15">
        <f>Units_month!E24</f>
        <v>5655</v>
      </c>
      <c r="E25" s="15"/>
      <c r="F25" s="15"/>
      <c r="G25" s="64">
        <f t="shared" si="0"/>
        <v>72220</v>
      </c>
      <c r="H25" s="239"/>
      <c r="I25" s="49"/>
      <c r="J25" s="49"/>
      <c r="K25" s="49"/>
      <c r="N25" s="277" t="s">
        <v>333</v>
      </c>
      <c r="O25" s="282"/>
      <c r="P25" s="281">
        <f>SUM(P20:P24)</f>
        <v>1</v>
      </c>
      <c r="Q25" s="282"/>
      <c r="R25" s="280"/>
    </row>
    <row r="26" spans="2:18" ht="15.75" thickBot="1">
      <c r="B26" s="535">
        <f>Units_month!C25</f>
        <v>41091</v>
      </c>
      <c r="C26" s="535">
        <f>Units_month!D25</f>
        <v>41121</v>
      </c>
      <c r="D26" s="46">
        <f>Units_month!E25</f>
        <v>2069</v>
      </c>
      <c r="E26" s="46"/>
      <c r="F26" s="46"/>
      <c r="G26" s="63">
        <f t="shared" si="0"/>
        <v>74289</v>
      </c>
      <c r="H26" s="239"/>
      <c r="I26" s="49"/>
      <c r="J26" s="49"/>
      <c r="K26" s="49"/>
      <c r="M26" s="38">
        <v>1</v>
      </c>
      <c r="N26" s="534">
        <v>44197</v>
      </c>
      <c r="O26" s="534">
        <v>44561</v>
      </c>
      <c r="P26" s="536">
        <f>SUMIFS($D$7:$D$174,$B$7:$B$174,"&gt;="&amp;N26,$C$7:$C$174,"&lt;="&amp;O26)/SUMIFS($D$7:$D$174,$B$7:$B$174,"&gt;="&amp;$N$30,$C$7:$C$174,"&lt;="&amp;$O$26)</f>
        <v>0.227047191524957</v>
      </c>
      <c r="Q26" s="60">
        <f>P26*(IF(M26 &gt;5,0,VLOOKUP(M26,$I$7:$K$13,3,FALSE)))</f>
        <v>0.22068987016225819</v>
      </c>
      <c r="R26" s="227"/>
    </row>
    <row r="27" spans="2:18" ht="15.75" thickBot="1">
      <c r="B27" s="535">
        <f>Units_month!C26</f>
        <v>41122</v>
      </c>
      <c r="C27" s="535">
        <f>Units_month!D26</f>
        <v>41152</v>
      </c>
      <c r="D27" s="46">
        <f>Units_month!E26</f>
        <v>3996</v>
      </c>
      <c r="E27" s="46"/>
      <c r="F27" s="46"/>
      <c r="G27" s="63">
        <f t="shared" si="0"/>
        <v>78285</v>
      </c>
      <c r="H27" s="239"/>
      <c r="I27" s="49"/>
      <c r="J27" s="49"/>
      <c r="K27" s="49"/>
      <c r="M27" s="38">
        <v>2</v>
      </c>
      <c r="N27" s="534">
        <v>43831</v>
      </c>
      <c r="O27" s="534">
        <v>44196</v>
      </c>
      <c r="P27" s="536">
        <f>SUMIFS($D$7:$D$174,$B$7:$B$174,"&gt;="&amp;N27,$C$7:$C$174,"&lt;="&amp;O27)/SUMIFS($D$7:$D$174,$B$7:$B$174,"&gt;="&amp;$N$30,$C$7:$C$174,"&lt;="&amp;$O$26)</f>
        <v>0.17533030950117159</v>
      </c>
      <c r="Q27" s="60">
        <f>P27*(IF(M27 &gt;5,0,VLOOKUP(M27,$I$7:$K$13,3,FALSE)))</f>
        <v>0.14219288100545016</v>
      </c>
      <c r="R27" s="227"/>
    </row>
    <row r="28" spans="2:18" ht="15.75" thickBot="1">
      <c r="B28" s="535">
        <f>Units_month!C27</f>
        <v>41153</v>
      </c>
      <c r="C28" s="535">
        <f>Units_month!D27</f>
        <v>41182</v>
      </c>
      <c r="D28" s="46">
        <f>Units_month!E27</f>
        <v>3328</v>
      </c>
      <c r="E28" s="46"/>
      <c r="F28" s="46"/>
      <c r="G28" s="63">
        <f t="shared" si="0"/>
        <v>81613</v>
      </c>
      <c r="H28" s="239"/>
      <c r="I28" s="49"/>
      <c r="J28" s="49"/>
      <c r="K28" s="49"/>
      <c r="M28" s="38">
        <v>3</v>
      </c>
      <c r="N28" s="534">
        <v>43466</v>
      </c>
      <c r="O28" s="534">
        <v>43830</v>
      </c>
      <c r="P28" s="536">
        <f>SUMIFS($D$7:$D$174,$B$7:$B$174,"&gt;="&amp;N28,$C$7:$C$174,"&lt;="&amp;O28)/SUMIFS($D$7:$D$174,$B$7:$B$174,"&gt;="&amp;$N$30,$C$7:$C$174,"&lt;="&amp;$O$26)</f>
        <v>0.18216250759854732</v>
      </c>
      <c r="Q28" s="60">
        <f>P28*(IF(M28 &gt;5,0,VLOOKUP(M28,$I$7:$K$13,3,FALSE)))</f>
        <v>0.13662188069891049</v>
      </c>
      <c r="R28" s="227"/>
    </row>
    <row r="29" spans="2:18" ht="15.75" thickBot="1">
      <c r="B29" s="535">
        <f>Units_month!C28</f>
        <v>41183</v>
      </c>
      <c r="C29" s="535">
        <f>Units_month!D28</f>
        <v>41213</v>
      </c>
      <c r="D29" s="46">
        <f>Units_month!E28</f>
        <v>7729</v>
      </c>
      <c r="E29" s="46"/>
      <c r="F29" s="46"/>
      <c r="G29" s="63">
        <f t="shared" si="0"/>
        <v>89342</v>
      </c>
      <c r="H29" s="239"/>
      <c r="I29" s="49"/>
      <c r="J29" s="49"/>
      <c r="K29" s="49"/>
      <c r="M29" s="38">
        <v>4</v>
      </c>
      <c r="N29" s="534">
        <v>43101</v>
      </c>
      <c r="O29" s="534">
        <v>43465</v>
      </c>
      <c r="P29" s="536">
        <f>SUMIFS($D$7:$D$174,$B$7:$B$174,"&gt;="&amp;N29,$C$7:$C$174,"&lt;="&amp;O29)/SUMIFS($D$7:$D$174,$B$7:$B$174,"&gt;="&amp;$N$30,$C$7:$C$174,"&lt;="&amp;$O$26)</f>
        <v>0.16511058808859516</v>
      </c>
      <c r="Q29" s="60">
        <f>P29*(IF(M29 &gt;5,0,VLOOKUP(M29,$I$7:$K$13,3,FALSE)))</f>
        <v>0.13307913399940771</v>
      </c>
      <c r="R29" s="227"/>
    </row>
    <row r="30" spans="2:18" ht="15.75" thickBot="1">
      <c r="B30" s="535">
        <f>Units_month!C29</f>
        <v>41214</v>
      </c>
      <c r="C30" s="535">
        <f>Units_month!D29</f>
        <v>41243</v>
      </c>
      <c r="D30" s="46">
        <f>Units_month!E29</f>
        <v>4556</v>
      </c>
      <c r="E30" s="46"/>
      <c r="F30" s="46"/>
      <c r="G30" s="63">
        <f t="shared" si="0"/>
        <v>93898</v>
      </c>
      <c r="H30" s="239"/>
      <c r="I30" s="49"/>
      <c r="J30" s="49"/>
      <c r="K30" s="49"/>
      <c r="M30" s="38">
        <v>5</v>
      </c>
      <c r="N30" s="534">
        <v>42736</v>
      </c>
      <c r="O30" s="534">
        <v>43100</v>
      </c>
      <c r="P30" s="536">
        <f>SUMIFS($D$7:$D$174,$B$7:$B$174,"&gt;="&amp;N30,$C$7:$C$174,"&lt;="&amp;O30)/SUMIFS($D$7:$D$174,$B$7:$B$174,"&gt;="&amp;$N$30,$C$7:$C$174,"&lt;="&amp;$O$26)</f>
        <v>0.25034940328672889</v>
      </c>
      <c r="Q30" s="60">
        <f>P30*(IF(M30 &gt;5,0,VLOOKUP(M30,$I$7:$K$13,3,FALSE)))</f>
        <v>0.20753965532469823</v>
      </c>
      <c r="R30" s="243">
        <f>SUM(Q26:Q30)</f>
        <v>0.84012342119072481</v>
      </c>
    </row>
    <row r="31" spans="2:18" ht="15.75" thickBot="1">
      <c r="B31" s="535">
        <f>Units_month!C30</f>
        <v>41244</v>
      </c>
      <c r="C31" s="535">
        <f>Units_month!D30</f>
        <v>41274</v>
      </c>
      <c r="D31" s="46">
        <f>Units_month!E30</f>
        <v>2901</v>
      </c>
      <c r="E31" s="46"/>
      <c r="F31" s="46"/>
      <c r="G31" s="63">
        <f t="shared" si="0"/>
        <v>96799</v>
      </c>
      <c r="H31" s="239"/>
      <c r="I31" s="49"/>
      <c r="J31" s="49"/>
      <c r="K31" s="49"/>
      <c r="N31" s="277" t="s">
        <v>334</v>
      </c>
      <c r="O31" s="282"/>
      <c r="P31" s="281">
        <f>SUM(P26:P30)</f>
        <v>1</v>
      </c>
      <c r="Q31" s="282"/>
      <c r="R31" s="280"/>
    </row>
    <row r="32" spans="2:18" ht="15.75" thickBot="1">
      <c r="B32" s="535">
        <f>Units_month!C31</f>
        <v>41275</v>
      </c>
      <c r="C32" s="535">
        <f>Units_month!D31</f>
        <v>41305</v>
      </c>
      <c r="D32" s="46">
        <f>Units_month!E31</f>
        <v>2707</v>
      </c>
      <c r="E32" s="46"/>
      <c r="F32" s="46"/>
      <c r="G32" s="63">
        <f t="shared" si="0"/>
        <v>99506</v>
      </c>
      <c r="H32" s="239"/>
      <c r="I32" s="49"/>
      <c r="J32" s="49"/>
      <c r="K32" s="49"/>
      <c r="M32" s="38">
        <v>1</v>
      </c>
      <c r="N32" s="534">
        <v>44562</v>
      </c>
      <c r="O32" s="534">
        <v>44926</v>
      </c>
      <c r="P32" s="536">
        <f>SUMIFS($D$7:$D$174,$B$7:$B$174,"&gt;="&amp;N32,$C$7:$C$174,"&lt;="&amp;O32)/SUMIFS($D$7:$D$174,$B$7:$B$174,"&gt;="&amp;$N$36,$C$7:$C$174,"&lt;="&amp;$O$32)</f>
        <v>0.23246411966848596</v>
      </c>
      <c r="Q32" s="60">
        <f>P32*(IF(M32 &gt;5,0,VLOOKUP(M32,$I$7:$K$13,3,FALSE)))</f>
        <v>0.22595512431776835</v>
      </c>
      <c r="R32" s="227"/>
    </row>
    <row r="33" spans="2:18" ht="15.75" thickBot="1">
      <c r="B33" s="535">
        <f>Units_month!C32</f>
        <v>41306</v>
      </c>
      <c r="C33" s="535">
        <f>Units_month!D32</f>
        <v>41333</v>
      </c>
      <c r="D33" s="46">
        <f>Units_month!E32</f>
        <v>3447</v>
      </c>
      <c r="E33" s="46"/>
      <c r="F33" s="46"/>
      <c r="G33" s="63">
        <f t="shared" si="0"/>
        <v>102953</v>
      </c>
      <c r="H33" s="239"/>
      <c r="I33" s="49"/>
      <c r="J33" s="49"/>
      <c r="K33" s="49"/>
      <c r="M33" s="38">
        <v>2</v>
      </c>
      <c r="N33" s="534">
        <v>44197</v>
      </c>
      <c r="O33" s="534">
        <v>44561</v>
      </c>
      <c r="P33" s="536">
        <f>SUMIFS($D$7:$D$174,$B$7:$B$174,"&gt;="&amp;N33,$C$7:$C$174,"&lt;="&amp;O33)/SUMIFS($D$7:$D$174,$B$7:$B$174,"&gt;="&amp;$N$36,$C$7:$C$174,"&lt;="&amp;$O$32)</f>
        <v>0.23246411966848596</v>
      </c>
      <c r="Q33" s="60">
        <f>P33*(IF(M33 &gt;5,0,VLOOKUP(M33,$I$7:$K$13,3,FALSE)))</f>
        <v>0.18852840105114213</v>
      </c>
      <c r="R33" s="227"/>
    </row>
    <row r="34" spans="2:18" ht="15.75" thickBot="1">
      <c r="B34" s="535">
        <f>Units_month!C33</f>
        <v>41334</v>
      </c>
      <c r="C34" s="535">
        <f>Units_month!D33</f>
        <v>41364</v>
      </c>
      <c r="D34" s="46">
        <f>Units_month!E33</f>
        <v>4511</v>
      </c>
      <c r="E34" s="46"/>
      <c r="F34" s="46"/>
      <c r="G34" s="63">
        <f t="shared" si="0"/>
        <v>107464</v>
      </c>
      <c r="H34" s="239"/>
      <c r="I34" s="49"/>
      <c r="J34" s="49"/>
      <c r="K34" s="49"/>
      <c r="M34" s="38">
        <v>3</v>
      </c>
      <c r="N34" s="534">
        <v>43831</v>
      </c>
      <c r="O34" s="534">
        <v>44196</v>
      </c>
      <c r="P34" s="536">
        <f>SUMIFS($D$7:$D$174,$B$7:$B$174,"&gt;="&amp;N34,$C$7:$C$174,"&lt;="&amp;O34)/SUMIFS($D$7:$D$174,$B$7:$B$174,"&gt;="&amp;$N$36,$C$7:$C$174,"&lt;="&amp;$O$32)</f>
        <v>0.17951336801676721</v>
      </c>
      <c r="Q34" s="60">
        <f>P34*(IF(M34 &gt;5,0,VLOOKUP(M34,$I$7:$K$13,3,FALSE)))</f>
        <v>0.1346350260125754</v>
      </c>
      <c r="R34" s="227"/>
    </row>
    <row r="35" spans="2:18" ht="15.75" thickBot="1">
      <c r="B35" s="535">
        <f>Units_month!C34</f>
        <v>41365</v>
      </c>
      <c r="C35" s="535">
        <f>Units_month!D34</f>
        <v>41394</v>
      </c>
      <c r="D35" s="58">
        <f>Units_month!E34</f>
        <v>4295</v>
      </c>
      <c r="E35" s="58"/>
      <c r="F35" s="58"/>
      <c r="G35" s="14">
        <f t="shared" si="0"/>
        <v>111759</v>
      </c>
      <c r="H35" s="239"/>
      <c r="I35" s="49"/>
      <c r="J35" s="49"/>
      <c r="K35" s="49"/>
      <c r="L35" s="45"/>
      <c r="M35" s="38">
        <v>4</v>
      </c>
      <c r="N35" s="534">
        <v>43466</v>
      </c>
      <c r="O35" s="534">
        <v>43830</v>
      </c>
      <c r="P35" s="536">
        <f>SUMIFS($D$7:$D$174,$B$7:$B$174,"&gt;="&amp;N35,$C$7:$C$174,"&lt;="&amp;O35)/SUMIFS($D$7:$D$174,$B$7:$B$174,"&gt;="&amp;$N$36,$C$7:$C$174,"&lt;="&amp;$O$32)</f>
        <v>0.18650856978711181</v>
      </c>
      <c r="Q35" s="60">
        <f>P35*(IF(M35 &gt;5,0,VLOOKUP(M35,$I$7:$K$13,3,FALSE)))</f>
        <v>0.15032590724841213</v>
      </c>
      <c r="R35" s="227"/>
    </row>
    <row r="36" spans="2:18" ht="15.75" thickBot="1">
      <c r="B36" s="535">
        <f>Units_month!C35</f>
        <v>41395</v>
      </c>
      <c r="C36" s="535">
        <f>Units_month!D35</f>
        <v>41425</v>
      </c>
      <c r="D36" s="15">
        <f>Units_month!E35</f>
        <v>4978</v>
      </c>
      <c r="E36" s="15"/>
      <c r="F36" s="15"/>
      <c r="G36" s="64">
        <f t="shared" si="0"/>
        <v>116737</v>
      </c>
      <c r="H36" s="239"/>
      <c r="I36" s="49"/>
      <c r="J36" s="49"/>
      <c r="K36" s="49"/>
      <c r="M36" s="38">
        <v>5</v>
      </c>
      <c r="N36" s="534">
        <v>43101</v>
      </c>
      <c r="O36" s="534">
        <v>43465</v>
      </c>
      <c r="P36" s="536">
        <f>SUMIFS($D$7:$D$174,$B$7:$B$174,"&gt;="&amp;N36,$C$7:$C$174,"&lt;="&amp;O36)/SUMIFS($D$7:$D$174,$B$7:$B$174,"&gt;="&amp;$N$36,$C$7:$C$174,"&lt;="&amp;$O$32)</f>
        <v>0.16904982285914907</v>
      </c>
      <c r="Q36" s="60">
        <f>P36*(IF(M36 &gt;5,0,VLOOKUP(M36,$I$7:$K$13,3,FALSE)))</f>
        <v>0.14014230315023457</v>
      </c>
      <c r="R36" s="243">
        <f>SUM(Q32:Q36)</f>
        <v>0.83958676178013258</v>
      </c>
    </row>
    <row r="37" spans="2:18">
      <c r="B37" s="535">
        <f>Units_month!C36</f>
        <v>41426</v>
      </c>
      <c r="C37" s="535">
        <f>Units_month!D36</f>
        <v>41455</v>
      </c>
      <c r="D37" s="46">
        <f>Units_month!E36</f>
        <v>4195</v>
      </c>
      <c r="E37" s="46"/>
      <c r="F37" s="46"/>
      <c r="G37" s="63">
        <f t="shared" si="0"/>
        <v>120932</v>
      </c>
      <c r="H37" s="239"/>
      <c r="I37" s="49"/>
      <c r="J37" s="49"/>
      <c r="K37" s="49"/>
      <c r="N37" s="277" t="s">
        <v>335</v>
      </c>
      <c r="O37" s="282"/>
      <c r="P37" s="283">
        <f>SUM(P32:P36)</f>
        <v>1</v>
      </c>
      <c r="Q37" s="282"/>
      <c r="R37" s="280"/>
    </row>
    <row r="38" spans="2:18">
      <c r="B38" s="535">
        <f>Units_month!C37</f>
        <v>41456</v>
      </c>
      <c r="C38" s="535">
        <f>Units_month!D37</f>
        <v>41486</v>
      </c>
      <c r="D38" s="46">
        <f>Units_month!E37</f>
        <v>3522</v>
      </c>
      <c r="E38" s="46"/>
      <c r="F38" s="46"/>
      <c r="G38" s="63">
        <f t="shared" si="0"/>
        <v>124454</v>
      </c>
      <c r="H38" s="239"/>
      <c r="I38" s="49"/>
      <c r="J38" s="49"/>
      <c r="K38" s="49"/>
      <c r="M38" s="38">
        <v>1</v>
      </c>
      <c r="N38" s="534">
        <v>44927</v>
      </c>
      <c r="O38" s="534">
        <v>45291</v>
      </c>
      <c r="P38" s="536">
        <f>SUMIFS($D$7:$D$174,$B$7:$B$174,"&gt;="&amp;N38,$C$7:$C$174,"&lt;="&amp;O38)/SUMIFS($D$7:$D$174,$B$7:$B$174,"&gt;="&amp;$N$42,$C$7:$C$174,"&lt;="&amp;$O$38)</f>
        <v>0.21860164976714172</v>
      </c>
      <c r="Q38" s="218">
        <f>P38*(IF(M38 &gt;5,0,VLOOKUP(M38,$I$7:$K$13,3,FALSE)))</f>
        <v>0.21248080357366175</v>
      </c>
      <c r="R38" s="227"/>
    </row>
    <row r="39" spans="2:18">
      <c r="B39" s="535">
        <f>Units_month!C38</f>
        <v>41487</v>
      </c>
      <c r="C39" s="535">
        <f>Units_month!D38</f>
        <v>41517</v>
      </c>
      <c r="D39" s="46">
        <f>Units_month!E38</f>
        <v>7567</v>
      </c>
      <c r="E39" s="46"/>
      <c r="F39" s="46"/>
      <c r="G39" s="63">
        <f t="shared" si="0"/>
        <v>132021</v>
      </c>
      <c r="H39" s="239"/>
      <c r="I39" s="49"/>
      <c r="J39" s="49"/>
      <c r="K39" s="49"/>
      <c r="M39" s="38">
        <v>2</v>
      </c>
      <c r="N39" s="534">
        <v>44562</v>
      </c>
      <c r="O39" s="534">
        <v>44926</v>
      </c>
      <c r="P39" s="536">
        <f>SUMIFS($D$7:$D$174,$B$7:$B$174,"&gt;="&amp;N39,$C$7:$C$174,"&lt;="&amp;O39)/SUMIFS($D$7:$D$174,$B$7:$B$174,"&gt;="&amp;$N$42,$C$7:$C$174,"&lt;="&amp;$O$38)</f>
        <v>0.21860164976714172</v>
      </c>
      <c r="Q39" s="218">
        <f>P39*(IF(M39 &gt;5,0,VLOOKUP(M39,$I$7:$K$13,3,FALSE)))</f>
        <v>0.17728593796115194</v>
      </c>
      <c r="R39" s="227"/>
    </row>
    <row r="40" spans="2:18">
      <c r="B40" s="535">
        <f>Units_month!C39</f>
        <v>41518</v>
      </c>
      <c r="C40" s="535">
        <f>Units_month!D39</f>
        <v>41547</v>
      </c>
      <c r="D40" s="46">
        <f>Units_month!E39</f>
        <v>4135</v>
      </c>
      <c r="E40" s="46"/>
      <c r="F40" s="46"/>
      <c r="G40" s="63">
        <f t="shared" si="0"/>
        <v>136156</v>
      </c>
      <c r="H40" s="239"/>
      <c r="I40" s="49"/>
      <c r="J40" s="49"/>
      <c r="K40" s="49"/>
      <c r="M40" s="38">
        <v>3</v>
      </c>
      <c r="N40" s="534">
        <v>44197</v>
      </c>
      <c r="O40" s="534">
        <v>44561</v>
      </c>
      <c r="P40" s="536">
        <f>SUMIFS($D$7:$D$174,$B$7:$B$174,"&gt;="&amp;N40,$C$7:$C$174,"&lt;="&amp;O40)/SUMIFS($D$7:$D$174,$B$7:$B$174,"&gt;="&amp;$N$42,$C$7:$C$174,"&lt;="&amp;$O$38)</f>
        <v>0.21860164976714172</v>
      </c>
      <c r="Q40" s="218">
        <f>P40*(IF(M40 &gt;5,0,VLOOKUP(M40,$I$7:$K$13,3,FALSE)))</f>
        <v>0.1639512373253563</v>
      </c>
      <c r="R40" s="227"/>
    </row>
    <row r="41" spans="2:18">
      <c r="B41" s="535">
        <f>Units_month!C40</f>
        <v>41548</v>
      </c>
      <c r="C41" s="535">
        <f>Units_month!D40</f>
        <v>41578</v>
      </c>
      <c r="D41" s="46">
        <f>Units_month!E40</f>
        <v>4322</v>
      </c>
      <c r="E41" s="46"/>
      <c r="F41" s="46"/>
      <c r="G41" s="63">
        <f t="shared" si="0"/>
        <v>140478</v>
      </c>
      <c r="H41" s="239"/>
      <c r="I41" s="49"/>
      <c r="J41" s="49"/>
      <c r="K41" s="49"/>
      <c r="M41" s="38">
        <v>4</v>
      </c>
      <c r="N41" s="534">
        <v>43831</v>
      </c>
      <c r="O41" s="534">
        <v>44196</v>
      </c>
      <c r="P41" s="536">
        <f>SUMIFS($D$7:$D$174,$B$7:$B$174,"&gt;="&amp;N41,$C$7:$C$174,"&lt;="&amp;O41)/SUMIFS($D$7:$D$174,$B$7:$B$174,"&gt;="&amp;$N$42,$C$7:$C$174,"&lt;="&amp;$O$38)</f>
        <v>0.16880849595061703</v>
      </c>
      <c r="Q41" s="218">
        <f>P41*(IF(M41 &gt;5,0,VLOOKUP(M41,$I$7:$K$13,3,FALSE)))</f>
        <v>0.13605964773619733</v>
      </c>
      <c r="R41" s="227"/>
    </row>
    <row r="42" spans="2:18" ht="15.75" thickBot="1">
      <c r="B42" s="535">
        <f>Units_month!C41</f>
        <v>41579</v>
      </c>
      <c r="C42" s="535">
        <f>Units_month!D41</f>
        <v>41608</v>
      </c>
      <c r="D42" s="495">
        <f>Units_month!E41</f>
        <v>10373</v>
      </c>
      <c r="E42" s="495"/>
      <c r="F42" s="495"/>
      <c r="G42" s="496">
        <f t="shared" si="0"/>
        <v>150851</v>
      </c>
      <c r="H42" s="239"/>
      <c r="I42" s="49"/>
      <c r="J42" s="49"/>
      <c r="K42" s="49"/>
      <c r="M42" s="38">
        <v>5</v>
      </c>
      <c r="N42" s="534">
        <v>43466</v>
      </c>
      <c r="O42" s="534">
        <v>43830</v>
      </c>
      <c r="P42" s="536">
        <f>SUMIFS($D$7:$D$174,$B$7:$B$174,"&gt;="&amp;N42,$C$7:$C$174,"&lt;="&amp;O42)/SUMIFS($D$7:$D$174,$B$7:$B$174,"&gt;="&amp;$N$42,$C$7:$C$174,"&lt;="&amp;$O$38)</f>
        <v>0.17538655474795781</v>
      </c>
      <c r="Q42" s="218">
        <f>P42*(IF(M42 &gt;5,0,VLOOKUP(M42,$I$7:$K$13,3,FALSE)))</f>
        <v>0.14539545388605701</v>
      </c>
      <c r="R42" s="284">
        <f>SUM(Q38:Q42)</f>
        <v>0.83517308048242433</v>
      </c>
    </row>
    <row r="43" spans="2:18">
      <c r="B43" s="535">
        <f>Units_month!C42</f>
        <v>41609</v>
      </c>
      <c r="C43" s="535">
        <f>Units_month!D42</f>
        <v>41639</v>
      </c>
      <c r="D43" s="488">
        <f>Units_month!E42</f>
        <v>7484</v>
      </c>
      <c r="E43" s="488"/>
      <c r="F43" s="488"/>
      <c r="G43" s="489">
        <f t="shared" si="0"/>
        <v>158335</v>
      </c>
      <c r="H43" s="239"/>
      <c r="I43" s="49"/>
      <c r="J43" s="49"/>
      <c r="K43" s="49"/>
      <c r="N43" s="285" t="s">
        <v>336</v>
      </c>
      <c r="O43" s="287"/>
      <c r="P43" s="286">
        <f>SUM(P38:P42)</f>
        <v>1</v>
      </c>
      <c r="Q43" s="532"/>
      <c r="R43" s="288"/>
    </row>
    <row r="44" spans="2:18">
      <c r="B44" s="535">
        <f>Units_month!C43</f>
        <v>41640</v>
      </c>
      <c r="C44" s="535">
        <f>Units_month!D43</f>
        <v>41670</v>
      </c>
      <c r="D44" s="46">
        <f>Units_month!E43</f>
        <v>4151</v>
      </c>
      <c r="E44" s="46"/>
      <c r="F44" s="46"/>
      <c r="G44" s="63">
        <f t="shared" si="0"/>
        <v>162486</v>
      </c>
      <c r="H44" s="239"/>
      <c r="I44" s="49"/>
      <c r="J44" s="49"/>
      <c r="K44" s="49"/>
      <c r="M44" s="38">
        <v>1</v>
      </c>
      <c r="N44" s="534">
        <v>45292</v>
      </c>
      <c r="O44" s="534">
        <v>45626</v>
      </c>
      <c r="P44" s="536">
        <f>SUMIFS($D$7:$D$174,$B$7:$B$174,"&gt;="&amp;N44,$C$7:$C$174,"&lt;="&amp;O44)/SUMIFS($D$7:$D$174,$B$7:$B$174,"&gt;="&amp;$N$48,$C$7:$C$174,"&lt;="&amp;$O$44)</f>
        <v>0.19329959969855048</v>
      </c>
      <c r="Q44" s="218">
        <f>P44*(IF(M44 &gt;5,0,VLOOKUP(M44,$I$7:$K$13,3,FALSE)))</f>
        <v>0.18788721090699106</v>
      </c>
      <c r="R44" s="227"/>
    </row>
    <row r="45" spans="2:18">
      <c r="B45" s="535">
        <f>Units_month!C44</f>
        <v>41671</v>
      </c>
      <c r="C45" s="535">
        <f>Units_month!D44</f>
        <v>41698</v>
      </c>
      <c r="D45" s="46">
        <f>Units_month!E44</f>
        <v>5186</v>
      </c>
      <c r="E45" s="46"/>
      <c r="F45" s="46"/>
      <c r="G45" s="63">
        <f t="shared" si="0"/>
        <v>167672</v>
      </c>
      <c r="H45" s="239"/>
      <c r="I45" s="49"/>
      <c r="J45" s="49"/>
      <c r="K45" s="49"/>
      <c r="M45" s="38">
        <v>2</v>
      </c>
      <c r="N45" s="534">
        <v>44927</v>
      </c>
      <c r="O45" s="534">
        <v>45291</v>
      </c>
      <c r="P45" s="536">
        <f>SUMIFS($D$7:$D$174,$B$7:$B$174,"&gt;="&amp;N45,$C$7:$C$174,"&lt;="&amp;O45)/SUMIFS($D$7:$D$174,$B$7:$B$174,"&gt;="&amp;$N$48,$C$7:$C$174,"&lt;="&amp;$O$44)</f>
        <v>0.21385297485637106</v>
      </c>
      <c r="Q45" s="218">
        <f>P45*(IF(M45 &gt;5,0,VLOOKUP(M45,$I$7:$K$13,3,FALSE)))</f>
        <v>0.17343476260851695</v>
      </c>
      <c r="R45" s="227"/>
    </row>
    <row r="46" spans="2:18">
      <c r="B46" s="535">
        <f>Units_month!C45</f>
        <v>41699</v>
      </c>
      <c r="C46" s="535">
        <f>Units_month!D45</f>
        <v>41729</v>
      </c>
      <c r="D46" s="46">
        <f>Units_month!E45</f>
        <v>4709</v>
      </c>
      <c r="E46" s="46"/>
      <c r="F46" s="46"/>
      <c r="G46" s="63">
        <f t="shared" si="0"/>
        <v>172381</v>
      </c>
      <c r="H46" s="239"/>
      <c r="I46" s="49"/>
      <c r="J46" s="49"/>
      <c r="K46" s="49"/>
      <c r="M46" s="38">
        <v>3</v>
      </c>
      <c r="N46" s="534">
        <v>44562</v>
      </c>
      <c r="O46" s="534">
        <v>44926</v>
      </c>
      <c r="P46" s="536">
        <f>SUMIFS($D$7:$D$174,$B$7:$B$174,"&gt;="&amp;N46,$C$7:$C$174,"&lt;="&amp;O46)/SUMIFS($D$7:$D$174,$B$7:$B$174,"&gt;="&amp;$N$48,$C$7:$C$174,"&lt;="&amp;$O$44)</f>
        <v>0.21385297485637106</v>
      </c>
      <c r="Q46" s="218">
        <f>P46*(IF(M46 &gt;5,0,VLOOKUP(M46,$I$7:$K$13,3,FALSE)))</f>
        <v>0.16038973114227828</v>
      </c>
      <c r="R46" s="227"/>
    </row>
    <row r="47" spans="2:18">
      <c r="B47" s="535">
        <f>Units_month!C46</f>
        <v>41730</v>
      </c>
      <c r="C47" s="535">
        <f>Units_month!D46</f>
        <v>41759</v>
      </c>
      <c r="D47" s="486">
        <f>Units_month!E46</f>
        <v>3521</v>
      </c>
      <c r="E47" s="486"/>
      <c r="F47" s="486"/>
      <c r="G47" s="487">
        <f t="shared" si="0"/>
        <v>175902</v>
      </c>
      <c r="H47" s="239"/>
      <c r="I47" s="49"/>
      <c r="J47" s="49"/>
      <c r="K47" s="49"/>
      <c r="L47" s="45"/>
      <c r="M47" s="38">
        <v>4</v>
      </c>
      <c r="N47" s="534">
        <v>44197</v>
      </c>
      <c r="O47" s="534">
        <v>44561</v>
      </c>
      <c r="P47" s="536">
        <f>SUMIFS($D$7:$D$174,$B$7:$B$174,"&gt;="&amp;N47,$C$7:$C$174,"&lt;="&amp;O47)/SUMIFS($D$7:$D$174,$B$7:$B$174,"&gt;="&amp;$N$48,$C$7:$C$174,"&lt;="&amp;$O$44)</f>
        <v>0.21385297485637106</v>
      </c>
      <c r="Q47" s="218">
        <f>P47*(IF(M47 &gt;5,0,VLOOKUP(M47,$I$7:$K$13,3,FALSE)))</f>
        <v>0.1723654977342351</v>
      </c>
      <c r="R47" s="227"/>
    </row>
    <row r="48" spans="2:18" ht="15.75" thickBot="1">
      <c r="B48" s="535">
        <f>Units_month!C47</f>
        <v>41760</v>
      </c>
      <c r="C48" s="535">
        <f>Units_month!D47</f>
        <v>41790</v>
      </c>
      <c r="D48" s="15">
        <f>Units_month!E47</f>
        <v>2337</v>
      </c>
      <c r="E48" s="15"/>
      <c r="F48" s="15"/>
      <c r="G48" s="64">
        <f t="shared" si="0"/>
        <v>178239</v>
      </c>
      <c r="H48" s="239"/>
      <c r="I48" s="49"/>
      <c r="J48" s="49"/>
      <c r="K48" s="49"/>
      <c r="M48" s="38">
        <v>5</v>
      </c>
      <c r="N48" s="534">
        <v>43831</v>
      </c>
      <c r="O48" s="534">
        <v>44196</v>
      </c>
      <c r="P48" s="536">
        <f>SUMIFS($D$7:$D$174,$B$7:$B$174,"&gt;="&amp;N48,$C$7:$C$174,"&lt;="&amp;O48)/SUMIFS($D$7:$D$174,$B$7:$B$174,"&gt;="&amp;$N$48,$C$7:$C$174,"&lt;="&amp;$O$44)</f>
        <v>0.16514147573233634</v>
      </c>
      <c r="Q48" s="245">
        <f>P48*(IF(M48 &gt;5,0,VLOOKUP(M48,$I$7:$K$13,3,FALSE)))</f>
        <v>0.13690228338210683</v>
      </c>
      <c r="R48" s="243">
        <f>SUM(Q44:Q48)</f>
        <v>0.83097948577412828</v>
      </c>
    </row>
    <row r="49" spans="2:16">
      <c r="B49" s="535">
        <f>Units_month!C48</f>
        <v>41791</v>
      </c>
      <c r="C49" s="535">
        <f>Units_month!D48</f>
        <v>41820</v>
      </c>
      <c r="D49" s="46">
        <f>Units_month!E48</f>
        <v>4702</v>
      </c>
      <c r="E49" s="46"/>
      <c r="F49" s="46"/>
      <c r="G49" s="63">
        <f t="shared" si="0"/>
        <v>182941</v>
      </c>
      <c r="H49" s="239"/>
      <c r="I49" s="49"/>
      <c r="J49" s="49"/>
      <c r="K49" s="49"/>
      <c r="P49" s="244">
        <f>SUM(P44:P48)</f>
        <v>1</v>
      </c>
    </row>
    <row r="50" spans="2:16">
      <c r="B50" s="535">
        <f>Units_month!C49</f>
        <v>41821</v>
      </c>
      <c r="C50" s="535">
        <f>Units_month!D49</f>
        <v>41851</v>
      </c>
      <c r="D50" s="46">
        <f>Units_month!E49</f>
        <v>5145</v>
      </c>
      <c r="E50" s="46"/>
      <c r="F50" s="46"/>
      <c r="G50" s="63">
        <f t="shared" si="0"/>
        <v>188086</v>
      </c>
      <c r="H50" s="239"/>
      <c r="I50" s="49"/>
      <c r="J50" s="49"/>
      <c r="K50" s="49"/>
      <c r="M50" s="49"/>
    </row>
    <row r="51" spans="2:16">
      <c r="B51" s="535">
        <f>Units_month!C50</f>
        <v>41852</v>
      </c>
      <c r="C51" s="535">
        <f>Units_month!D50</f>
        <v>41882</v>
      </c>
      <c r="D51" s="46">
        <f>Units_month!E50</f>
        <v>6848</v>
      </c>
      <c r="E51" s="46"/>
      <c r="F51" s="46"/>
      <c r="G51" s="63">
        <f t="shared" si="0"/>
        <v>194934</v>
      </c>
      <c r="H51" s="239"/>
      <c r="I51" s="49"/>
      <c r="J51" s="49"/>
      <c r="K51" s="49"/>
      <c r="M51" s="49"/>
    </row>
    <row r="52" spans="2:16">
      <c r="B52" s="535">
        <f>Units_month!C51</f>
        <v>41883</v>
      </c>
      <c r="C52" s="535">
        <f>Units_month!D51</f>
        <v>41912</v>
      </c>
      <c r="D52" s="46">
        <f>Units_month!E51</f>
        <v>2469</v>
      </c>
      <c r="E52" s="46"/>
      <c r="F52" s="46"/>
      <c r="G52" s="63">
        <f t="shared" si="0"/>
        <v>197403</v>
      </c>
      <c r="H52" s="239"/>
      <c r="I52" s="49"/>
      <c r="J52" s="49"/>
      <c r="K52" s="49"/>
      <c r="M52" s="49"/>
    </row>
    <row r="53" spans="2:16">
      <c r="B53" s="535">
        <f>Units_month!C52</f>
        <v>41913</v>
      </c>
      <c r="C53" s="535">
        <f>Units_month!D52</f>
        <v>41943</v>
      </c>
      <c r="D53" s="46">
        <f>Units_month!E52</f>
        <v>2777</v>
      </c>
      <c r="E53" s="46"/>
      <c r="F53" s="46"/>
      <c r="G53" s="63">
        <f t="shared" si="0"/>
        <v>200180</v>
      </c>
      <c r="H53" s="239"/>
      <c r="I53" s="49"/>
      <c r="J53" s="49"/>
      <c r="K53" s="49"/>
      <c r="M53" s="49"/>
    </row>
    <row r="54" spans="2:16" ht="15.75" thickBot="1">
      <c r="B54" s="535">
        <f>Units_month!C53</f>
        <v>41944</v>
      </c>
      <c r="C54" s="535">
        <f>Units_month!D53</f>
        <v>41973</v>
      </c>
      <c r="D54" s="493">
        <f>Units_month!E53</f>
        <v>2216</v>
      </c>
      <c r="E54" s="493"/>
      <c r="F54" s="493">
        <f>SUM(D43:D54)</f>
        <v>51545</v>
      </c>
      <c r="G54" s="494">
        <f t="shared" si="0"/>
        <v>202396</v>
      </c>
      <c r="H54" s="239"/>
      <c r="I54" s="49"/>
      <c r="J54" s="49"/>
      <c r="K54" s="49"/>
      <c r="M54" s="49"/>
      <c r="N54" s="45"/>
      <c r="O54" s="45"/>
    </row>
    <row r="55" spans="2:16">
      <c r="B55" s="535">
        <f>Units_month!C54</f>
        <v>41974</v>
      </c>
      <c r="C55" s="535">
        <f>Units_month!D54</f>
        <v>42004</v>
      </c>
      <c r="D55" s="15">
        <f>Units_month!E54</f>
        <v>4413</v>
      </c>
      <c r="E55" s="15"/>
      <c r="F55" s="15"/>
      <c r="G55" s="64">
        <f t="shared" si="0"/>
        <v>206809</v>
      </c>
      <c r="H55" s="239"/>
      <c r="I55" s="49"/>
      <c r="J55" s="49"/>
      <c r="K55" s="49"/>
      <c r="M55" s="49"/>
    </row>
    <row r="56" spans="2:16">
      <c r="B56" s="535">
        <f>Units_month!C55</f>
        <v>42005</v>
      </c>
      <c r="C56" s="535">
        <f>Units_month!D55</f>
        <v>42035</v>
      </c>
      <c r="D56" s="46">
        <f>Units_month!E55</f>
        <v>3234</v>
      </c>
      <c r="E56" s="46"/>
      <c r="F56" s="46"/>
      <c r="G56" s="63">
        <f t="shared" si="0"/>
        <v>210043</v>
      </c>
      <c r="H56" s="239"/>
      <c r="I56" s="49"/>
      <c r="J56" s="49"/>
      <c r="K56" s="49"/>
      <c r="M56" s="49"/>
    </row>
    <row r="57" spans="2:16">
      <c r="B57" s="535">
        <f>Units_month!C56</f>
        <v>42036</v>
      </c>
      <c r="C57" s="535">
        <f>Units_month!D56</f>
        <v>42063</v>
      </c>
      <c r="D57" s="46">
        <f>Units_month!E56</f>
        <v>4178</v>
      </c>
      <c r="E57" s="46"/>
      <c r="F57" s="46"/>
      <c r="G57" s="63">
        <f t="shared" si="0"/>
        <v>214221</v>
      </c>
      <c r="H57" s="239"/>
      <c r="I57" s="49"/>
      <c r="J57" s="49"/>
      <c r="K57" s="49"/>
      <c r="M57" s="49"/>
    </row>
    <row r="58" spans="2:16">
      <c r="B58" s="535">
        <f>Units_month!C57</f>
        <v>42064</v>
      </c>
      <c r="C58" s="535">
        <f>Units_month!D57</f>
        <v>42094</v>
      </c>
      <c r="D58" s="46">
        <f>Units_month!E57</f>
        <v>3932</v>
      </c>
      <c r="E58" s="46"/>
      <c r="F58" s="46"/>
      <c r="G58" s="63">
        <f t="shared" si="0"/>
        <v>218153</v>
      </c>
      <c r="H58" s="239"/>
      <c r="I58" s="49"/>
      <c r="J58" s="49"/>
      <c r="K58" s="49"/>
      <c r="M58" s="49"/>
    </row>
    <row r="59" spans="2:16">
      <c r="B59" s="535">
        <f>Units_month!C58</f>
        <v>42095</v>
      </c>
      <c r="C59" s="535">
        <f>Units_month!D58</f>
        <v>42124</v>
      </c>
      <c r="D59" s="486">
        <f>Units_month!E58</f>
        <v>1735</v>
      </c>
      <c r="E59" s="486"/>
      <c r="F59" s="486"/>
      <c r="G59" s="487">
        <f t="shared" si="0"/>
        <v>219888</v>
      </c>
      <c r="H59" s="239"/>
      <c r="I59" s="49"/>
      <c r="J59" s="49"/>
      <c r="K59" s="49"/>
      <c r="L59" s="45"/>
      <c r="M59" s="49"/>
      <c r="P59" s="45"/>
    </row>
    <row r="60" spans="2:16">
      <c r="B60" s="535">
        <f>Units_month!C59</f>
        <v>42125</v>
      </c>
      <c r="C60" s="535">
        <f>Units_month!D59</f>
        <v>42155</v>
      </c>
      <c r="D60" s="15">
        <f>Units_month!E59</f>
        <v>3697</v>
      </c>
      <c r="E60" s="15"/>
      <c r="F60" s="15"/>
      <c r="G60" s="64">
        <f t="shared" si="0"/>
        <v>223585</v>
      </c>
      <c r="H60" s="239"/>
      <c r="I60" s="49"/>
      <c r="J60" s="49"/>
      <c r="K60" s="49"/>
      <c r="M60" s="49"/>
    </row>
    <row r="61" spans="2:16">
      <c r="B61" s="535">
        <f>Units_month!C60</f>
        <v>42156</v>
      </c>
      <c r="C61" s="535">
        <f>Units_month!D60</f>
        <v>42185</v>
      </c>
      <c r="D61" s="46">
        <f>Units_month!E60</f>
        <v>5191</v>
      </c>
      <c r="E61" s="46"/>
      <c r="F61" s="46"/>
      <c r="G61" s="63">
        <f t="shared" si="0"/>
        <v>228776</v>
      </c>
      <c r="H61" s="239"/>
      <c r="I61" s="49"/>
      <c r="J61" s="49"/>
      <c r="K61" s="49"/>
      <c r="M61" s="49"/>
    </row>
    <row r="62" spans="2:16">
      <c r="B62" s="535">
        <f>Units_month!C61</f>
        <v>42186</v>
      </c>
      <c r="C62" s="535">
        <f>Units_month!D61</f>
        <v>42216</v>
      </c>
      <c r="D62" s="46">
        <f>Units_month!E61</f>
        <v>3398</v>
      </c>
      <c r="E62" s="46"/>
      <c r="F62" s="46"/>
      <c r="G62" s="63">
        <f t="shared" si="0"/>
        <v>232174</v>
      </c>
      <c r="H62" s="239"/>
      <c r="I62" s="49"/>
      <c r="J62" s="49"/>
      <c r="K62" s="49"/>
      <c r="M62" s="49"/>
    </row>
    <row r="63" spans="2:16">
      <c r="B63" s="535">
        <f>Units_month!C62</f>
        <v>42217</v>
      </c>
      <c r="C63" s="535">
        <f>Units_month!D62</f>
        <v>42247</v>
      </c>
      <c r="D63" s="46">
        <f>Units_month!E62</f>
        <v>2951</v>
      </c>
      <c r="E63" s="46"/>
      <c r="F63" s="46"/>
      <c r="G63" s="63">
        <f t="shared" si="0"/>
        <v>235125</v>
      </c>
      <c r="H63" s="239"/>
      <c r="I63" s="49"/>
      <c r="J63" s="49"/>
      <c r="K63" s="49"/>
      <c r="M63" s="49"/>
    </row>
    <row r="64" spans="2:16">
      <c r="B64" s="535">
        <f>Units_month!C63</f>
        <v>42248</v>
      </c>
      <c r="C64" s="535">
        <f>Units_month!D63</f>
        <v>42277</v>
      </c>
      <c r="D64" s="46">
        <f>Units_month!E63</f>
        <v>3906</v>
      </c>
      <c r="E64" s="46"/>
      <c r="F64" s="46"/>
      <c r="G64" s="63">
        <f t="shared" si="0"/>
        <v>239031</v>
      </c>
      <c r="H64" s="239"/>
      <c r="I64" s="49"/>
      <c r="J64" s="49"/>
      <c r="K64" s="49"/>
      <c r="M64" s="49"/>
    </row>
    <row r="65" spans="2:16">
      <c r="B65" s="535">
        <f>Units_month!C64</f>
        <v>42278</v>
      </c>
      <c r="C65" s="535">
        <f>Units_month!D64</f>
        <v>42308</v>
      </c>
      <c r="D65" s="46">
        <f>Units_month!E64</f>
        <v>2254</v>
      </c>
      <c r="E65" s="46"/>
      <c r="F65" s="46"/>
      <c r="G65" s="63">
        <f t="shared" si="0"/>
        <v>241285</v>
      </c>
      <c r="H65" s="239"/>
      <c r="I65" s="49"/>
      <c r="J65" s="49"/>
      <c r="K65" s="49"/>
      <c r="M65" s="49"/>
    </row>
    <row r="66" spans="2:16" ht="15.75" thickBot="1">
      <c r="B66" s="535">
        <f>Units_month!C65</f>
        <v>42309</v>
      </c>
      <c r="C66" s="535">
        <f>Units_month!D65</f>
        <v>42338</v>
      </c>
      <c r="D66" s="497">
        <f>Units_month!E65</f>
        <v>3795</v>
      </c>
      <c r="E66" s="497"/>
      <c r="F66" s="493">
        <f>SUM(D55:D66)</f>
        <v>42684</v>
      </c>
      <c r="G66" s="498">
        <f t="shared" si="0"/>
        <v>245080</v>
      </c>
      <c r="H66" s="239"/>
      <c r="I66" s="49"/>
      <c r="J66" s="49"/>
      <c r="K66" s="49"/>
      <c r="M66" s="49"/>
      <c r="N66" s="45"/>
      <c r="O66" s="45"/>
    </row>
    <row r="67" spans="2:16">
      <c r="B67" s="535">
        <f>Units_month!C66</f>
        <v>42339</v>
      </c>
      <c r="C67" s="535">
        <f>Units_month!D66</f>
        <v>42369</v>
      </c>
      <c r="D67" s="499">
        <f>Units_month!E66</f>
        <v>5009</v>
      </c>
      <c r="E67" s="499"/>
      <c r="F67" s="499"/>
      <c r="G67" s="500">
        <f t="shared" si="0"/>
        <v>250089</v>
      </c>
      <c r="H67" s="239"/>
      <c r="I67" s="49"/>
      <c r="J67" s="49"/>
      <c r="K67" s="49"/>
      <c r="M67" s="49"/>
    </row>
    <row r="68" spans="2:16">
      <c r="B68" s="535">
        <f>Units_month!C67</f>
        <v>42370</v>
      </c>
      <c r="C68" s="535">
        <f>Units_month!D67</f>
        <v>42400</v>
      </c>
      <c r="D68" s="46">
        <f>Units_month!E67</f>
        <v>3857</v>
      </c>
      <c r="E68" s="46"/>
      <c r="F68" s="46"/>
      <c r="G68" s="63">
        <f t="shared" si="0"/>
        <v>253946</v>
      </c>
      <c r="H68" s="239"/>
      <c r="I68" s="49"/>
      <c r="J68" s="49"/>
      <c r="K68" s="49"/>
      <c r="M68" s="49"/>
    </row>
    <row r="69" spans="2:16">
      <c r="B69" s="535">
        <f>Units_month!C68</f>
        <v>42401</v>
      </c>
      <c r="C69" s="535">
        <f>Units_month!D68</f>
        <v>42429</v>
      </c>
      <c r="D69" s="46">
        <f>Units_month!E68</f>
        <v>4791</v>
      </c>
      <c r="E69" s="46"/>
      <c r="F69" s="46"/>
      <c r="G69" s="63">
        <f t="shared" si="0"/>
        <v>258737</v>
      </c>
      <c r="H69" s="239"/>
      <c r="I69" s="49"/>
      <c r="J69" s="49"/>
      <c r="K69" s="49"/>
      <c r="M69" s="49"/>
    </row>
    <row r="70" spans="2:16">
      <c r="B70" s="535">
        <f>Units_month!C69</f>
        <v>42430</v>
      </c>
      <c r="C70" s="535">
        <f>Units_month!D69</f>
        <v>42460</v>
      </c>
      <c r="D70" s="46">
        <f>Units_month!E69</f>
        <v>3840</v>
      </c>
      <c r="E70" s="46"/>
      <c r="F70" s="46"/>
      <c r="G70" s="63">
        <f t="shared" si="0"/>
        <v>262577</v>
      </c>
      <c r="H70" s="239"/>
      <c r="I70" s="49"/>
      <c r="J70" s="49"/>
      <c r="K70" s="49"/>
      <c r="M70" s="49"/>
    </row>
    <row r="71" spans="2:16">
      <c r="B71" s="535">
        <f>Units_month!C70</f>
        <v>42461</v>
      </c>
      <c r="C71" s="535">
        <f>Units_month!D70</f>
        <v>42490</v>
      </c>
      <c r="D71" s="486">
        <f>Units_month!E70</f>
        <v>3079</v>
      </c>
      <c r="E71" s="486"/>
      <c r="F71" s="486"/>
      <c r="G71" s="487">
        <f t="shared" si="0"/>
        <v>265656</v>
      </c>
      <c r="H71" s="239"/>
      <c r="I71" s="49"/>
      <c r="J71" s="49"/>
      <c r="K71" s="49"/>
      <c r="L71" s="45"/>
      <c r="M71" s="49"/>
      <c r="P71" s="45"/>
    </row>
    <row r="72" spans="2:16">
      <c r="B72" s="535">
        <f>Units_month!C71</f>
        <v>42491</v>
      </c>
      <c r="C72" s="535">
        <f>Units_month!D71</f>
        <v>42521</v>
      </c>
      <c r="D72" s="15">
        <f>Units_month!E71</f>
        <v>4861</v>
      </c>
      <c r="E72" s="15"/>
      <c r="F72" s="15"/>
      <c r="G72" s="64">
        <f t="shared" si="0"/>
        <v>270517</v>
      </c>
      <c r="H72" s="239"/>
      <c r="I72" s="49"/>
      <c r="J72" s="49"/>
      <c r="K72" s="49"/>
      <c r="M72" s="49"/>
      <c r="P72" s="51"/>
    </row>
    <row r="73" spans="2:16">
      <c r="B73" s="535">
        <f>Units_month!C72</f>
        <v>42522</v>
      </c>
      <c r="C73" s="535">
        <f>Units_month!D72</f>
        <v>42551</v>
      </c>
      <c r="D73" s="46">
        <f>Units_month!E72</f>
        <v>6614</v>
      </c>
      <c r="E73" s="46"/>
      <c r="F73" s="46"/>
      <c r="G73" s="63">
        <f t="shared" ref="G73:G136" si="2">G72+D73</f>
        <v>277131</v>
      </c>
      <c r="H73" s="239"/>
      <c r="I73" s="49"/>
      <c r="J73" s="49"/>
      <c r="K73" s="49"/>
      <c r="M73" s="49"/>
      <c r="P73" s="45"/>
    </row>
    <row r="74" spans="2:16">
      <c r="B74" s="535">
        <f>Units_month!C73</f>
        <v>42552</v>
      </c>
      <c r="C74" s="535">
        <f>Units_month!D73</f>
        <v>42582</v>
      </c>
      <c r="D74" s="46">
        <f>Units_month!E73</f>
        <v>4050</v>
      </c>
      <c r="E74" s="46"/>
      <c r="F74" s="46"/>
      <c r="G74" s="63">
        <f t="shared" si="2"/>
        <v>281181</v>
      </c>
      <c r="H74" s="239"/>
      <c r="I74" s="49"/>
      <c r="J74" s="49"/>
      <c r="K74" s="49"/>
      <c r="M74" s="49"/>
      <c r="P74" s="12"/>
    </row>
    <row r="75" spans="2:16">
      <c r="B75" s="535">
        <f>Units_month!C74</f>
        <v>42583</v>
      </c>
      <c r="C75" s="535">
        <f>Units_month!D74</f>
        <v>42613</v>
      </c>
      <c r="D75" s="46">
        <f>Units_month!E74</f>
        <v>3577</v>
      </c>
      <c r="E75" s="46"/>
      <c r="F75" s="46"/>
      <c r="G75" s="63">
        <f t="shared" si="2"/>
        <v>284758</v>
      </c>
      <c r="H75" s="239"/>
      <c r="I75" s="49"/>
      <c r="J75" s="49"/>
      <c r="K75" s="49"/>
      <c r="M75" s="49"/>
    </row>
    <row r="76" spans="2:16">
      <c r="B76" s="535">
        <f>Units_month!C75</f>
        <v>42614</v>
      </c>
      <c r="C76" s="535">
        <f>Units_month!D75</f>
        <v>42643</v>
      </c>
      <c r="D76" s="46">
        <f>Units_month!E75</f>
        <v>5804</v>
      </c>
      <c r="E76" s="46"/>
      <c r="F76" s="46"/>
      <c r="G76" s="63">
        <f t="shared" si="2"/>
        <v>290562</v>
      </c>
      <c r="H76" s="239"/>
      <c r="I76" s="49"/>
      <c r="J76" s="49"/>
      <c r="K76" s="49"/>
      <c r="M76" s="49"/>
    </row>
    <row r="77" spans="2:16">
      <c r="B77" s="535">
        <f>Units_month!C76</f>
        <v>42644</v>
      </c>
      <c r="C77" s="535">
        <f>Units_month!D76</f>
        <v>42674</v>
      </c>
      <c r="D77" s="46">
        <f>Units_month!E76</f>
        <v>3154</v>
      </c>
      <c r="E77" s="46"/>
      <c r="F77" s="46"/>
      <c r="G77" s="63">
        <f t="shared" si="2"/>
        <v>293716</v>
      </c>
      <c r="H77" s="239"/>
      <c r="I77" s="49"/>
      <c r="J77" s="49"/>
      <c r="K77" s="49"/>
      <c r="M77" s="49"/>
    </row>
    <row r="78" spans="2:16" ht="15.75" thickBot="1">
      <c r="B78" s="535">
        <f>Units_month!C77</f>
        <v>42675</v>
      </c>
      <c r="C78" s="535">
        <f>Units_month!D77</f>
        <v>42704</v>
      </c>
      <c r="D78" s="493">
        <f>Units_month!E77</f>
        <v>4090</v>
      </c>
      <c r="E78" s="493"/>
      <c r="F78" s="493">
        <f>SUM(D67:D78)</f>
        <v>52726</v>
      </c>
      <c r="G78" s="494">
        <f t="shared" si="2"/>
        <v>297806</v>
      </c>
      <c r="H78" s="239"/>
      <c r="I78" s="49"/>
      <c r="J78" s="49"/>
      <c r="K78" s="49"/>
      <c r="M78" s="49"/>
      <c r="N78" s="45"/>
      <c r="O78" s="45"/>
    </row>
    <row r="79" spans="2:16">
      <c r="B79" s="535">
        <f>Units_month!C78</f>
        <v>42705</v>
      </c>
      <c r="C79" s="535">
        <f>Units_month!D78</f>
        <v>42735</v>
      </c>
      <c r="D79" s="15">
        <f>Units_month!E78</f>
        <v>5674</v>
      </c>
      <c r="E79" s="15"/>
      <c r="F79" s="15"/>
      <c r="G79" s="64">
        <f t="shared" si="2"/>
        <v>303480</v>
      </c>
      <c r="H79" s="239"/>
      <c r="I79" s="49"/>
      <c r="J79" s="49"/>
      <c r="K79" s="49"/>
      <c r="M79" s="49"/>
      <c r="N79" s="51"/>
      <c r="O79" s="51"/>
    </row>
    <row r="80" spans="2:16">
      <c r="B80" s="535">
        <f>Units_month!C79</f>
        <v>42736</v>
      </c>
      <c r="C80" s="535">
        <f>Units_month!D79</f>
        <v>42766</v>
      </c>
      <c r="D80" s="46">
        <f>Units_month!E79</f>
        <v>7198</v>
      </c>
      <c r="E80" s="46"/>
      <c r="F80" s="46"/>
      <c r="G80" s="63">
        <f t="shared" si="2"/>
        <v>310678</v>
      </c>
      <c r="H80" s="239"/>
      <c r="I80" s="49"/>
      <c r="J80" s="49"/>
      <c r="K80" s="49"/>
      <c r="M80" s="49"/>
      <c r="N80" s="45"/>
      <c r="O80" s="45"/>
    </row>
    <row r="81" spans="2:15">
      <c r="B81" s="535">
        <f>Units_month!C80</f>
        <v>42767</v>
      </c>
      <c r="C81" s="535">
        <f>Units_month!D80</f>
        <v>42794</v>
      </c>
      <c r="D81" s="46">
        <f>Units_month!E80</f>
        <v>4971</v>
      </c>
      <c r="E81" s="46"/>
      <c r="F81" s="46"/>
      <c r="G81" s="63">
        <f t="shared" si="2"/>
        <v>315649</v>
      </c>
      <c r="H81" s="239"/>
      <c r="I81" s="49"/>
      <c r="J81" s="49"/>
      <c r="K81" s="49"/>
      <c r="M81" s="49"/>
      <c r="N81" s="12"/>
      <c r="O81" s="12"/>
    </row>
    <row r="82" spans="2:15">
      <c r="B82" s="535">
        <f>Units_month!C81</f>
        <v>42795</v>
      </c>
      <c r="C82" s="535">
        <f>Units_month!D81</f>
        <v>42825</v>
      </c>
      <c r="D82" s="46">
        <f>Units_month!E81</f>
        <v>4522</v>
      </c>
      <c r="E82" s="46"/>
      <c r="F82" s="46"/>
      <c r="G82" s="63">
        <f t="shared" si="2"/>
        <v>320171</v>
      </c>
      <c r="H82" s="239"/>
      <c r="I82" s="49"/>
      <c r="J82" s="49"/>
      <c r="K82" s="49"/>
      <c r="M82" s="49"/>
    </row>
    <row r="83" spans="2:15">
      <c r="B83" s="535">
        <f>Units_month!C82</f>
        <v>42826</v>
      </c>
      <c r="C83" s="535">
        <f>Units_month!D82</f>
        <v>42855</v>
      </c>
      <c r="D83" s="486">
        <f>Units_month!E82</f>
        <v>4309</v>
      </c>
      <c r="E83" s="486"/>
      <c r="F83" s="486"/>
      <c r="G83" s="487">
        <f t="shared" si="2"/>
        <v>324480</v>
      </c>
      <c r="H83" s="239"/>
      <c r="I83" s="49"/>
      <c r="J83" s="49"/>
      <c r="K83" s="49"/>
      <c r="L83" s="45"/>
      <c r="M83" s="50"/>
    </row>
    <row r="84" spans="2:15">
      <c r="B84" s="535">
        <f>Units_month!C83</f>
        <v>42856</v>
      </c>
      <c r="C84" s="535">
        <f>Units_month!D83</f>
        <v>42886</v>
      </c>
      <c r="D84" s="15">
        <f>Units_month!E83</f>
        <v>3512</v>
      </c>
      <c r="E84" s="15"/>
      <c r="F84" s="15"/>
      <c r="G84" s="506">
        <f t="shared" si="2"/>
        <v>327992</v>
      </c>
      <c r="H84" s="239"/>
      <c r="I84" s="49"/>
      <c r="J84" s="49"/>
      <c r="K84" s="49"/>
      <c r="M84" s="50"/>
    </row>
    <row r="85" spans="2:15">
      <c r="B85" s="535">
        <f>Units_month!C84</f>
        <v>42887</v>
      </c>
      <c r="C85" s="535">
        <f>Units_month!D84</f>
        <v>42916</v>
      </c>
      <c r="D85" s="46">
        <f>Units_month!E84</f>
        <v>2897</v>
      </c>
      <c r="E85" s="46"/>
      <c r="F85" s="46"/>
      <c r="G85" s="234">
        <f t="shared" si="2"/>
        <v>330889</v>
      </c>
      <c r="H85" s="239"/>
      <c r="I85" s="49"/>
      <c r="J85" s="49"/>
      <c r="K85" s="49"/>
      <c r="M85" s="50"/>
    </row>
    <row r="86" spans="2:15">
      <c r="B86" s="535">
        <f>Units_month!C85</f>
        <v>42917</v>
      </c>
      <c r="C86" s="535">
        <f>Units_month!D85</f>
        <v>42947</v>
      </c>
      <c r="D86" s="46">
        <f>Units_month!E85</f>
        <v>2402</v>
      </c>
      <c r="E86" s="46"/>
      <c r="F86" s="46"/>
      <c r="G86" s="234">
        <f t="shared" si="2"/>
        <v>333291</v>
      </c>
      <c r="H86" s="239"/>
      <c r="I86" s="49"/>
      <c r="J86" s="49"/>
      <c r="K86" s="49"/>
    </row>
    <row r="87" spans="2:15">
      <c r="B87" s="535">
        <f>Units_month!C86</f>
        <v>42948</v>
      </c>
      <c r="C87" s="535">
        <f>Units_month!D86</f>
        <v>42978</v>
      </c>
      <c r="D87" s="46">
        <f>Units_month!E86</f>
        <v>2656</v>
      </c>
      <c r="E87" s="46"/>
      <c r="F87" s="46"/>
      <c r="G87" s="234">
        <f t="shared" si="2"/>
        <v>335947</v>
      </c>
      <c r="H87" s="239"/>
      <c r="I87" s="49"/>
      <c r="J87" s="49"/>
      <c r="K87" s="49"/>
    </row>
    <row r="88" spans="2:15">
      <c r="B88" s="535">
        <f>Units_month!C87</f>
        <v>42979</v>
      </c>
      <c r="C88" s="535">
        <f>Units_month!D87</f>
        <v>43008</v>
      </c>
      <c r="D88" s="46">
        <f>Units_month!E87</f>
        <v>3834</v>
      </c>
      <c r="E88" s="46"/>
      <c r="F88" s="46"/>
      <c r="G88" s="234">
        <f t="shared" si="2"/>
        <v>339781</v>
      </c>
      <c r="H88" s="239"/>
      <c r="I88" s="49"/>
      <c r="J88" s="49"/>
      <c r="K88" s="49"/>
    </row>
    <row r="89" spans="2:15">
      <c r="B89" s="535">
        <f>Units_month!C88</f>
        <v>43009</v>
      </c>
      <c r="C89" s="535">
        <f>Units_month!D88</f>
        <v>43039</v>
      </c>
      <c r="D89" s="46">
        <f>Units_month!E88</f>
        <v>5672</v>
      </c>
      <c r="E89" s="46"/>
      <c r="F89" s="221"/>
      <c r="G89" s="235">
        <f t="shared" si="2"/>
        <v>345453</v>
      </c>
      <c r="H89" s="239"/>
      <c r="I89" s="49"/>
      <c r="J89" s="49"/>
      <c r="K89" s="49"/>
    </row>
    <row r="90" spans="2:15" ht="15.75" thickBot="1">
      <c r="B90" s="535">
        <f>Units_month!C89</f>
        <v>43040</v>
      </c>
      <c r="C90" s="535">
        <f>Units_month!D89</f>
        <v>43069</v>
      </c>
      <c r="D90" s="497">
        <f>Units_month!E89</f>
        <v>2424</v>
      </c>
      <c r="E90" s="479"/>
      <c r="F90" s="493">
        <f>SUM(D79:D90)</f>
        <v>50071</v>
      </c>
      <c r="G90" s="481">
        <f t="shared" si="2"/>
        <v>347877</v>
      </c>
      <c r="H90" s="239"/>
      <c r="I90" s="49"/>
      <c r="J90" s="49"/>
      <c r="K90" s="49"/>
    </row>
    <row r="91" spans="2:15" ht="15.75" thickBot="1">
      <c r="B91" s="535">
        <f>Units_month!C90</f>
        <v>43070</v>
      </c>
      <c r="C91" s="535">
        <f>Units_month!D90</f>
        <v>43100</v>
      </c>
      <c r="D91" s="501">
        <f>Units_month!E90</f>
        <v>3788</v>
      </c>
      <c r="E91" s="502"/>
      <c r="F91" s="502"/>
      <c r="G91" s="503">
        <f t="shared" si="2"/>
        <v>351665</v>
      </c>
      <c r="H91" s="239"/>
      <c r="I91" s="49"/>
      <c r="J91" s="49"/>
      <c r="K91" s="49"/>
    </row>
    <row r="92" spans="2:15" ht="15.75" customHeight="1" thickBot="1">
      <c r="B92" s="535">
        <f>Units_month!C91</f>
        <v>43101</v>
      </c>
      <c r="C92" s="535">
        <f>Units_month!D91</f>
        <v>43131</v>
      </c>
      <c r="D92" s="222">
        <f>Units_month!E91</f>
        <v>1857</v>
      </c>
      <c r="E92" s="223"/>
      <c r="F92" s="223"/>
      <c r="G92" s="233">
        <f t="shared" si="2"/>
        <v>353522</v>
      </c>
      <c r="H92" s="239"/>
      <c r="I92" s="49"/>
      <c r="J92" s="49"/>
      <c r="K92" s="49"/>
    </row>
    <row r="93" spans="2:15" ht="15.75" thickBot="1">
      <c r="B93" s="535">
        <f>Units_month!C92</f>
        <v>43132</v>
      </c>
      <c r="C93" s="535">
        <f>Units_month!D92</f>
        <v>43159</v>
      </c>
      <c r="D93" s="222">
        <f>Units_month!E92</f>
        <v>1429</v>
      </c>
      <c r="E93" s="223"/>
      <c r="F93" s="223"/>
      <c r="G93" s="233">
        <f t="shared" si="2"/>
        <v>354951</v>
      </c>
      <c r="H93" s="239"/>
      <c r="I93" s="49"/>
      <c r="J93" s="49"/>
      <c r="K93" s="49"/>
    </row>
    <row r="94" spans="2:15" ht="15.75" thickBot="1">
      <c r="B94" s="535">
        <f>Units_month!C93</f>
        <v>43160</v>
      </c>
      <c r="C94" s="535">
        <f>Units_month!D93</f>
        <v>43190</v>
      </c>
      <c r="D94" s="222">
        <f>Units_month!E93</f>
        <v>2944</v>
      </c>
      <c r="E94" s="223"/>
      <c r="F94" s="223"/>
      <c r="G94" s="233">
        <f t="shared" si="2"/>
        <v>357895</v>
      </c>
      <c r="H94" s="239"/>
      <c r="I94" s="49"/>
      <c r="J94" s="49"/>
      <c r="K94" s="49"/>
    </row>
    <row r="95" spans="2:15">
      <c r="B95" s="535">
        <f>Units_month!C94</f>
        <v>43191</v>
      </c>
      <c r="C95" s="535">
        <f>Units_month!D94</f>
        <v>43220</v>
      </c>
      <c r="D95" s="504">
        <f>Units_month!E94</f>
        <v>928</v>
      </c>
      <c r="E95" s="505"/>
      <c r="F95" s="504"/>
      <c r="G95" s="233">
        <f t="shared" si="2"/>
        <v>358823</v>
      </c>
      <c r="H95" s="239"/>
      <c r="I95" s="49"/>
      <c r="J95" s="49"/>
      <c r="K95" s="49"/>
    </row>
    <row r="96" spans="2:15" ht="15.75" thickBot="1">
      <c r="B96" s="535">
        <f>Units_month!C95</f>
        <v>43221</v>
      </c>
      <c r="C96" s="535">
        <f>Units_month!D95</f>
        <v>43251</v>
      </c>
      <c r="D96" s="224">
        <f>Units_month!E95</f>
        <v>1387</v>
      </c>
      <c r="E96" s="507"/>
      <c r="F96" s="508"/>
      <c r="G96" s="478">
        <f t="shared" si="2"/>
        <v>360210</v>
      </c>
      <c r="H96" s="239"/>
      <c r="I96" s="49"/>
      <c r="J96" s="49"/>
      <c r="K96" s="49"/>
      <c r="L96" s="45"/>
    </row>
    <row r="97" spans="2:12" ht="15.75" thickBot="1">
      <c r="B97" s="535">
        <f>Units_month!C96</f>
        <v>43252</v>
      </c>
      <c r="C97" s="535">
        <f>Units_month!D96</f>
        <v>43281</v>
      </c>
      <c r="D97" s="222">
        <f>Units_month!E96</f>
        <v>3117</v>
      </c>
      <c r="E97" s="225"/>
      <c r="F97" s="223"/>
      <c r="G97" s="233">
        <f t="shared" si="2"/>
        <v>363327</v>
      </c>
      <c r="H97" s="239"/>
      <c r="I97" s="49"/>
      <c r="J97" s="49"/>
      <c r="K97" s="49"/>
    </row>
    <row r="98" spans="2:12" ht="15.75" thickBot="1">
      <c r="B98" s="535">
        <f>Units_month!C97</f>
        <v>43282</v>
      </c>
      <c r="C98" s="535">
        <f>Units_month!D97</f>
        <v>43312</v>
      </c>
      <c r="D98" s="222">
        <f>Units_month!E97</f>
        <v>1468</v>
      </c>
      <c r="E98" s="225"/>
      <c r="F98" s="223"/>
      <c r="G98" s="233">
        <f t="shared" si="2"/>
        <v>364795</v>
      </c>
      <c r="H98" s="239"/>
      <c r="I98" s="49"/>
      <c r="J98" s="49"/>
      <c r="K98" s="49"/>
    </row>
    <row r="99" spans="2:12" ht="15.75" thickBot="1">
      <c r="B99" s="535">
        <f>Units_month!C98</f>
        <v>43313</v>
      </c>
      <c r="C99" s="535">
        <f>Units_month!D98</f>
        <v>43343</v>
      </c>
      <c r="D99" s="222">
        <f>Units_month!E98</f>
        <v>3826</v>
      </c>
      <c r="E99" s="225"/>
      <c r="F99" s="223"/>
      <c r="G99" s="233">
        <f t="shared" si="2"/>
        <v>368621</v>
      </c>
      <c r="H99" s="239"/>
      <c r="I99" s="49"/>
      <c r="J99" s="49"/>
      <c r="K99" s="49"/>
    </row>
    <row r="100" spans="2:12" ht="15.75" thickBot="1">
      <c r="B100" s="535">
        <f>Units_month!C99</f>
        <v>43344</v>
      </c>
      <c r="C100" s="535">
        <f>Units_month!D99</f>
        <v>43373</v>
      </c>
      <c r="D100" s="222">
        <f>Units_month!E99</f>
        <v>4648</v>
      </c>
      <c r="E100" s="225"/>
      <c r="F100" s="223"/>
      <c r="G100" s="233">
        <f t="shared" si="2"/>
        <v>373269</v>
      </c>
      <c r="H100" s="239"/>
      <c r="I100" s="49"/>
      <c r="J100" s="49"/>
      <c r="K100" s="49"/>
    </row>
    <row r="101" spans="2:12" ht="15.75" thickBot="1">
      <c r="B101" s="535">
        <f>Units_month!C100</f>
        <v>43374</v>
      </c>
      <c r="C101" s="535">
        <f>Units_month!D100</f>
        <v>43404</v>
      </c>
      <c r="D101" s="222">
        <f>Units_month!E100</f>
        <v>2822</v>
      </c>
      <c r="E101" s="225"/>
      <c r="F101" s="223"/>
      <c r="G101" s="233">
        <f t="shared" si="2"/>
        <v>376091</v>
      </c>
      <c r="H101" s="239"/>
      <c r="I101" s="49"/>
      <c r="J101" s="49"/>
      <c r="K101" s="49"/>
    </row>
    <row r="102" spans="2:12" ht="15.75" thickBot="1">
      <c r="B102" s="535">
        <f>Units_month!C101</f>
        <v>43405</v>
      </c>
      <c r="C102" s="535">
        <f>Units_month!D101</f>
        <v>43434</v>
      </c>
      <c r="D102" s="479">
        <f>Units_month!E101</f>
        <v>3409</v>
      </c>
      <c r="E102" s="480"/>
      <c r="F102" s="493">
        <f>SUM(D91:D102)</f>
        <v>31623</v>
      </c>
      <c r="G102" s="481">
        <f t="shared" si="2"/>
        <v>379500</v>
      </c>
      <c r="H102" s="49" t="s">
        <v>457</v>
      </c>
      <c r="I102" s="49"/>
      <c r="J102" s="49"/>
      <c r="K102" s="49"/>
    </row>
    <row r="103" spans="2:12" ht="15.75" thickBot="1">
      <c r="B103" s="535">
        <f>Units_month!C102</f>
        <v>43435</v>
      </c>
      <c r="C103" s="535">
        <f>Units_month!D102</f>
        <v>43465</v>
      </c>
      <c r="D103" s="224">
        <f>Units_month!E102</f>
        <v>3944</v>
      </c>
      <c r="E103" s="477"/>
      <c r="F103" s="231"/>
      <c r="G103" s="478">
        <f t="shared" si="2"/>
        <v>383444</v>
      </c>
      <c r="H103" s="239"/>
      <c r="I103" s="49"/>
      <c r="J103" s="49"/>
      <c r="K103" s="49"/>
    </row>
    <row r="104" spans="2:12" ht="15.75" thickBot="1">
      <c r="B104" s="535">
        <f>Units_month!C103</f>
        <v>43466</v>
      </c>
      <c r="C104" s="535">
        <f>Units_month!D103</f>
        <v>43496</v>
      </c>
      <c r="D104" s="222">
        <f>Units_month!E103</f>
        <v>3299</v>
      </c>
      <c r="E104" s="226"/>
      <c r="F104" s="228"/>
      <c r="G104" s="233">
        <f t="shared" si="2"/>
        <v>386743</v>
      </c>
      <c r="H104" s="239"/>
      <c r="I104" s="49"/>
      <c r="J104" s="49"/>
      <c r="K104" s="49"/>
    </row>
    <row r="105" spans="2:12" ht="15.75" thickBot="1">
      <c r="B105" s="535">
        <f>Units_month!C104</f>
        <v>43497</v>
      </c>
      <c r="C105" s="535">
        <f>Units_month!D104</f>
        <v>43524</v>
      </c>
      <c r="D105" s="222">
        <f>Units_month!E104</f>
        <v>4190</v>
      </c>
      <c r="E105" s="226"/>
      <c r="F105" s="228"/>
      <c r="G105" s="233">
        <f t="shared" si="2"/>
        <v>390933</v>
      </c>
      <c r="H105" s="239"/>
      <c r="I105" s="49"/>
      <c r="J105" s="49"/>
      <c r="K105" s="49"/>
    </row>
    <row r="106" spans="2:12" ht="15.75" thickBot="1">
      <c r="B106" s="535">
        <f>Units_month!C105</f>
        <v>43525</v>
      </c>
      <c r="C106" s="535">
        <f>Units_month!D105</f>
        <v>43555</v>
      </c>
      <c r="D106" s="222">
        <f>Units_month!E105</f>
        <v>2244</v>
      </c>
      <c r="E106" s="226"/>
      <c r="F106" s="228"/>
      <c r="G106" s="233">
        <f t="shared" si="2"/>
        <v>393177</v>
      </c>
      <c r="H106" s="239"/>
      <c r="I106" s="49"/>
      <c r="J106" s="49"/>
      <c r="K106" s="49"/>
    </row>
    <row r="107" spans="2:12">
      <c r="B107" s="535">
        <f>Units_month!C106</f>
        <v>43556</v>
      </c>
      <c r="C107" s="535">
        <f>Units_month!D106</f>
        <v>43585</v>
      </c>
      <c r="D107" s="504">
        <f>Units_month!E106</f>
        <v>2808</v>
      </c>
      <c r="E107" s="505"/>
      <c r="F107" s="504"/>
      <c r="G107" s="233">
        <f t="shared" si="2"/>
        <v>395985</v>
      </c>
      <c r="H107" s="239"/>
      <c r="I107" s="49"/>
      <c r="J107" s="49"/>
      <c r="K107" s="49"/>
      <c r="L107" s="49"/>
    </row>
    <row r="108" spans="2:12" ht="15.75" thickBot="1">
      <c r="B108" s="535">
        <f>Units_month!C107</f>
        <v>43586</v>
      </c>
      <c r="C108" s="535">
        <f>Units_month!D107</f>
        <v>43616</v>
      </c>
      <c r="D108" s="224">
        <f>Units_month!E107</f>
        <v>3883</v>
      </c>
      <c r="E108" s="477"/>
      <c r="F108" s="231"/>
      <c r="G108" s="478">
        <f t="shared" si="2"/>
        <v>399868</v>
      </c>
      <c r="H108" s="239"/>
      <c r="I108" s="49"/>
      <c r="J108" s="49"/>
      <c r="K108" s="49"/>
      <c r="L108" s="49"/>
    </row>
    <row r="109" spans="2:12" ht="15.75" thickBot="1">
      <c r="B109" s="535">
        <f>Units_month!C108</f>
        <v>43617</v>
      </c>
      <c r="C109" s="535">
        <f>Units_month!D108</f>
        <v>43646</v>
      </c>
      <c r="D109" s="222">
        <f>Units_month!E108</f>
        <v>3410</v>
      </c>
      <c r="E109" s="226"/>
      <c r="F109" s="228"/>
      <c r="G109" s="233">
        <f t="shared" si="2"/>
        <v>403278</v>
      </c>
      <c r="H109" s="239"/>
      <c r="I109" s="49"/>
      <c r="J109" s="49"/>
      <c r="K109" s="49"/>
      <c r="L109" s="49"/>
    </row>
    <row r="110" spans="2:12" ht="15.75" thickBot="1">
      <c r="B110" s="535">
        <f>Units_month!C109</f>
        <v>43647</v>
      </c>
      <c r="C110" s="535">
        <f>Units_month!D109</f>
        <v>43677</v>
      </c>
      <c r="D110" s="222">
        <f>Units_month!E109</f>
        <v>2752</v>
      </c>
      <c r="E110" s="226"/>
      <c r="F110" s="228"/>
      <c r="G110" s="233">
        <f t="shared" si="2"/>
        <v>406030</v>
      </c>
      <c r="H110" s="239"/>
      <c r="I110" s="49"/>
      <c r="J110" s="49"/>
      <c r="K110" s="49"/>
      <c r="L110" s="49"/>
    </row>
    <row r="111" spans="2:12" ht="15.75" thickBot="1">
      <c r="B111" s="535">
        <f>Units_month!C110</f>
        <v>43678</v>
      </c>
      <c r="C111" s="535">
        <f>Units_month!D110</f>
        <v>43708</v>
      </c>
      <c r="D111" s="222">
        <f>Units_month!E110</f>
        <v>2910</v>
      </c>
      <c r="E111" s="226"/>
      <c r="F111" s="228"/>
      <c r="G111" s="233">
        <f t="shared" si="2"/>
        <v>408940</v>
      </c>
      <c r="H111" s="239"/>
      <c r="I111" s="49"/>
      <c r="J111" s="49"/>
      <c r="K111" s="49"/>
      <c r="L111" s="49"/>
    </row>
    <row r="112" spans="2:12" ht="15.75" thickBot="1">
      <c r="B112" s="535">
        <f>Units_month!C111</f>
        <v>43709</v>
      </c>
      <c r="C112" s="535">
        <f>Units_month!D111</f>
        <v>43738</v>
      </c>
      <c r="D112" s="222">
        <f>Units_month!E111</f>
        <v>2079</v>
      </c>
      <c r="E112" s="226"/>
      <c r="F112" s="228"/>
      <c r="G112" s="233">
        <f t="shared" si="2"/>
        <v>411019</v>
      </c>
      <c r="H112" s="239"/>
      <c r="I112" s="49"/>
      <c r="J112" s="49"/>
      <c r="K112" s="49"/>
      <c r="L112" s="49"/>
    </row>
    <row r="113" spans="2:12" ht="15.75" thickBot="1">
      <c r="B113" s="535">
        <f>Units_month!C112</f>
        <v>43739</v>
      </c>
      <c r="C113" s="535">
        <f>Units_month!D112</f>
        <v>43769</v>
      </c>
      <c r="D113" s="222">
        <f>Units_month!E112</f>
        <v>3907</v>
      </c>
      <c r="E113" s="226"/>
      <c r="F113" s="228"/>
      <c r="G113" s="233">
        <f t="shared" si="2"/>
        <v>414926</v>
      </c>
      <c r="H113" s="239"/>
      <c r="I113" s="49"/>
      <c r="J113" s="49"/>
      <c r="K113" s="49"/>
      <c r="L113" s="49"/>
    </row>
    <row r="114" spans="2:12" ht="15.75" thickBot="1">
      <c r="B114" s="535">
        <f>Units_month!C113</f>
        <v>43770</v>
      </c>
      <c r="C114" s="535">
        <f>Units_month!D113</f>
        <v>43799</v>
      </c>
      <c r="D114" s="479">
        <f>Units_month!E113</f>
        <v>1815</v>
      </c>
      <c r="E114" s="482"/>
      <c r="F114" s="493">
        <f>SUM(D103:D114)</f>
        <v>37241</v>
      </c>
      <c r="G114" s="481">
        <f t="shared" si="2"/>
        <v>416741</v>
      </c>
      <c r="H114" s="49" t="s">
        <v>463</v>
      </c>
      <c r="I114" s="49"/>
      <c r="J114" s="49"/>
      <c r="K114" s="49"/>
      <c r="L114" s="49"/>
    </row>
    <row r="115" spans="2:12" ht="15.75" thickBot="1">
      <c r="B115" s="535">
        <f>Units_month!C114</f>
        <v>43800</v>
      </c>
      <c r="C115" s="535">
        <f>Units_month!D114</f>
        <v>43830</v>
      </c>
      <c r="D115" s="224">
        <f>Units_month!E114</f>
        <v>1764</v>
      </c>
      <c r="E115" s="477"/>
      <c r="F115" s="231"/>
      <c r="G115" s="478">
        <f t="shared" si="2"/>
        <v>418505</v>
      </c>
      <c r="H115" s="239"/>
      <c r="I115" s="49"/>
      <c r="J115" s="49"/>
      <c r="K115" s="49"/>
      <c r="L115" s="49"/>
    </row>
    <row r="116" spans="2:12" ht="15.75" thickBot="1">
      <c r="B116" s="535">
        <f>Units_month!C115</f>
        <v>43831</v>
      </c>
      <c r="C116" s="535">
        <f>Units_month!D115</f>
        <v>43861</v>
      </c>
      <c r="D116" s="222">
        <f>Units_month!E115</f>
        <v>2219</v>
      </c>
      <c r="E116" s="226"/>
      <c r="F116" s="228"/>
      <c r="G116" s="233">
        <f t="shared" si="2"/>
        <v>420724</v>
      </c>
      <c r="H116" s="239"/>
      <c r="I116" s="49"/>
      <c r="J116" s="49"/>
      <c r="K116" s="49"/>
      <c r="L116" s="49"/>
    </row>
    <row r="117" spans="2:12" ht="15.75" thickBot="1">
      <c r="B117" s="535">
        <f>Units_month!C116</f>
        <v>43862</v>
      </c>
      <c r="C117" s="535">
        <f>Units_month!D116</f>
        <v>43890</v>
      </c>
      <c r="D117" s="222">
        <f>Units_month!E116</f>
        <v>3023</v>
      </c>
      <c r="E117" s="226"/>
      <c r="F117" s="228"/>
      <c r="G117" s="233">
        <f t="shared" si="2"/>
        <v>423747</v>
      </c>
      <c r="H117" s="239"/>
      <c r="I117" s="49"/>
      <c r="J117" s="49"/>
      <c r="K117" s="49"/>
      <c r="L117" s="49"/>
    </row>
    <row r="118" spans="2:12" ht="15.75" thickBot="1">
      <c r="B118" s="535">
        <f>Units_month!C117</f>
        <v>43891</v>
      </c>
      <c r="C118" s="535">
        <f>Units_month!D117</f>
        <v>43921</v>
      </c>
      <c r="D118" s="222">
        <f>Units_month!E117</f>
        <v>2003</v>
      </c>
      <c r="E118" s="226"/>
      <c r="F118" s="228"/>
      <c r="G118" s="233">
        <f t="shared" si="2"/>
        <v>425750</v>
      </c>
      <c r="H118" s="239"/>
      <c r="I118" s="49"/>
      <c r="J118" s="49"/>
      <c r="K118" s="49"/>
      <c r="L118" s="49"/>
    </row>
    <row r="119" spans="2:12">
      <c r="B119" s="535">
        <f>Units_month!C118</f>
        <v>43922</v>
      </c>
      <c r="C119" s="535">
        <f>Units_month!D118</f>
        <v>43951</v>
      </c>
      <c r="D119" s="504">
        <f>Units_month!E118</f>
        <v>1800</v>
      </c>
      <c r="E119" s="505"/>
      <c r="F119" s="504"/>
      <c r="G119" s="233">
        <f t="shared" si="2"/>
        <v>427550</v>
      </c>
      <c r="H119" s="239"/>
      <c r="I119" s="49"/>
      <c r="J119" s="49"/>
      <c r="K119" s="49"/>
      <c r="L119" s="49"/>
    </row>
    <row r="120" spans="2:12" ht="15.75" thickBot="1">
      <c r="B120" s="535">
        <f>Units_month!C119</f>
        <v>43952</v>
      </c>
      <c r="C120" s="535">
        <f>Units_month!D119</f>
        <v>43982</v>
      </c>
      <c r="D120" s="224">
        <f>Units_month!E119</f>
        <v>2099</v>
      </c>
      <c r="E120" s="230"/>
      <c r="F120" s="231"/>
      <c r="G120" s="478">
        <f t="shared" si="2"/>
        <v>429649</v>
      </c>
      <c r="H120" s="239"/>
      <c r="I120" s="49"/>
      <c r="J120" s="49"/>
      <c r="K120" s="49"/>
      <c r="L120" s="49"/>
    </row>
    <row r="121" spans="2:12" ht="15.75" thickBot="1">
      <c r="B121" s="535">
        <f>Units_month!C120</f>
        <v>43983</v>
      </c>
      <c r="C121" s="535">
        <f>Units_month!D120</f>
        <v>44012</v>
      </c>
      <c r="D121" s="222">
        <f>Units_month!E120</f>
        <v>2111</v>
      </c>
      <c r="E121" s="219"/>
      <c r="F121" s="228"/>
      <c r="G121" s="233">
        <f t="shared" si="2"/>
        <v>431760</v>
      </c>
      <c r="H121" s="239"/>
      <c r="I121" s="49"/>
      <c r="J121" s="49"/>
      <c r="K121" s="49"/>
      <c r="L121" s="49"/>
    </row>
    <row r="122" spans="2:12" ht="15.75" thickBot="1">
      <c r="B122" s="535">
        <f>Units_month!C121</f>
        <v>44013</v>
      </c>
      <c r="C122" s="535">
        <f>Units_month!D121</f>
        <v>44043</v>
      </c>
      <c r="D122" s="222">
        <f>Units_month!E121</f>
        <v>2234</v>
      </c>
      <c r="E122" s="219"/>
      <c r="F122" s="228"/>
      <c r="G122" s="233">
        <f t="shared" si="2"/>
        <v>433994</v>
      </c>
      <c r="H122" s="239"/>
      <c r="I122" s="49"/>
      <c r="J122" s="49"/>
      <c r="K122" s="49"/>
      <c r="L122" s="49"/>
    </row>
    <row r="123" spans="2:12" ht="15.75" thickBot="1">
      <c r="B123" s="535">
        <f>Units_month!C122</f>
        <v>44044</v>
      </c>
      <c r="C123" s="535">
        <f>Units_month!D122</f>
        <v>44074</v>
      </c>
      <c r="D123" s="222">
        <f>Units_month!E122</f>
        <v>2245</v>
      </c>
      <c r="E123" s="219"/>
      <c r="F123" s="228"/>
      <c r="G123" s="233">
        <f t="shared" si="2"/>
        <v>436239</v>
      </c>
      <c r="H123" s="239"/>
      <c r="I123" s="49"/>
      <c r="J123" s="49"/>
      <c r="K123" s="49"/>
      <c r="L123" s="49"/>
    </row>
    <row r="124" spans="2:12" ht="15.75" thickBot="1">
      <c r="B124" s="535">
        <f>Units_month!C123</f>
        <v>44075</v>
      </c>
      <c r="C124" s="535">
        <f>Units_month!D123</f>
        <v>44104</v>
      </c>
      <c r="D124" s="222">
        <f>Units_month!E123</f>
        <v>5207</v>
      </c>
      <c r="E124" s="219"/>
      <c r="F124" s="228"/>
      <c r="G124" s="233">
        <f t="shared" si="2"/>
        <v>441446</v>
      </c>
      <c r="H124" s="239"/>
      <c r="I124" s="49"/>
      <c r="J124" s="49"/>
      <c r="K124" s="49"/>
      <c r="L124" s="49"/>
    </row>
    <row r="125" spans="2:12" ht="15.75" thickBot="1">
      <c r="B125" s="535">
        <f>Units_month!C124</f>
        <v>44105</v>
      </c>
      <c r="C125" s="535">
        <f>Units_month!D124</f>
        <v>44135</v>
      </c>
      <c r="D125" s="222">
        <f>Units_month!E124</f>
        <v>1510</v>
      </c>
      <c r="E125" s="219"/>
      <c r="F125" s="228"/>
      <c r="G125" s="233">
        <f t="shared" si="2"/>
        <v>442956</v>
      </c>
      <c r="H125" s="239"/>
      <c r="I125" s="49"/>
      <c r="J125" s="49"/>
      <c r="K125" s="49"/>
      <c r="L125" s="49"/>
    </row>
    <row r="126" spans="2:12" ht="15.75" thickBot="1">
      <c r="B126" s="535">
        <f>Units_month!C125</f>
        <v>44136</v>
      </c>
      <c r="C126" s="535">
        <f>Units_month!D125</f>
        <v>44165</v>
      </c>
      <c r="D126" s="479">
        <f>Units_month!E125</f>
        <v>1983</v>
      </c>
      <c r="E126" s="483"/>
      <c r="F126" s="493">
        <f>SUM(D115:D126)</f>
        <v>28198</v>
      </c>
      <c r="G126" s="481">
        <f t="shared" si="2"/>
        <v>444939</v>
      </c>
      <c r="H126" s="49" t="s">
        <v>462</v>
      </c>
      <c r="I126" s="49"/>
      <c r="J126" s="49"/>
      <c r="K126" s="49"/>
      <c r="L126" s="49"/>
    </row>
    <row r="127" spans="2:12" ht="15.75" thickBot="1">
      <c r="B127" s="535">
        <f>Units_month!C126</f>
        <v>44166</v>
      </c>
      <c r="C127" s="535">
        <f>Units_month!D126</f>
        <v>44196</v>
      </c>
      <c r="D127" s="224">
        <f>Units_month!E126</f>
        <v>7312</v>
      </c>
      <c r="E127" s="230"/>
      <c r="F127" s="231"/>
      <c r="G127" s="478">
        <f t="shared" si="2"/>
        <v>452251</v>
      </c>
      <c r="H127" s="239"/>
      <c r="I127" s="49"/>
      <c r="J127" s="49"/>
      <c r="K127" s="49"/>
      <c r="L127" s="49"/>
    </row>
    <row r="128" spans="2:12" ht="15.75" thickBot="1">
      <c r="B128" s="535">
        <f>Units_month!C127</f>
        <v>44197</v>
      </c>
      <c r="C128" s="535">
        <f>Units_month!D127</f>
        <v>44227</v>
      </c>
      <c r="D128" s="222">
        <f>Units_month!E127</f>
        <v>4200</v>
      </c>
      <c r="E128" s="219"/>
      <c r="F128" s="228"/>
      <c r="G128" s="233">
        <f t="shared" si="2"/>
        <v>456451</v>
      </c>
      <c r="H128" s="239"/>
      <c r="I128" s="49"/>
      <c r="J128" s="49"/>
      <c r="K128" s="49"/>
      <c r="L128" s="49"/>
    </row>
    <row r="129" spans="2:12" ht="15.75" thickBot="1">
      <c r="B129" s="535">
        <f>Units_month!C128</f>
        <v>44228</v>
      </c>
      <c r="C129" s="535">
        <f>Units_month!D128</f>
        <v>44255</v>
      </c>
      <c r="D129" s="222">
        <f>Units_month!E128</f>
        <v>4200</v>
      </c>
      <c r="E129" s="219"/>
      <c r="F129" s="228"/>
      <c r="G129" s="233">
        <f t="shared" si="2"/>
        <v>460651</v>
      </c>
      <c r="H129" s="239"/>
      <c r="I129" s="49"/>
      <c r="J129" s="49"/>
      <c r="K129" s="49"/>
      <c r="L129" s="49"/>
    </row>
    <row r="130" spans="2:12" ht="15.75" thickBot="1">
      <c r="B130" s="535">
        <f>Units_month!C129</f>
        <v>44256</v>
      </c>
      <c r="C130" s="535">
        <f>Units_month!D129</f>
        <v>44286</v>
      </c>
      <c r="D130" s="222">
        <f>Units_month!E129</f>
        <v>3500</v>
      </c>
      <c r="E130" s="219"/>
      <c r="F130" s="228"/>
      <c r="G130" s="233">
        <f t="shared" si="2"/>
        <v>464151</v>
      </c>
      <c r="H130" s="239"/>
      <c r="I130" s="49"/>
      <c r="J130" s="49"/>
      <c r="K130" s="49"/>
      <c r="L130" s="49"/>
    </row>
    <row r="131" spans="2:12">
      <c r="B131" s="535">
        <f>Units_month!C130</f>
        <v>44287</v>
      </c>
      <c r="C131" s="535">
        <f>Units_month!D130</f>
        <v>44316</v>
      </c>
      <c r="D131" s="504">
        <f>Units_month!E130</f>
        <v>2800</v>
      </c>
      <c r="E131" s="505"/>
      <c r="F131" s="504"/>
      <c r="G131" s="233">
        <f t="shared" si="2"/>
        <v>466951</v>
      </c>
      <c r="H131" s="239"/>
      <c r="I131" s="49"/>
      <c r="J131" s="49"/>
      <c r="K131" s="49"/>
      <c r="L131" s="49"/>
    </row>
    <row r="132" spans="2:12" ht="15.75" thickBot="1">
      <c r="B132" s="535">
        <f>Units_month!C131</f>
        <v>44317</v>
      </c>
      <c r="C132" s="535">
        <f>Units_month!D131</f>
        <v>44347</v>
      </c>
      <c r="D132" s="224">
        <f>Units_month!E131</f>
        <v>3000</v>
      </c>
      <c r="E132" s="230"/>
      <c r="F132" s="231"/>
      <c r="G132" s="478">
        <f t="shared" si="2"/>
        <v>469951</v>
      </c>
      <c r="H132" s="239"/>
      <c r="I132" s="49"/>
      <c r="J132" s="49"/>
      <c r="K132" s="49"/>
      <c r="L132" s="49"/>
    </row>
    <row r="133" spans="2:12" ht="15.75" thickBot="1">
      <c r="B133" s="535">
        <f>Units_month!C132</f>
        <v>44348</v>
      </c>
      <c r="C133" s="535">
        <f>Units_month!D132</f>
        <v>44377</v>
      </c>
      <c r="D133" s="222">
        <f>Units_month!E132</f>
        <v>3200</v>
      </c>
      <c r="E133" s="219"/>
      <c r="F133" s="228"/>
      <c r="G133" s="233">
        <f t="shared" si="2"/>
        <v>473151</v>
      </c>
      <c r="H133" s="239"/>
      <c r="I133" s="49"/>
      <c r="J133" s="49"/>
      <c r="K133" s="49"/>
      <c r="L133" s="49"/>
    </row>
    <row r="134" spans="2:12" ht="15.75" thickBot="1">
      <c r="B134" s="535">
        <f>Units_month!C133</f>
        <v>44378</v>
      </c>
      <c r="C134" s="535">
        <f>Units_month!D133</f>
        <v>44408</v>
      </c>
      <c r="D134" s="222">
        <f>Units_month!E133</f>
        <v>3500</v>
      </c>
      <c r="E134" s="219"/>
      <c r="F134" s="228"/>
      <c r="G134" s="233">
        <f t="shared" si="2"/>
        <v>476651</v>
      </c>
      <c r="H134" s="239"/>
      <c r="I134" s="49"/>
      <c r="J134" s="49"/>
      <c r="K134" s="49"/>
      <c r="L134" s="49"/>
    </row>
    <row r="135" spans="2:12" ht="15.75" thickBot="1">
      <c r="B135" s="535">
        <f>Units_month!C134</f>
        <v>44409</v>
      </c>
      <c r="C135" s="535">
        <f>Units_month!D134</f>
        <v>44439</v>
      </c>
      <c r="D135" s="222">
        <f>Units_month!E134</f>
        <v>3500</v>
      </c>
      <c r="E135" s="219"/>
      <c r="F135" s="228"/>
      <c r="G135" s="233">
        <f t="shared" si="2"/>
        <v>480151</v>
      </c>
      <c r="H135" s="239"/>
      <c r="I135" s="49"/>
      <c r="J135" s="50"/>
      <c r="K135" s="50"/>
      <c r="L135" s="49"/>
    </row>
    <row r="136" spans="2:12" ht="15.75" thickBot="1">
      <c r="B136" s="535">
        <f>Units_month!C135</f>
        <v>44440</v>
      </c>
      <c r="C136" s="535">
        <f>Units_month!D135</f>
        <v>44469</v>
      </c>
      <c r="D136" s="222">
        <f>Units_month!E135</f>
        <v>3800</v>
      </c>
      <c r="E136" s="219"/>
      <c r="F136" s="228"/>
      <c r="G136" s="233">
        <f t="shared" si="2"/>
        <v>483951</v>
      </c>
      <c r="H136" s="239"/>
      <c r="I136" s="49"/>
      <c r="J136" s="50"/>
      <c r="K136" s="50"/>
      <c r="L136" s="49"/>
    </row>
    <row r="137" spans="2:12" ht="15.75" thickBot="1">
      <c r="B137" s="535">
        <f>Units_month!C136</f>
        <v>44470</v>
      </c>
      <c r="C137" s="535">
        <f>Units_month!D136</f>
        <v>44500</v>
      </c>
      <c r="D137" s="222">
        <f>Units_month!E136</f>
        <v>3800</v>
      </c>
      <c r="E137" s="219"/>
      <c r="F137" s="228"/>
      <c r="G137" s="233">
        <f t="shared" ref="G137:G174" si="3">G136+D137</f>
        <v>487751</v>
      </c>
      <c r="H137" s="239"/>
      <c r="I137" s="49"/>
      <c r="J137" s="50"/>
      <c r="K137" s="50"/>
      <c r="L137" s="49"/>
    </row>
    <row r="138" spans="2:12" ht="15.75" thickBot="1">
      <c r="B138" s="535">
        <f>Units_month!C137</f>
        <v>44501</v>
      </c>
      <c r="C138" s="535">
        <f>Units_month!D137</f>
        <v>44530</v>
      </c>
      <c r="D138" s="479">
        <f>Units_month!E137</f>
        <v>4000</v>
      </c>
      <c r="E138" s="483"/>
      <c r="F138" s="493">
        <f>SUM(D127:D138)</f>
        <v>46812</v>
      </c>
      <c r="G138" s="481">
        <f t="shared" si="3"/>
        <v>491751</v>
      </c>
      <c r="H138" s="49" t="s">
        <v>461</v>
      </c>
      <c r="I138" s="49"/>
      <c r="L138" s="49"/>
    </row>
    <row r="139" spans="2:12" ht="15.75" thickBot="1">
      <c r="B139" s="535">
        <f>Units_month!C138</f>
        <v>44531</v>
      </c>
      <c r="C139" s="535">
        <f>Units_month!D138</f>
        <v>44561</v>
      </c>
      <c r="D139" s="224">
        <f>Units_month!E138</f>
        <v>4200</v>
      </c>
      <c r="E139" s="230"/>
      <c r="F139" s="231"/>
      <c r="G139" s="478">
        <f t="shared" si="3"/>
        <v>495951</v>
      </c>
      <c r="H139" s="239"/>
      <c r="I139" s="49"/>
      <c r="L139" s="49"/>
    </row>
    <row r="140" spans="2:12" ht="15.75" thickBot="1">
      <c r="B140" s="535">
        <f>Units_month!C139</f>
        <v>44562</v>
      </c>
      <c r="C140" s="535">
        <f>Units_month!D139</f>
        <v>44592</v>
      </c>
      <c r="D140" s="222">
        <f>Units_month!E139</f>
        <v>4200</v>
      </c>
      <c r="E140" s="219"/>
      <c r="F140" s="228"/>
      <c r="G140" s="233">
        <f t="shared" si="3"/>
        <v>500151</v>
      </c>
      <c r="H140" s="239"/>
      <c r="I140" s="50"/>
      <c r="L140" s="50"/>
    </row>
    <row r="141" spans="2:12" ht="15.75" thickBot="1">
      <c r="B141" s="535">
        <f>Units_month!C140</f>
        <v>44593</v>
      </c>
      <c r="C141" s="535">
        <f>Units_month!D140</f>
        <v>44620</v>
      </c>
      <c r="D141" s="222">
        <f>Units_month!E140</f>
        <v>4200</v>
      </c>
      <c r="E141" s="219"/>
      <c r="F141" s="228"/>
      <c r="G141" s="233">
        <f t="shared" si="3"/>
        <v>504351</v>
      </c>
      <c r="H141" s="239"/>
      <c r="I141" s="50"/>
      <c r="L141" s="50"/>
    </row>
    <row r="142" spans="2:12" ht="15.75" thickBot="1">
      <c r="B142" s="535">
        <f>Units_month!C141</f>
        <v>44621</v>
      </c>
      <c r="C142" s="535">
        <f>Units_month!D141</f>
        <v>44651</v>
      </c>
      <c r="D142" s="222">
        <f>Units_month!E141</f>
        <v>3500</v>
      </c>
      <c r="E142" s="219"/>
      <c r="F142" s="228"/>
      <c r="G142" s="233">
        <f t="shared" si="3"/>
        <v>507851</v>
      </c>
      <c r="H142" s="239"/>
      <c r="I142" s="50"/>
      <c r="L142" s="50"/>
    </row>
    <row r="143" spans="2:12">
      <c r="B143" s="535">
        <f>Units_month!C142</f>
        <v>44652</v>
      </c>
      <c r="C143" s="535">
        <f>Units_month!D142</f>
        <v>44681</v>
      </c>
      <c r="D143" s="504">
        <f>Units_month!E142</f>
        <v>2800</v>
      </c>
      <c r="E143" s="505"/>
      <c r="F143" s="504"/>
      <c r="G143" s="233">
        <f t="shared" si="3"/>
        <v>510651</v>
      </c>
      <c r="H143" s="239"/>
    </row>
    <row r="144" spans="2:12" ht="15.75" thickBot="1">
      <c r="B144" s="535">
        <f>Units_month!C143</f>
        <v>44682</v>
      </c>
      <c r="C144" s="535">
        <f>Units_month!D143</f>
        <v>44712</v>
      </c>
      <c r="D144" s="224">
        <f>Units_month!E143</f>
        <v>3000</v>
      </c>
      <c r="E144" s="230"/>
      <c r="F144" s="231"/>
      <c r="G144" s="232">
        <f t="shared" si="3"/>
        <v>513651</v>
      </c>
      <c r="H144" s="239"/>
    </row>
    <row r="145" spans="2:8" ht="15.75" thickBot="1">
      <c r="B145" s="535">
        <f>Units_month!C144</f>
        <v>44713</v>
      </c>
      <c r="C145" s="535">
        <f>Units_month!D144</f>
        <v>44742</v>
      </c>
      <c r="D145" s="222">
        <f>Units_month!E144</f>
        <v>3200</v>
      </c>
      <c r="E145" s="219"/>
      <c r="F145" s="228"/>
      <c r="G145" s="229">
        <f t="shared" si="3"/>
        <v>516851</v>
      </c>
      <c r="H145" s="239"/>
    </row>
    <row r="146" spans="2:8" ht="15.75" thickBot="1">
      <c r="B146" s="535">
        <f>Units_month!C145</f>
        <v>44743</v>
      </c>
      <c r="C146" s="535">
        <f>Units_month!D145</f>
        <v>44773</v>
      </c>
      <c r="D146" s="222">
        <f>Units_month!E145</f>
        <v>3500</v>
      </c>
      <c r="E146" s="219"/>
      <c r="F146" s="228"/>
      <c r="G146" s="229">
        <f t="shared" si="3"/>
        <v>520351</v>
      </c>
      <c r="H146" s="239"/>
    </row>
    <row r="147" spans="2:8" ht="15.75" thickBot="1">
      <c r="B147" s="535">
        <f>Units_month!C146</f>
        <v>44774</v>
      </c>
      <c r="C147" s="535">
        <f>Units_month!D146</f>
        <v>44804</v>
      </c>
      <c r="D147" s="222">
        <f>Units_month!E146</f>
        <v>3500</v>
      </c>
      <c r="E147" s="219"/>
      <c r="F147" s="228"/>
      <c r="G147" s="229">
        <f t="shared" si="3"/>
        <v>523851</v>
      </c>
      <c r="H147" s="239"/>
    </row>
    <row r="148" spans="2:8" ht="15.75" thickBot="1">
      <c r="B148" s="535">
        <f>Units_month!C147</f>
        <v>44805</v>
      </c>
      <c r="C148" s="535">
        <f>Units_month!D147</f>
        <v>44834</v>
      </c>
      <c r="D148" s="222">
        <f>Units_month!E147</f>
        <v>3800</v>
      </c>
      <c r="E148" s="219"/>
      <c r="F148" s="228"/>
      <c r="G148" s="229">
        <f t="shared" si="3"/>
        <v>527651</v>
      </c>
      <c r="H148" s="239"/>
    </row>
    <row r="149" spans="2:8" ht="15.75" thickBot="1">
      <c r="B149" s="535">
        <f>Units_month!C148</f>
        <v>44835</v>
      </c>
      <c r="C149" s="535">
        <f>Units_month!D148</f>
        <v>44865</v>
      </c>
      <c r="D149" s="222">
        <f>Units_month!E148</f>
        <v>3800</v>
      </c>
      <c r="E149" s="219"/>
      <c r="F149" s="228"/>
      <c r="G149" s="229">
        <f t="shared" si="3"/>
        <v>531451</v>
      </c>
      <c r="H149" s="239"/>
    </row>
    <row r="150" spans="2:8" ht="15.75" thickBot="1">
      <c r="B150" s="535">
        <f>Units_month!C149</f>
        <v>44866</v>
      </c>
      <c r="C150" s="535">
        <f>Units_month!D149</f>
        <v>44895</v>
      </c>
      <c r="D150" s="479">
        <f>Units_month!E149</f>
        <v>4000</v>
      </c>
      <c r="E150" s="483"/>
      <c r="F150" s="493">
        <f>SUM(D139:D150)</f>
        <v>43700</v>
      </c>
      <c r="G150" s="484">
        <f t="shared" si="3"/>
        <v>535451</v>
      </c>
      <c r="H150" s="49" t="s">
        <v>460</v>
      </c>
    </row>
    <row r="151" spans="2:8" ht="15.75" thickBot="1">
      <c r="B151" s="535">
        <f>Units_month!C150</f>
        <v>44896</v>
      </c>
      <c r="C151" s="535">
        <f>Units_month!D150</f>
        <v>44926</v>
      </c>
      <c r="D151" s="224">
        <f>Units_month!E150</f>
        <v>4200</v>
      </c>
      <c r="E151" s="230"/>
      <c r="F151" s="231"/>
      <c r="G151" s="232">
        <f t="shared" si="3"/>
        <v>539651</v>
      </c>
      <c r="H151" s="239"/>
    </row>
    <row r="152" spans="2:8" ht="15.75" thickBot="1">
      <c r="B152" s="535">
        <f>Units_month!C151</f>
        <v>44927</v>
      </c>
      <c r="C152" s="535">
        <f>Units_month!D151</f>
        <v>44957</v>
      </c>
      <c r="D152" s="222">
        <f>Units_month!E151</f>
        <v>4200</v>
      </c>
      <c r="E152" s="219"/>
      <c r="F152" s="228"/>
      <c r="G152" s="229">
        <f t="shared" si="3"/>
        <v>543851</v>
      </c>
      <c r="H152" s="239"/>
    </row>
    <row r="153" spans="2:8" ht="15.75" thickBot="1">
      <c r="B153" s="535">
        <f>Units_month!C152</f>
        <v>44958</v>
      </c>
      <c r="C153" s="535">
        <f>Units_month!D152</f>
        <v>44985</v>
      </c>
      <c r="D153" s="222">
        <f>Units_month!E152</f>
        <v>4200</v>
      </c>
      <c r="E153" s="219"/>
      <c r="F153" s="228"/>
      <c r="G153" s="229">
        <f t="shared" si="3"/>
        <v>548051</v>
      </c>
      <c r="H153" s="239"/>
    </row>
    <row r="154" spans="2:8" ht="15.75" thickBot="1">
      <c r="B154" s="535">
        <f>Units_month!C153</f>
        <v>44986</v>
      </c>
      <c r="C154" s="535">
        <f>Units_month!D153</f>
        <v>45016</v>
      </c>
      <c r="D154" s="222">
        <f>Units_month!E153</f>
        <v>3500</v>
      </c>
      <c r="E154" s="219"/>
      <c r="F154" s="228"/>
      <c r="G154" s="229">
        <f t="shared" si="3"/>
        <v>551551</v>
      </c>
      <c r="H154" s="239"/>
    </row>
    <row r="155" spans="2:8">
      <c r="B155" s="535">
        <f>Units_month!C154</f>
        <v>45017</v>
      </c>
      <c r="C155" s="535">
        <f>Units_month!D154</f>
        <v>45046</v>
      </c>
      <c r="D155" s="504">
        <f>Units_month!E154</f>
        <v>2800</v>
      </c>
      <c r="E155" s="505"/>
      <c r="F155" s="504"/>
      <c r="G155" s="229">
        <f t="shared" si="3"/>
        <v>554351</v>
      </c>
      <c r="H155" s="239"/>
    </row>
    <row r="156" spans="2:8" ht="15.75" thickBot="1">
      <c r="B156" s="535">
        <f>Units_month!C155</f>
        <v>45047</v>
      </c>
      <c r="C156" s="535">
        <f>Units_month!D155</f>
        <v>45077</v>
      </c>
      <c r="D156" s="224">
        <f>Units_month!E155</f>
        <v>3000</v>
      </c>
      <c r="E156" s="230"/>
      <c r="F156" s="231"/>
      <c r="G156" s="478">
        <f t="shared" si="3"/>
        <v>557351</v>
      </c>
      <c r="H156" s="239"/>
    </row>
    <row r="157" spans="2:8" ht="15.75" thickBot="1">
      <c r="B157" s="535">
        <f>Units_month!C156</f>
        <v>45078</v>
      </c>
      <c r="C157" s="535">
        <f>Units_month!D156</f>
        <v>45107</v>
      </c>
      <c r="D157" s="222">
        <f>Units_month!E156</f>
        <v>3200</v>
      </c>
      <c r="E157" s="219"/>
      <c r="F157" s="228"/>
      <c r="G157" s="233">
        <f t="shared" si="3"/>
        <v>560551</v>
      </c>
      <c r="H157" s="239"/>
    </row>
    <row r="158" spans="2:8" ht="15.75" thickBot="1">
      <c r="B158" s="535">
        <f>Units_month!C157</f>
        <v>45108</v>
      </c>
      <c r="C158" s="535">
        <f>Units_month!D157</f>
        <v>45138</v>
      </c>
      <c r="D158" s="222">
        <f>Units_month!E157</f>
        <v>3500</v>
      </c>
      <c r="E158" s="219"/>
      <c r="F158" s="228"/>
      <c r="G158" s="233">
        <f t="shared" si="3"/>
        <v>564051</v>
      </c>
      <c r="H158" s="239"/>
    </row>
    <row r="159" spans="2:8" ht="15.75" thickBot="1">
      <c r="B159" s="535">
        <f>Units_month!C158</f>
        <v>45139</v>
      </c>
      <c r="C159" s="535">
        <f>Units_month!D158</f>
        <v>45169</v>
      </c>
      <c r="D159" s="222">
        <f>Units_month!E158</f>
        <v>3500</v>
      </c>
      <c r="E159" s="219"/>
      <c r="F159" s="228"/>
      <c r="G159" s="233">
        <f t="shared" si="3"/>
        <v>567551</v>
      </c>
      <c r="H159" s="239"/>
    </row>
    <row r="160" spans="2:8" ht="15.75" thickBot="1">
      <c r="B160" s="535">
        <f>Units_month!C159</f>
        <v>45170</v>
      </c>
      <c r="C160" s="535">
        <f>Units_month!D159</f>
        <v>45199</v>
      </c>
      <c r="D160" s="222">
        <f>Units_month!E159</f>
        <v>3800</v>
      </c>
      <c r="E160" s="219"/>
      <c r="F160" s="228"/>
      <c r="G160" s="233">
        <f t="shared" si="3"/>
        <v>571351</v>
      </c>
      <c r="H160" s="239"/>
    </row>
    <row r="161" spans="2:8" ht="15.75" thickBot="1">
      <c r="B161" s="535">
        <f>Units_month!C160</f>
        <v>45200</v>
      </c>
      <c r="C161" s="535">
        <f>Units_month!D160</f>
        <v>45230</v>
      </c>
      <c r="D161" s="222">
        <f>Units_month!E160</f>
        <v>3800</v>
      </c>
      <c r="E161" s="219"/>
      <c r="F161" s="228"/>
      <c r="G161" s="233">
        <f t="shared" si="3"/>
        <v>575151</v>
      </c>
      <c r="H161" s="239"/>
    </row>
    <row r="162" spans="2:8" ht="15.75" thickBot="1">
      <c r="B162" s="535">
        <f>Units_month!C161</f>
        <v>45231</v>
      </c>
      <c r="C162" s="535">
        <f>Units_month!D161</f>
        <v>45260</v>
      </c>
      <c r="D162" s="479">
        <f>Units_month!E161</f>
        <v>4000</v>
      </c>
      <c r="E162" s="483"/>
      <c r="F162" s="493">
        <f>SUM(D151:D162)</f>
        <v>43700</v>
      </c>
      <c r="G162" s="481">
        <f t="shared" si="3"/>
        <v>579151</v>
      </c>
      <c r="H162" s="49" t="s">
        <v>459</v>
      </c>
    </row>
    <row r="163" spans="2:8" ht="15.75" thickBot="1">
      <c r="B163" s="535">
        <f>Units_month!C162</f>
        <v>45261</v>
      </c>
      <c r="C163" s="535">
        <f>Units_month!D162</f>
        <v>45291</v>
      </c>
      <c r="D163" s="224">
        <f>Units_month!E162</f>
        <v>4200</v>
      </c>
      <c r="E163" s="230"/>
      <c r="F163" s="231"/>
      <c r="G163" s="478">
        <f t="shared" si="3"/>
        <v>583351</v>
      </c>
      <c r="H163" s="239"/>
    </row>
    <row r="164" spans="2:8" ht="15.75" thickBot="1">
      <c r="B164" s="535">
        <f>Units_month!C163</f>
        <v>45292</v>
      </c>
      <c r="C164" s="535">
        <f>Units_month!D163</f>
        <v>45322</v>
      </c>
      <c r="D164" s="222">
        <f>Units_month!E163</f>
        <v>4200</v>
      </c>
      <c r="E164" s="219"/>
      <c r="F164" s="228"/>
      <c r="G164" s="233">
        <f t="shared" si="3"/>
        <v>587551</v>
      </c>
      <c r="H164" s="239"/>
    </row>
    <row r="165" spans="2:8" ht="15.75" thickBot="1">
      <c r="B165" s="535">
        <f>Units_month!C164</f>
        <v>45323</v>
      </c>
      <c r="C165" s="535">
        <f>Units_month!D164</f>
        <v>45351</v>
      </c>
      <c r="D165" s="222">
        <f>Units_month!E164</f>
        <v>4200</v>
      </c>
      <c r="E165" s="219"/>
      <c r="F165" s="228"/>
      <c r="G165" s="233">
        <f t="shared" si="3"/>
        <v>591751</v>
      </c>
      <c r="H165" s="239"/>
    </row>
    <row r="166" spans="2:8" ht="15.75" thickBot="1">
      <c r="B166" s="535">
        <f>Units_month!C165</f>
        <v>45352</v>
      </c>
      <c r="C166" s="535">
        <f>Units_month!D165</f>
        <v>45382</v>
      </c>
      <c r="D166" s="222">
        <f>Units_month!E165</f>
        <v>3500</v>
      </c>
      <c r="E166" s="219"/>
      <c r="F166" s="228"/>
      <c r="G166" s="233">
        <f t="shared" si="3"/>
        <v>595251</v>
      </c>
      <c r="H166" s="239"/>
    </row>
    <row r="167" spans="2:8">
      <c r="B167" s="535">
        <f>Units_month!C166</f>
        <v>45383</v>
      </c>
      <c r="C167" s="535">
        <f>Units_month!D166</f>
        <v>45412</v>
      </c>
      <c r="D167" s="504">
        <f>Units_month!E166</f>
        <v>2800</v>
      </c>
      <c r="E167" s="505"/>
      <c r="F167" s="504"/>
      <c r="G167" s="233">
        <f t="shared" si="3"/>
        <v>598051</v>
      </c>
      <c r="H167" s="239"/>
    </row>
    <row r="168" spans="2:8" ht="15.75" thickBot="1">
      <c r="B168" s="535">
        <f>Units_month!C167</f>
        <v>45413</v>
      </c>
      <c r="C168" s="535">
        <f>Units_month!D167</f>
        <v>45443</v>
      </c>
      <c r="D168" s="224">
        <f>Units_month!E167</f>
        <v>3000</v>
      </c>
      <c r="E168" s="230"/>
      <c r="F168" s="231"/>
      <c r="G168" s="478">
        <f t="shared" si="3"/>
        <v>601051</v>
      </c>
      <c r="H168" s="239"/>
    </row>
    <row r="169" spans="2:8" ht="15.75" thickBot="1">
      <c r="B169" s="535">
        <f>Units_month!C168</f>
        <v>45444</v>
      </c>
      <c r="C169" s="535">
        <f>Units_month!D168</f>
        <v>45473</v>
      </c>
      <c r="D169" s="222">
        <f>Units_month!E168</f>
        <v>3200</v>
      </c>
      <c r="E169" s="219"/>
      <c r="F169" s="228"/>
      <c r="G169" s="233">
        <f t="shared" si="3"/>
        <v>604251</v>
      </c>
      <c r="H169" s="239"/>
    </row>
    <row r="170" spans="2:8" ht="15.75" thickBot="1">
      <c r="B170" s="535">
        <f>Units_month!C169</f>
        <v>45474</v>
      </c>
      <c r="C170" s="535">
        <f>Units_month!D169</f>
        <v>45504</v>
      </c>
      <c r="D170" s="222">
        <f>Units_month!E169</f>
        <v>3500</v>
      </c>
      <c r="E170" s="219"/>
      <c r="F170" s="228"/>
      <c r="G170" s="233">
        <f t="shared" si="3"/>
        <v>607751</v>
      </c>
      <c r="H170" s="239"/>
    </row>
    <row r="171" spans="2:8" ht="15.75" thickBot="1">
      <c r="B171" s="535">
        <f>Units_month!C170</f>
        <v>45505</v>
      </c>
      <c r="C171" s="535">
        <f>Units_month!D170</f>
        <v>45535</v>
      </c>
      <c r="D171" s="222">
        <f>Units_month!E170</f>
        <v>3500</v>
      </c>
      <c r="E171" s="219"/>
      <c r="F171" s="228"/>
      <c r="G171" s="233">
        <f t="shared" si="3"/>
        <v>611251</v>
      </c>
      <c r="H171" s="239"/>
    </row>
    <row r="172" spans="2:8" ht="15.75" thickBot="1">
      <c r="B172" s="535">
        <f>Units_month!C171</f>
        <v>45536</v>
      </c>
      <c r="C172" s="535">
        <f>Units_month!D171</f>
        <v>45565</v>
      </c>
      <c r="D172" s="222">
        <f>Units_month!E171</f>
        <v>3800</v>
      </c>
      <c r="E172" s="219"/>
      <c r="F172" s="228"/>
      <c r="G172" s="233">
        <f t="shared" si="3"/>
        <v>615051</v>
      </c>
      <c r="H172" s="239"/>
    </row>
    <row r="173" spans="2:8" ht="15.75" thickBot="1">
      <c r="B173" s="535">
        <f>Units_month!C172</f>
        <v>45566</v>
      </c>
      <c r="C173" s="535">
        <f>Units_month!D172</f>
        <v>45596</v>
      </c>
      <c r="D173" s="222">
        <f>Units_month!E172</f>
        <v>3800</v>
      </c>
      <c r="E173" s="219"/>
      <c r="F173" s="228"/>
      <c r="G173" s="233">
        <f t="shared" si="3"/>
        <v>618851</v>
      </c>
      <c r="H173" s="239"/>
    </row>
    <row r="174" spans="2:8" ht="15.75" thickBot="1">
      <c r="B174" s="535">
        <f>Units_month!C173</f>
        <v>45597</v>
      </c>
      <c r="C174" s="535">
        <f>Units_month!D173</f>
        <v>45626</v>
      </c>
      <c r="D174" s="479">
        <f>Units_month!E173</f>
        <v>4000</v>
      </c>
      <c r="E174" s="485"/>
      <c r="F174" s="493">
        <f>SUM(D163:D174)</f>
        <v>43700</v>
      </c>
      <c r="G174" s="481">
        <f t="shared" si="3"/>
        <v>622851</v>
      </c>
      <c r="H174" s="49" t="s">
        <v>458</v>
      </c>
    </row>
  </sheetData>
  <customSheetViews>
    <customSheetView guid="{D2AE56D6-E8AC-4B34-81C8-5074B4320CEA}" scale="60">
      <pane xSplit="6" ySplit="6" topLeftCell="G19" activePane="bottomRight" state="frozen"/>
      <selection pane="bottomRight" activeCell="Q26" sqref="Q26"/>
      <pageMargins left="0.7" right="0.7" top="0.75" bottom="0.75" header="0.3" footer="0.3"/>
      <pageSetup orientation="portrait" r:id="rId1"/>
    </customSheetView>
  </customSheetViews>
  <mergeCells count="2">
    <mergeCell ref="B3:S3"/>
    <mergeCell ref="N7:R7"/>
  </mergeCells>
  <phoneticPr fontId="56" type="noConversion"/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138"/>
  <sheetViews>
    <sheetView topLeftCell="B1" zoomScale="95" zoomScaleNormal="95" workbookViewId="0">
      <pane ySplit="3" topLeftCell="A109" activePane="bottomLeft" state="frozen"/>
      <selection pane="bottomLeft" activeCell="F112" sqref="F112"/>
    </sheetView>
  </sheetViews>
  <sheetFormatPr defaultColWidth="9.140625" defaultRowHeight="15"/>
  <cols>
    <col min="1" max="1" width="2" style="38" customWidth="1"/>
    <col min="2" max="2" width="19.42578125" style="38" customWidth="1"/>
    <col min="3" max="3" width="22.85546875" style="38" customWidth="1"/>
    <col min="4" max="4" width="24" style="38" customWidth="1"/>
    <col min="5" max="5" width="43.7109375" style="38" customWidth="1"/>
    <col min="6" max="6" width="16.7109375" style="38" customWidth="1"/>
    <col min="7" max="7" width="18" style="38" customWidth="1"/>
    <col min="8" max="8" width="0.7109375" style="38" customWidth="1"/>
    <col min="9" max="9" width="56.28515625" style="65" customWidth="1"/>
    <col min="10" max="10" width="38.42578125" style="38" customWidth="1"/>
    <col min="11" max="11" width="49.7109375" style="38" customWidth="1"/>
    <col min="12" max="16384" width="9.140625" style="38"/>
  </cols>
  <sheetData>
    <row r="1" spans="2:13" ht="15" customHeight="1"/>
    <row r="2" spans="2:13" ht="24.95" customHeight="1">
      <c r="B2" s="66"/>
      <c r="C2" s="66"/>
      <c r="D2" s="66"/>
      <c r="E2" s="66"/>
      <c r="F2" s="66"/>
      <c r="G2" s="66"/>
      <c r="H2" s="67" t="s">
        <v>56</v>
      </c>
      <c r="I2" s="68"/>
      <c r="J2" s="66"/>
      <c r="K2" s="66"/>
      <c r="L2" s="69"/>
      <c r="M2" s="69"/>
    </row>
    <row r="3" spans="2:13" s="5" customFormat="1" ht="20.100000000000001" customHeight="1">
      <c r="B3" s="70" t="s">
        <v>63</v>
      </c>
      <c r="C3" s="71"/>
      <c r="D3" s="70" t="s">
        <v>62</v>
      </c>
      <c r="E3" s="71"/>
      <c r="F3" s="72" t="s">
        <v>64</v>
      </c>
      <c r="G3" s="70" t="s">
        <v>65</v>
      </c>
      <c r="H3" s="70"/>
      <c r="I3" s="73"/>
      <c r="J3" s="70" t="s">
        <v>111</v>
      </c>
      <c r="K3" s="71"/>
    </row>
    <row r="4" spans="2:13" s="2" customFormat="1">
      <c r="B4" s="34"/>
      <c r="C4" s="74" t="s">
        <v>160</v>
      </c>
      <c r="D4" s="74"/>
      <c r="E4" s="74"/>
      <c r="F4" s="75">
        <v>1</v>
      </c>
      <c r="G4" s="76" t="s">
        <v>142</v>
      </c>
      <c r="H4" s="36"/>
      <c r="I4" s="77" t="s">
        <v>161</v>
      </c>
      <c r="J4" s="78"/>
      <c r="K4" s="79"/>
    </row>
    <row r="5" spans="2:13" s="2" customFormat="1">
      <c r="B5" s="34"/>
      <c r="C5" s="74" t="s">
        <v>162</v>
      </c>
      <c r="D5" s="74"/>
      <c r="E5" s="74"/>
      <c r="F5" s="75">
        <v>1</v>
      </c>
      <c r="G5" s="76" t="s">
        <v>163</v>
      </c>
      <c r="H5" s="36"/>
      <c r="I5" s="77" t="s">
        <v>164</v>
      </c>
      <c r="J5" s="78"/>
      <c r="K5" s="79"/>
    </row>
    <row r="6" spans="2:13" s="2" customFormat="1">
      <c r="B6" s="34"/>
      <c r="C6" s="74" t="s">
        <v>165</v>
      </c>
      <c r="D6" s="74"/>
      <c r="E6" s="74"/>
      <c r="F6" s="75">
        <v>1</v>
      </c>
      <c r="G6" s="76" t="s">
        <v>166</v>
      </c>
      <c r="H6" s="36"/>
      <c r="I6" s="80" t="s">
        <v>167</v>
      </c>
      <c r="J6" s="78"/>
      <c r="K6" s="79"/>
    </row>
    <row r="7" spans="2:13" s="2" customFormat="1">
      <c r="B7" s="34"/>
      <c r="C7" s="81" t="s">
        <v>121</v>
      </c>
      <c r="D7" s="74"/>
      <c r="E7" s="74"/>
      <c r="F7" s="1133">
        <f>WCFT!C5</f>
        <v>5.23</v>
      </c>
      <c r="G7" s="512" t="s">
        <v>168</v>
      </c>
      <c r="H7" s="513"/>
      <c r="I7" s="514" t="s">
        <v>669</v>
      </c>
      <c r="J7" s="82"/>
      <c r="K7" s="83"/>
      <c r="M7" s="2">
        <v>5.4</v>
      </c>
    </row>
    <row r="8" spans="2:13" s="2" customFormat="1">
      <c r="B8" s="34"/>
      <c r="C8" s="81" t="s">
        <v>42</v>
      </c>
      <c r="D8" s="74"/>
      <c r="E8" s="74"/>
      <c r="F8" s="75">
        <v>366</v>
      </c>
      <c r="G8" s="76" t="s">
        <v>169</v>
      </c>
      <c r="H8" s="36"/>
      <c r="I8" s="84" t="s">
        <v>170</v>
      </c>
      <c r="J8" s="82"/>
      <c r="K8" s="83"/>
    </row>
    <row r="9" spans="2:13" s="2" customFormat="1">
      <c r="B9" s="34"/>
      <c r="C9" s="81" t="s">
        <v>228</v>
      </c>
      <c r="D9" s="74"/>
      <c r="E9" s="74"/>
      <c r="F9" s="75">
        <f>F4*F7*F8*F5</f>
        <v>1914.18</v>
      </c>
      <c r="G9" s="76" t="s">
        <v>67</v>
      </c>
      <c r="H9" s="36"/>
      <c r="I9" s="84" t="s">
        <v>171</v>
      </c>
      <c r="J9" s="82"/>
      <c r="K9" s="83"/>
    </row>
    <row r="10" spans="2:13" s="2" customFormat="1">
      <c r="B10" s="85"/>
      <c r="C10" s="86" t="s">
        <v>270</v>
      </c>
      <c r="D10" s="86"/>
      <c r="E10" s="86"/>
      <c r="F10" s="75">
        <v>0.02</v>
      </c>
      <c r="G10" s="76" t="s">
        <v>166</v>
      </c>
      <c r="H10" s="36"/>
      <c r="I10" s="84" t="s">
        <v>271</v>
      </c>
      <c r="J10" s="82"/>
      <c r="K10" s="83"/>
    </row>
    <row r="11" spans="2:13" s="2" customFormat="1">
      <c r="B11" s="34"/>
      <c r="C11" s="74" t="s">
        <v>138</v>
      </c>
      <c r="D11" s="74"/>
      <c r="E11" s="74"/>
      <c r="F11" s="75">
        <v>12</v>
      </c>
      <c r="G11" s="76" t="s">
        <v>139</v>
      </c>
      <c r="H11" s="36"/>
      <c r="I11" s="80" t="s">
        <v>137</v>
      </c>
      <c r="J11" s="87"/>
      <c r="K11" s="88"/>
    </row>
    <row r="12" spans="2:13" s="2" customFormat="1">
      <c r="B12" s="34"/>
      <c r="C12" s="74" t="s">
        <v>172</v>
      </c>
      <c r="D12" s="74"/>
      <c r="E12" s="74"/>
      <c r="F12" s="75">
        <v>7</v>
      </c>
      <c r="G12" s="76" t="s">
        <v>173</v>
      </c>
      <c r="H12" s="36"/>
      <c r="I12" s="80" t="s">
        <v>229</v>
      </c>
      <c r="J12" s="87"/>
      <c r="K12" s="88"/>
    </row>
    <row r="13" spans="2:13" s="2" customFormat="1">
      <c r="B13" s="34"/>
      <c r="C13" s="74" t="s">
        <v>174</v>
      </c>
      <c r="D13" s="74"/>
      <c r="E13" s="74"/>
      <c r="F13" s="75">
        <v>7</v>
      </c>
      <c r="G13" s="76" t="s">
        <v>175</v>
      </c>
      <c r="H13" s="36"/>
      <c r="I13" s="80" t="s">
        <v>176</v>
      </c>
      <c r="J13" s="87"/>
      <c r="K13" s="88"/>
    </row>
    <row r="14" spans="2:13" s="2" customFormat="1">
      <c r="B14" s="34"/>
      <c r="C14" s="74" t="s">
        <v>177</v>
      </c>
      <c r="D14" s="74"/>
      <c r="E14" s="74"/>
      <c r="F14" s="75">
        <v>1000000</v>
      </c>
      <c r="G14" s="76"/>
      <c r="H14" s="36"/>
      <c r="I14" s="80" t="s">
        <v>137</v>
      </c>
      <c r="J14" s="87"/>
      <c r="K14" s="88"/>
    </row>
    <row r="15" spans="2:13" s="2" customFormat="1">
      <c r="B15" s="34"/>
      <c r="C15" s="74" t="s">
        <v>178</v>
      </c>
      <c r="D15" s="74"/>
      <c r="E15" s="74"/>
      <c r="F15" s="75">
        <v>1000</v>
      </c>
      <c r="G15" s="76"/>
      <c r="H15" s="89"/>
      <c r="I15" s="80" t="s">
        <v>137</v>
      </c>
      <c r="J15" s="87"/>
      <c r="K15" s="88"/>
    </row>
    <row r="16" spans="2:13" s="2" customFormat="1">
      <c r="B16" s="34"/>
      <c r="C16" s="74" t="s">
        <v>179</v>
      </c>
      <c r="D16" s="74"/>
      <c r="E16" s="74"/>
      <c r="F16" s="75">
        <v>1000</v>
      </c>
      <c r="G16" s="76"/>
      <c r="H16" s="89"/>
      <c r="I16" s="80" t="s">
        <v>137</v>
      </c>
      <c r="J16" s="87"/>
      <c r="K16" s="88"/>
    </row>
    <row r="17" spans="2:13" s="2" customFormat="1">
      <c r="B17" s="34"/>
      <c r="C17" s="74" t="s">
        <v>180</v>
      </c>
      <c r="D17" s="74"/>
      <c r="E17" s="74"/>
      <c r="F17" s="90">
        <v>0.3</v>
      </c>
      <c r="G17" s="76" t="s">
        <v>181</v>
      </c>
      <c r="H17" s="89"/>
      <c r="I17" s="1276" t="s">
        <v>182</v>
      </c>
      <c r="J17" s="1277"/>
      <c r="K17" s="1278"/>
    </row>
    <row r="18" spans="2:13" s="2" customFormat="1">
      <c r="B18" s="34"/>
      <c r="C18" s="74" t="s">
        <v>183</v>
      </c>
      <c r="D18" s="74"/>
      <c r="E18" s="74"/>
      <c r="F18" s="91">
        <v>4.0000000000000001E-3</v>
      </c>
      <c r="G18" s="76" t="s">
        <v>184</v>
      </c>
      <c r="H18" s="89"/>
      <c r="I18" s="1276" t="s">
        <v>182</v>
      </c>
      <c r="J18" s="1277"/>
      <c r="K18" s="1278"/>
    </row>
    <row r="19" spans="2:13" s="2" customFormat="1">
      <c r="B19" s="34"/>
      <c r="C19" s="74" t="s">
        <v>185</v>
      </c>
      <c r="D19" s="74"/>
      <c r="E19" s="74"/>
      <c r="F19" s="90">
        <v>0.2</v>
      </c>
      <c r="G19" s="76" t="s">
        <v>181</v>
      </c>
      <c r="H19" s="89"/>
      <c r="I19" s="1276" t="s">
        <v>182</v>
      </c>
      <c r="J19" s="1277"/>
      <c r="K19" s="1278"/>
    </row>
    <row r="20" spans="2:13" s="2" customFormat="1">
      <c r="B20" s="34"/>
      <c r="C20" s="74" t="s">
        <v>186</v>
      </c>
      <c r="D20" s="74"/>
      <c r="E20" s="74"/>
      <c r="F20" s="92">
        <v>1E-3</v>
      </c>
      <c r="G20" s="76" t="s">
        <v>184</v>
      </c>
      <c r="H20" s="89"/>
      <c r="I20" s="1276" t="s">
        <v>182</v>
      </c>
      <c r="J20" s="1277"/>
      <c r="K20" s="1278"/>
    </row>
    <row r="21" spans="2:13" s="2" customFormat="1" ht="47.25" customHeight="1">
      <c r="B21" s="34"/>
      <c r="C21" s="74" t="s">
        <v>187</v>
      </c>
      <c r="D21" s="74"/>
      <c r="E21" s="74"/>
      <c r="F21" s="75">
        <v>25</v>
      </c>
      <c r="G21" s="76" t="s">
        <v>188</v>
      </c>
      <c r="H21" s="89"/>
      <c r="I21" s="1279" t="s">
        <v>189</v>
      </c>
      <c r="J21" s="1280"/>
      <c r="K21" s="1281"/>
    </row>
    <row r="22" spans="2:13" s="2" customFormat="1" ht="46.5" customHeight="1">
      <c r="B22" s="400"/>
      <c r="C22" s="104" t="s">
        <v>190</v>
      </c>
      <c r="D22" s="104"/>
      <c r="E22" s="104"/>
      <c r="F22" s="401">
        <v>298</v>
      </c>
      <c r="G22" s="402" t="s">
        <v>191</v>
      </c>
      <c r="H22" s="89"/>
      <c r="I22" s="1279" t="s">
        <v>189</v>
      </c>
      <c r="J22" s="1280"/>
      <c r="K22" s="1281"/>
    </row>
    <row r="23" spans="2:13" s="2" customFormat="1" ht="46.5" customHeight="1">
      <c r="B23" s="223"/>
      <c r="C23" s="404" t="s">
        <v>407</v>
      </c>
      <c r="D23" s="404"/>
      <c r="E23" s="404"/>
      <c r="F23" s="405">
        <v>6</v>
      </c>
      <c r="G23" s="406"/>
      <c r="H23" s="407"/>
      <c r="I23" s="1282" t="s">
        <v>408</v>
      </c>
      <c r="J23" s="1283"/>
      <c r="K23" s="1284"/>
    </row>
    <row r="24" spans="2:13" s="2" customFormat="1" ht="14.25" customHeight="1">
      <c r="B24" s="249"/>
      <c r="C24" s="86"/>
      <c r="D24" s="86"/>
      <c r="E24" s="86"/>
      <c r="F24" s="403"/>
      <c r="G24" s="249"/>
      <c r="H24" s="37"/>
      <c r="I24" s="93"/>
      <c r="J24" s="93"/>
      <c r="K24" s="93"/>
    </row>
    <row r="25" spans="2:13" s="2" customFormat="1" ht="14.25" customHeight="1">
      <c r="B25" s="34"/>
      <c r="C25" s="74" t="s">
        <v>192</v>
      </c>
      <c r="D25" s="74"/>
      <c r="E25" s="74"/>
      <c r="F25" s="408">
        <v>0.56930000000000003</v>
      </c>
      <c r="G25" s="76" t="s">
        <v>166</v>
      </c>
      <c r="H25" s="37"/>
      <c r="I25" s="80" t="s">
        <v>341</v>
      </c>
      <c r="J25" s="94"/>
      <c r="K25" s="95"/>
    </row>
    <row r="26" spans="2:13" s="2" customFormat="1" ht="14.25" customHeight="1">
      <c r="B26" s="34"/>
      <c r="C26" s="74" t="s">
        <v>193</v>
      </c>
      <c r="D26" s="74"/>
      <c r="E26" s="74"/>
      <c r="F26" s="408">
        <v>0.11260000000000001</v>
      </c>
      <c r="G26" s="76" t="s">
        <v>166</v>
      </c>
      <c r="H26" s="37"/>
      <c r="I26" s="80" t="s">
        <v>342</v>
      </c>
      <c r="J26" s="94"/>
      <c r="K26" s="95"/>
    </row>
    <row r="27" spans="2:13" s="2" customFormat="1" ht="14.25" customHeight="1">
      <c r="B27" s="34"/>
      <c r="C27" s="74" t="s">
        <v>194</v>
      </c>
      <c r="D27" s="74"/>
      <c r="E27" s="74"/>
      <c r="F27" s="408">
        <v>5.1900000000000002E-2</v>
      </c>
      <c r="G27" s="76" t="s">
        <v>166</v>
      </c>
      <c r="H27" s="37"/>
      <c r="I27" s="80" t="s">
        <v>343</v>
      </c>
      <c r="J27" s="94"/>
      <c r="K27" s="95"/>
    </row>
    <row r="28" spans="2:13" s="2" customFormat="1" ht="14.25" customHeight="1">
      <c r="B28" s="34"/>
      <c r="C28" s="74" t="s">
        <v>195</v>
      </c>
      <c r="D28" s="74"/>
      <c r="E28" s="74"/>
      <c r="F28" s="408">
        <v>8.6999999999999994E-3</v>
      </c>
      <c r="G28" s="76" t="s">
        <v>166</v>
      </c>
      <c r="H28" s="37"/>
      <c r="I28" s="80" t="s">
        <v>344</v>
      </c>
      <c r="J28" s="94"/>
      <c r="K28" s="95"/>
    </row>
    <row r="29" spans="2:13" s="2" customFormat="1" ht="14.25" customHeight="1">
      <c r="B29" s="34"/>
      <c r="C29" s="74" t="s">
        <v>373</v>
      </c>
      <c r="D29" s="74"/>
      <c r="E29" s="74"/>
      <c r="F29" s="408">
        <v>0.1991</v>
      </c>
      <c r="G29" s="76" t="s">
        <v>166</v>
      </c>
      <c r="H29" s="37"/>
      <c r="I29" s="80" t="s">
        <v>374</v>
      </c>
      <c r="J29" s="94"/>
      <c r="K29" s="95"/>
      <c r="M29" s="2" t="s">
        <v>659</v>
      </c>
    </row>
    <row r="30" spans="2:13" s="2" customFormat="1" ht="14.25" customHeight="1">
      <c r="B30" s="653"/>
      <c r="C30" s="654"/>
      <c r="D30" s="654"/>
      <c r="E30" s="654"/>
      <c r="F30" s="655"/>
      <c r="G30" s="653"/>
      <c r="H30" s="37"/>
      <c r="I30" s="656"/>
      <c r="J30" s="657"/>
      <c r="K30" s="657"/>
    </row>
    <row r="31" spans="2:13" s="2" customFormat="1" ht="14.25" customHeight="1">
      <c r="B31" s="34"/>
      <c r="C31" s="74" t="s">
        <v>604</v>
      </c>
      <c r="D31" s="74"/>
      <c r="E31" s="74"/>
      <c r="F31" s="659">
        <v>1.2E-2</v>
      </c>
      <c r="G31" s="512"/>
      <c r="H31" s="37"/>
      <c r="I31" s="919" t="s">
        <v>670</v>
      </c>
      <c r="J31" s="657"/>
      <c r="K31" s="657"/>
      <c r="M31" s="1000" t="s">
        <v>661</v>
      </c>
    </row>
    <row r="32" spans="2:13" s="2" customFormat="1" ht="14.25" customHeight="1">
      <c r="B32" s="34"/>
      <c r="C32" s="74" t="s">
        <v>667</v>
      </c>
      <c r="D32" s="74"/>
      <c r="E32" s="74"/>
      <c r="F32" s="659">
        <v>2.4E-2</v>
      </c>
      <c r="G32" s="512"/>
      <c r="H32" s="37"/>
      <c r="I32" s="919" t="s">
        <v>670</v>
      </c>
      <c r="J32" s="657"/>
      <c r="K32" s="657"/>
      <c r="M32" s="1000"/>
    </row>
    <row r="33" spans="2:13" s="2" customFormat="1" ht="14.25" customHeight="1">
      <c r="B33" s="34"/>
      <c r="C33" s="74" t="s">
        <v>496</v>
      </c>
      <c r="D33" s="74"/>
      <c r="E33" s="74"/>
      <c r="F33" s="659">
        <v>0.40500000000000003</v>
      </c>
      <c r="G33" s="512"/>
      <c r="H33" s="37"/>
      <c r="I33" s="919" t="s">
        <v>670</v>
      </c>
      <c r="J33" s="657"/>
      <c r="K33" s="657"/>
      <c r="M33" s="1000"/>
    </row>
    <row r="34" spans="2:13" s="2" customFormat="1" ht="14.25" customHeight="1">
      <c r="B34" s="34"/>
      <c r="C34" s="74" t="s">
        <v>605</v>
      </c>
      <c r="D34" s="74"/>
      <c r="E34" s="74"/>
      <c r="F34" s="659">
        <f>F31+F32+F33</f>
        <v>0.44100000000000006</v>
      </c>
      <c r="G34" s="512" t="s">
        <v>166</v>
      </c>
      <c r="H34" s="660"/>
      <c r="I34" s="919" t="s">
        <v>668</v>
      </c>
      <c r="J34" s="657"/>
      <c r="K34" s="657"/>
    </row>
    <row r="35" spans="2:13" s="2" customFormat="1" ht="14.25" customHeight="1">
      <c r="B35" s="34"/>
      <c r="C35" s="74" t="s">
        <v>497</v>
      </c>
      <c r="D35" s="74"/>
      <c r="E35" s="74"/>
      <c r="F35" s="659">
        <v>0.13100000000000001</v>
      </c>
      <c r="G35" s="512" t="s">
        <v>166</v>
      </c>
      <c r="H35" s="660"/>
      <c r="I35" s="919" t="s">
        <v>670</v>
      </c>
      <c r="J35" s="657"/>
      <c r="K35" s="657"/>
    </row>
    <row r="36" spans="2:13" s="2" customFormat="1" ht="14.25" customHeight="1">
      <c r="B36" s="34"/>
      <c r="C36" s="74" t="s">
        <v>498</v>
      </c>
      <c r="D36" s="74"/>
      <c r="E36" s="74"/>
      <c r="F36" s="659">
        <v>0</v>
      </c>
      <c r="G36" s="512" t="s">
        <v>166</v>
      </c>
      <c r="H36" s="660"/>
      <c r="I36" s="919" t="s">
        <v>670</v>
      </c>
      <c r="J36" s="657"/>
      <c r="K36" s="657"/>
    </row>
    <row r="37" spans="2:13" s="2" customFormat="1" ht="14.25" customHeight="1">
      <c r="B37" s="34"/>
      <c r="C37" s="74" t="s">
        <v>499</v>
      </c>
      <c r="D37" s="74"/>
      <c r="E37" s="74"/>
      <c r="F37" s="659">
        <v>1.2E-2</v>
      </c>
      <c r="G37" s="512" t="s">
        <v>166</v>
      </c>
      <c r="H37" s="660"/>
      <c r="I37" s="919" t="s">
        <v>670</v>
      </c>
      <c r="J37" s="657"/>
      <c r="K37" s="657"/>
    </row>
    <row r="38" spans="2:13" s="2" customFormat="1" ht="14.25" customHeight="1">
      <c r="B38" s="34"/>
      <c r="C38" s="74" t="s">
        <v>500</v>
      </c>
      <c r="D38" s="74"/>
      <c r="E38" s="74"/>
      <c r="F38" s="659">
        <f>26.2%</f>
        <v>0.26200000000000001</v>
      </c>
      <c r="G38" s="512" t="s">
        <v>166</v>
      </c>
      <c r="H38" s="660"/>
      <c r="I38" s="919" t="s">
        <v>670</v>
      </c>
    </row>
    <row r="39" spans="2:13" s="2" customFormat="1" ht="14.25" customHeight="1">
      <c r="B39" s="85"/>
      <c r="C39" s="74"/>
      <c r="D39" s="74"/>
      <c r="E39" s="74"/>
      <c r="F39" s="408"/>
      <c r="G39" s="76"/>
      <c r="H39" s="37"/>
      <c r="I39" s="80"/>
      <c r="J39" s="510"/>
      <c r="K39" s="511"/>
    </row>
    <row r="40" spans="2:13" s="2" customFormat="1">
      <c r="B40" s="34"/>
      <c r="C40" s="81" t="s">
        <v>340</v>
      </c>
      <c r="D40" s="74"/>
      <c r="E40" s="74"/>
      <c r="F40" s="1134">
        <f>WCFT!E5</f>
        <v>1.19</v>
      </c>
      <c r="G40" s="512" t="s">
        <v>196</v>
      </c>
      <c r="H40" s="513"/>
      <c r="I40" s="514" t="s">
        <v>671</v>
      </c>
      <c r="J40" s="82"/>
      <c r="K40" s="83"/>
    </row>
    <row r="41" spans="2:13" s="2" customFormat="1">
      <c r="B41" s="34"/>
      <c r="C41" s="1269" t="s">
        <v>197</v>
      </c>
      <c r="D41" s="1269"/>
      <c r="E41" s="1269"/>
      <c r="F41" s="1134">
        <f>WCFT!F5</f>
        <v>0.55000000000000004</v>
      </c>
      <c r="G41" s="512" t="s">
        <v>196</v>
      </c>
      <c r="H41" s="513"/>
      <c r="I41" s="514" t="s">
        <v>672</v>
      </c>
      <c r="J41" s="82"/>
      <c r="K41" s="83"/>
    </row>
    <row r="42" spans="2:13" s="2" customFormat="1">
      <c r="B42" s="34"/>
      <c r="C42" s="81" t="s">
        <v>198</v>
      </c>
      <c r="D42" s="74"/>
      <c r="E42" s="74"/>
      <c r="F42" s="1133">
        <f>WCFT!G5</f>
        <v>0.03</v>
      </c>
      <c r="G42" s="512" t="s">
        <v>196</v>
      </c>
      <c r="H42" s="513"/>
      <c r="I42" s="514" t="s">
        <v>672</v>
      </c>
      <c r="J42" s="82"/>
      <c r="K42" s="83"/>
    </row>
    <row r="43" spans="2:13" s="2" customFormat="1">
      <c r="B43" s="81"/>
      <c r="C43" s="81"/>
      <c r="D43" s="74"/>
      <c r="E43" s="74"/>
      <c r="F43" s="75"/>
      <c r="G43" s="81"/>
      <c r="H43" s="37"/>
      <c r="I43" s="96"/>
      <c r="J43" s="96"/>
      <c r="K43" s="96"/>
    </row>
    <row r="44" spans="2:13" s="2" customFormat="1">
      <c r="B44" s="34"/>
      <c r="C44" s="81" t="s">
        <v>200</v>
      </c>
      <c r="D44" s="74"/>
      <c r="E44" s="74"/>
      <c r="F44" s="97">
        <f>Calculations!D10/CoreData!F11</f>
        <v>7.5816164326938953E-2</v>
      </c>
      <c r="G44" s="76" t="s">
        <v>201</v>
      </c>
      <c r="H44" s="37"/>
      <c r="I44" s="84" t="s">
        <v>202</v>
      </c>
      <c r="J44" s="82"/>
      <c r="K44" s="83"/>
    </row>
    <row r="45" spans="2:13" s="2" customFormat="1">
      <c r="B45" s="34"/>
      <c r="C45" s="81" t="s">
        <v>203</v>
      </c>
      <c r="D45" s="74"/>
      <c r="E45" s="74"/>
      <c r="F45" s="97">
        <f>Calculations!$D$12/$F$11</f>
        <v>1.9640357875885483E-2</v>
      </c>
      <c r="G45" s="76" t="s">
        <v>201</v>
      </c>
      <c r="H45" s="37"/>
      <c r="I45" s="84" t="s">
        <v>204</v>
      </c>
      <c r="J45" s="82"/>
      <c r="K45" s="83"/>
    </row>
    <row r="46" spans="2:13" s="2" customFormat="1">
      <c r="B46" s="34"/>
      <c r="C46" s="81" t="s">
        <v>205</v>
      </c>
      <c r="D46" s="74"/>
      <c r="E46" s="74"/>
      <c r="F46" s="97">
        <f>Calculations!$D$18/$F$11</f>
        <v>1.0064176042148161E-3</v>
      </c>
      <c r="G46" s="76" t="s">
        <v>201</v>
      </c>
      <c r="H46" s="37"/>
      <c r="I46" s="84" t="s">
        <v>206</v>
      </c>
      <c r="J46" s="82"/>
      <c r="K46" s="83"/>
    </row>
    <row r="47" spans="2:13" s="2" customFormat="1">
      <c r="B47" s="81"/>
      <c r="C47" s="81"/>
      <c r="D47" s="74"/>
      <c r="E47" s="74"/>
      <c r="F47" s="75"/>
      <c r="G47" s="81"/>
      <c r="H47" s="37"/>
      <c r="I47" s="96"/>
      <c r="J47" s="96"/>
      <c r="K47" s="96"/>
    </row>
    <row r="48" spans="2:13" s="5" customFormat="1">
      <c r="B48" s="35"/>
      <c r="C48" s="1269" t="s">
        <v>247</v>
      </c>
      <c r="D48" s="1269"/>
      <c r="E48" s="1269"/>
      <c r="F48" s="1128">
        <v>300.38</v>
      </c>
      <c r="G48" s="1129" t="s">
        <v>255</v>
      </c>
      <c r="H48" s="914"/>
      <c r="I48" s="915" t="s">
        <v>534</v>
      </c>
      <c r="J48" s="110"/>
      <c r="K48" s="111"/>
    </row>
    <row r="49" spans="2:13" s="5" customFormat="1">
      <c r="B49" s="35"/>
      <c r="C49" s="1269" t="s">
        <v>249</v>
      </c>
      <c r="D49" s="1269"/>
      <c r="E49" s="1269"/>
      <c r="F49" s="1128">
        <v>144.5</v>
      </c>
      <c r="G49" s="1129" t="s">
        <v>255</v>
      </c>
      <c r="H49" s="914"/>
      <c r="I49" s="915" t="s">
        <v>532</v>
      </c>
      <c r="J49" s="110"/>
      <c r="K49" s="111"/>
    </row>
    <row r="50" spans="2:13" s="5" customFormat="1">
      <c r="B50" s="35"/>
      <c r="C50" s="1269" t="s">
        <v>248</v>
      </c>
      <c r="D50" s="1269"/>
      <c r="E50" s="1269"/>
      <c r="F50" s="1128">
        <f>F48</f>
        <v>300.38</v>
      </c>
      <c r="G50" s="1129" t="s">
        <v>255</v>
      </c>
      <c r="H50" s="914"/>
      <c r="I50" s="915" t="s">
        <v>532</v>
      </c>
      <c r="J50" s="110"/>
      <c r="K50" s="111"/>
    </row>
    <row r="51" spans="2:13" s="5" customFormat="1">
      <c r="B51" s="35"/>
      <c r="C51" s="1269" t="s">
        <v>250</v>
      </c>
      <c r="D51" s="1269"/>
      <c r="E51" s="1269"/>
      <c r="F51" s="1128">
        <f>F49</f>
        <v>144.5</v>
      </c>
      <c r="G51" s="1129" t="s">
        <v>255</v>
      </c>
      <c r="H51" s="914"/>
      <c r="I51" s="915" t="s">
        <v>532</v>
      </c>
      <c r="J51" s="110"/>
      <c r="K51" s="111"/>
    </row>
    <row r="52" spans="2:13" s="5" customFormat="1">
      <c r="B52" s="1"/>
      <c r="E52" s="112"/>
      <c r="F52" s="1130"/>
      <c r="G52" s="1129"/>
      <c r="H52" s="118"/>
      <c r="I52" s="115"/>
      <c r="J52" s="115"/>
      <c r="K52" s="115"/>
    </row>
    <row r="53" spans="2:13" s="5" customFormat="1">
      <c r="B53" s="35"/>
      <c r="C53" s="1269" t="s">
        <v>251</v>
      </c>
      <c r="D53" s="1269"/>
      <c r="E53" s="1269"/>
      <c r="F53" s="1128">
        <v>357.7</v>
      </c>
      <c r="G53" s="1129" t="s">
        <v>255</v>
      </c>
      <c r="H53" s="914"/>
      <c r="I53" s="915" t="s">
        <v>533</v>
      </c>
      <c r="J53" s="110"/>
      <c r="K53" s="111"/>
    </row>
    <row r="54" spans="2:13" s="5" customFormat="1">
      <c r="B54" s="35"/>
      <c r="C54" s="1269" t="s">
        <v>252</v>
      </c>
      <c r="D54" s="1269"/>
      <c r="E54" s="1269"/>
      <c r="F54" s="1128">
        <v>179.8</v>
      </c>
      <c r="G54" s="1129" t="s">
        <v>255</v>
      </c>
      <c r="H54" s="914"/>
      <c r="I54" s="915" t="s">
        <v>533</v>
      </c>
      <c r="J54" s="110"/>
      <c r="K54" s="111"/>
    </row>
    <row r="55" spans="2:13" s="5" customFormat="1">
      <c r="B55" s="35"/>
      <c r="C55" s="1269" t="s">
        <v>253</v>
      </c>
      <c r="D55" s="1269"/>
      <c r="E55" s="1269"/>
      <c r="F55" s="1128">
        <f>F53</f>
        <v>357.7</v>
      </c>
      <c r="G55" s="1129" t="s">
        <v>255</v>
      </c>
      <c r="H55" s="914"/>
      <c r="I55" s="915" t="s">
        <v>533</v>
      </c>
      <c r="J55" s="110"/>
      <c r="K55" s="111"/>
    </row>
    <row r="56" spans="2:13" s="5" customFormat="1">
      <c r="B56" s="35"/>
      <c r="C56" s="1269" t="s">
        <v>254</v>
      </c>
      <c r="D56" s="1269"/>
      <c r="E56" s="1269"/>
      <c r="F56" s="1128">
        <f>F54</f>
        <v>179.8</v>
      </c>
      <c r="G56" s="1129" t="s">
        <v>255</v>
      </c>
      <c r="H56" s="914"/>
      <c r="I56" s="915" t="s">
        <v>533</v>
      </c>
      <c r="J56" s="110"/>
      <c r="K56" s="111"/>
    </row>
    <row r="57" spans="2:13" s="5" customFormat="1">
      <c r="B57" s="519"/>
      <c r="C57" s="847" t="s">
        <v>464</v>
      </c>
      <c r="D57" s="848"/>
      <c r="E57" s="848"/>
      <c r="F57" s="1128">
        <v>31.2</v>
      </c>
      <c r="G57" s="1129" t="s">
        <v>255</v>
      </c>
      <c r="H57" s="916"/>
      <c r="I57" s="915" t="s">
        <v>533</v>
      </c>
      <c r="J57" s="520"/>
      <c r="K57" s="520"/>
    </row>
    <row r="58" spans="2:13" s="5" customFormat="1">
      <c r="B58" s="519"/>
      <c r="C58" s="847" t="s">
        <v>465</v>
      </c>
      <c r="D58" s="848"/>
      <c r="E58" s="848"/>
      <c r="F58" s="1128">
        <f>$F$117/($F$129*$F$134)*F14</f>
        <v>15.115433403805499</v>
      </c>
      <c r="G58" s="1129" t="s">
        <v>255</v>
      </c>
      <c r="H58" s="916"/>
      <c r="I58" s="915" t="s">
        <v>529</v>
      </c>
      <c r="J58" s="520"/>
      <c r="K58" s="520"/>
    </row>
    <row r="59" spans="2:13" s="5" customFormat="1">
      <c r="B59" s="34"/>
      <c r="C59" s="74" t="s">
        <v>466</v>
      </c>
      <c r="D59" s="74"/>
      <c r="E59" s="74"/>
      <c r="F59" s="1131">
        <v>0.44</v>
      </c>
      <c r="G59" s="1129" t="s">
        <v>166</v>
      </c>
      <c r="H59" s="920"/>
      <c r="I59" s="915" t="s">
        <v>606</v>
      </c>
      <c r="J59" s="510"/>
      <c r="K59" s="511"/>
    </row>
    <row r="60" spans="2:13" s="5" customFormat="1">
      <c r="B60" s="34"/>
      <c r="C60" s="74" t="s">
        <v>467</v>
      </c>
      <c r="D60" s="74"/>
      <c r="E60" s="74"/>
      <c r="F60" s="1131">
        <v>0.56000000000000005</v>
      </c>
      <c r="G60" s="1129" t="s">
        <v>166</v>
      </c>
      <c r="H60" s="920"/>
      <c r="I60" s="915" t="s">
        <v>607</v>
      </c>
      <c r="J60" s="510"/>
      <c r="K60" s="511"/>
    </row>
    <row r="61" spans="2:13" s="5" customFormat="1">
      <c r="B61" s="34"/>
      <c r="C61" s="74" t="s">
        <v>466</v>
      </c>
      <c r="D61" s="104"/>
      <c r="E61" s="104"/>
      <c r="F61" s="925">
        <v>9.0999999999999998E-2</v>
      </c>
      <c r="G61" s="919" t="s">
        <v>166</v>
      </c>
      <c r="H61" s="37"/>
      <c r="I61" s="919" t="s">
        <v>673</v>
      </c>
      <c r="J61" s="657"/>
      <c r="K61" s="657"/>
    </row>
    <row r="62" spans="2:13" s="5" customFormat="1">
      <c r="B62" s="34"/>
      <c r="C62" s="74" t="s">
        <v>467</v>
      </c>
      <c r="D62" s="104"/>
      <c r="E62" s="104"/>
      <c r="F62" s="925">
        <v>0.90900000000000003</v>
      </c>
      <c r="G62" s="919" t="s">
        <v>166</v>
      </c>
      <c r="H62" s="37"/>
      <c r="I62" s="919" t="s">
        <v>673</v>
      </c>
      <c r="J62" s="657"/>
      <c r="K62" s="657"/>
      <c r="M62" s="5" t="s">
        <v>660</v>
      </c>
    </row>
    <row r="63" spans="2:13" s="5" customFormat="1">
      <c r="B63" s="1"/>
      <c r="C63" s="104"/>
      <c r="D63" s="104"/>
      <c r="E63" s="105"/>
      <c r="F63" s="106"/>
      <c r="H63" s="39"/>
      <c r="I63" s="107"/>
      <c r="J63" s="767">
        <f>F57/1000000</f>
        <v>3.1199999999999999E-5</v>
      </c>
      <c r="K63" s="108"/>
    </row>
    <row r="64" spans="2:13" s="5" customFormat="1" ht="30.75" customHeight="1">
      <c r="B64" s="35" t="s">
        <v>207</v>
      </c>
      <c r="C64" s="1269" t="s">
        <v>208</v>
      </c>
      <c r="D64" s="1269"/>
      <c r="E64" s="1269"/>
      <c r="F64" s="98">
        <f>F9</f>
        <v>1914.18</v>
      </c>
      <c r="G64" s="99" t="s">
        <v>209</v>
      </c>
      <c r="H64" s="100"/>
      <c r="I64" s="101" t="s">
        <v>210</v>
      </c>
      <c r="J64" s="102"/>
      <c r="K64" s="103"/>
    </row>
    <row r="65" spans="1:11" s="5" customFormat="1">
      <c r="B65" s="1"/>
      <c r="C65" s="104"/>
      <c r="D65" s="104"/>
      <c r="E65" s="105"/>
      <c r="F65" s="106"/>
      <c r="H65" s="39"/>
      <c r="I65" s="107"/>
      <c r="J65" s="108"/>
      <c r="K65" s="108"/>
    </row>
    <row r="66" spans="1:11" s="2" customFormat="1" ht="39.6" customHeight="1">
      <c r="B66" s="35" t="s">
        <v>20</v>
      </c>
      <c r="C66" s="1269" t="s">
        <v>2</v>
      </c>
      <c r="D66" s="1269"/>
      <c r="E66" s="1269"/>
      <c r="F66" s="1005">
        <v>0.25969999999999999</v>
      </c>
      <c r="G66" s="81" t="s">
        <v>199</v>
      </c>
      <c r="H66" s="109"/>
      <c r="I66" s="84" t="s">
        <v>452</v>
      </c>
      <c r="J66" s="110"/>
      <c r="K66" s="111"/>
    </row>
    <row r="67" spans="1:11" s="2" customFormat="1" ht="19.5" customHeight="1">
      <c r="B67" s="120"/>
      <c r="C67" s="114"/>
      <c r="D67" s="114"/>
      <c r="E67" s="114"/>
      <c r="F67" s="248"/>
      <c r="G67" s="249"/>
      <c r="H67" s="249"/>
      <c r="I67" s="246"/>
      <c r="J67" s="247"/>
      <c r="K67" s="247"/>
    </row>
    <row r="68" spans="1:11" s="2" customFormat="1" ht="32.25" customHeight="1">
      <c r="A68" s="250"/>
      <c r="B68" s="35" t="s">
        <v>338</v>
      </c>
      <c r="C68" s="81" t="s">
        <v>339</v>
      </c>
      <c r="D68" s="122"/>
      <c r="E68" s="122"/>
      <c r="F68" s="1005">
        <v>5.7500000000000002E-2</v>
      </c>
      <c r="G68" s="76" t="s">
        <v>199</v>
      </c>
      <c r="H68" s="34"/>
      <c r="I68" s="252" t="s">
        <v>411</v>
      </c>
      <c r="J68" s="253"/>
      <c r="K68" s="254"/>
    </row>
    <row r="69" spans="1:11" s="2" customFormat="1" ht="21.75" customHeight="1">
      <c r="B69" s="1"/>
      <c r="C69" s="112"/>
      <c r="D69" s="112"/>
      <c r="E69" s="112"/>
      <c r="F69" s="4"/>
      <c r="I69" s="113"/>
    </row>
    <row r="70" spans="1:11" s="2" customFormat="1" ht="39" customHeight="1">
      <c r="B70" s="35" t="s">
        <v>21</v>
      </c>
      <c r="C70" s="1269" t="s">
        <v>3</v>
      </c>
      <c r="D70" s="1269"/>
      <c r="E70" s="1269"/>
      <c r="F70" s="75">
        <f>F40</f>
        <v>1.19</v>
      </c>
      <c r="G70" s="81" t="s">
        <v>196</v>
      </c>
      <c r="H70" s="109"/>
      <c r="I70" s="516" t="str">
        <f>I40</f>
        <v>ARC_HSE_CP2-MP3_2021_Final_Report_V8_Clean, Table 38</v>
      </c>
      <c r="J70" s="110"/>
      <c r="K70" s="111"/>
    </row>
    <row r="71" spans="1:11" s="5" customFormat="1">
      <c r="B71" s="1"/>
      <c r="C71" s="86"/>
      <c r="D71" s="86"/>
      <c r="E71" s="114"/>
      <c r="F71" s="106"/>
      <c r="H71" s="39"/>
      <c r="I71" s="107"/>
      <c r="J71" s="115"/>
      <c r="K71" s="115"/>
    </row>
    <row r="72" spans="1:11" s="5" customFormat="1" ht="39.75" customHeight="1">
      <c r="B72" s="35" t="s">
        <v>22</v>
      </c>
      <c r="C72" s="1269" t="s">
        <v>19</v>
      </c>
      <c r="D72" s="1269"/>
      <c r="E72" s="1269"/>
      <c r="F72" s="75">
        <f>F41</f>
        <v>0.55000000000000004</v>
      </c>
      <c r="G72" s="81" t="s">
        <v>196</v>
      </c>
      <c r="H72" s="109"/>
      <c r="I72" s="1273" t="str">
        <f>I41</f>
        <v>ARC_HSE_CP2-MP3_2021_Final_Report_V8_Clean, Table 38, uisng upper limit value due to the margin of error is greater than 10%</v>
      </c>
      <c r="J72" s="1274"/>
      <c r="K72" s="1275"/>
    </row>
    <row r="73" spans="1:11" s="5" customFormat="1">
      <c r="B73" s="1"/>
      <c r="C73" s="1"/>
      <c r="D73" s="86"/>
      <c r="E73" s="114"/>
      <c r="F73" s="106"/>
      <c r="H73" s="100"/>
      <c r="I73" s="107"/>
      <c r="J73" s="115"/>
      <c r="K73" s="115"/>
    </row>
    <row r="74" spans="1:11" s="5" customFormat="1" ht="23.25" customHeight="1">
      <c r="B74" s="35" t="s">
        <v>27</v>
      </c>
      <c r="C74" s="1269" t="s">
        <v>8</v>
      </c>
      <c r="D74" s="1269"/>
      <c r="E74" s="1269"/>
      <c r="F74" s="517">
        <f>F42</f>
        <v>0.03</v>
      </c>
      <c r="G74" s="81" t="s">
        <v>196</v>
      </c>
      <c r="H74" s="109"/>
      <c r="I74" s="1273" t="str">
        <f>I42</f>
        <v>ARC_HSE_CP2-MP3_2021_Final_Report_V8_Clean, Table 38, uisng upper limit value due to the margin of error is greater than 10%</v>
      </c>
      <c r="J74" s="1274"/>
      <c r="K74" s="1275"/>
    </row>
    <row r="75" spans="1:11" s="5" customFormat="1">
      <c r="B75" s="1"/>
      <c r="C75" s="1"/>
      <c r="D75" s="86"/>
      <c r="E75" s="114"/>
      <c r="F75" s="106"/>
      <c r="H75" s="100"/>
      <c r="I75" s="107"/>
      <c r="J75" s="115"/>
      <c r="K75" s="115"/>
    </row>
    <row r="76" spans="1:11" s="5" customFormat="1" ht="48" customHeight="1">
      <c r="B76" s="35" t="s">
        <v>212</v>
      </c>
      <c r="C76" s="1269" t="s">
        <v>230</v>
      </c>
      <c r="D76" s="1269"/>
      <c r="E76" s="1269"/>
      <c r="F76" s="128">
        <f>F48/$F$14</f>
        <v>3.0037999999999999E-4</v>
      </c>
      <c r="G76" s="81" t="s">
        <v>211</v>
      </c>
      <c r="H76" s="109"/>
      <c r="I76" s="84" t="s">
        <v>329</v>
      </c>
      <c r="J76" s="110"/>
      <c r="K76" s="111"/>
    </row>
    <row r="77" spans="1:11" s="5" customFormat="1" ht="48.75" customHeight="1">
      <c r="B77" s="35" t="s">
        <v>213</v>
      </c>
      <c r="C77" s="1269" t="s">
        <v>231</v>
      </c>
      <c r="D77" s="1269"/>
      <c r="E77" s="1269"/>
      <c r="F77" s="128">
        <f>F49/$F$14</f>
        <v>1.4449999999999999E-4</v>
      </c>
      <c r="G77" s="81" t="s">
        <v>211</v>
      </c>
      <c r="H77" s="109"/>
      <c r="I77" s="518" t="s">
        <v>329</v>
      </c>
      <c r="J77" s="110"/>
      <c r="K77" s="111"/>
    </row>
    <row r="78" spans="1:11" s="5" customFormat="1" ht="57.75" customHeight="1">
      <c r="B78" s="35" t="s">
        <v>214</v>
      </c>
      <c r="C78" s="1269" t="s">
        <v>232</v>
      </c>
      <c r="D78" s="1269"/>
      <c r="E78" s="1269"/>
      <c r="F78" s="128">
        <f>F50/$F$14</f>
        <v>3.0037999999999999E-4</v>
      </c>
      <c r="G78" s="81" t="s">
        <v>211</v>
      </c>
      <c r="H78" s="109"/>
      <c r="I78" s="518" t="s">
        <v>329</v>
      </c>
      <c r="J78" s="110"/>
      <c r="K78" s="111"/>
    </row>
    <row r="79" spans="1:11" s="5" customFormat="1" ht="50.25" customHeight="1">
      <c r="B79" s="35" t="s">
        <v>215</v>
      </c>
      <c r="C79" s="1269" t="s">
        <v>233</v>
      </c>
      <c r="D79" s="1269"/>
      <c r="E79" s="1269"/>
      <c r="F79" s="128">
        <f>F51/$F$14</f>
        <v>1.4449999999999999E-4</v>
      </c>
      <c r="G79" s="81" t="s">
        <v>211</v>
      </c>
      <c r="H79" s="109"/>
      <c r="I79" s="518" t="s">
        <v>329</v>
      </c>
      <c r="J79" s="110"/>
      <c r="K79" s="111"/>
    </row>
    <row r="80" spans="1:11" s="5" customFormat="1">
      <c r="B80" s="1"/>
      <c r="E80" s="112"/>
      <c r="F80" s="126"/>
      <c r="G80" s="117"/>
      <c r="H80" s="118"/>
      <c r="I80" s="115"/>
      <c r="J80" s="115"/>
      <c r="K80" s="115"/>
    </row>
    <row r="81" spans="2:11" s="5" customFormat="1" ht="48" customHeight="1">
      <c r="B81" s="35" t="s">
        <v>216</v>
      </c>
      <c r="C81" s="1269" t="s">
        <v>234</v>
      </c>
      <c r="D81" s="1269"/>
      <c r="E81" s="1269"/>
      <c r="F81" s="128">
        <f>F53/$F$14</f>
        <v>3.5769999999999997E-4</v>
      </c>
      <c r="G81" s="81" t="s">
        <v>211</v>
      </c>
      <c r="H81" s="109"/>
      <c r="I81" s="518" t="s">
        <v>329</v>
      </c>
      <c r="J81" s="110"/>
      <c r="K81" s="111"/>
    </row>
    <row r="82" spans="2:11" s="5" customFormat="1" ht="48.75" customHeight="1">
      <c r="B82" s="35" t="s">
        <v>217</v>
      </c>
      <c r="C82" s="1269" t="s">
        <v>235</v>
      </c>
      <c r="D82" s="1269"/>
      <c r="E82" s="1269"/>
      <c r="F82" s="128">
        <f>F54/$F$14</f>
        <v>1.7980000000000001E-4</v>
      </c>
      <c r="G82" s="81" t="s">
        <v>211</v>
      </c>
      <c r="H82" s="109"/>
      <c r="I82" s="518" t="s">
        <v>329</v>
      </c>
      <c r="J82" s="110"/>
      <c r="K82" s="111"/>
    </row>
    <row r="83" spans="2:11" s="5" customFormat="1" ht="57.75" customHeight="1">
      <c r="B83" s="35" t="s">
        <v>218</v>
      </c>
      <c r="C83" s="1269" t="s">
        <v>236</v>
      </c>
      <c r="D83" s="1269"/>
      <c r="E83" s="1269"/>
      <c r="F83" s="128">
        <f>F55/$F$14</f>
        <v>3.5769999999999997E-4</v>
      </c>
      <c r="G83" s="81" t="s">
        <v>211</v>
      </c>
      <c r="H83" s="109"/>
      <c r="I83" s="518" t="s">
        <v>329</v>
      </c>
      <c r="J83" s="110"/>
      <c r="K83" s="111"/>
    </row>
    <row r="84" spans="2:11" s="5" customFormat="1" ht="50.25" customHeight="1">
      <c r="B84" s="35" t="s">
        <v>219</v>
      </c>
      <c r="C84" s="1269" t="s">
        <v>237</v>
      </c>
      <c r="D84" s="1269"/>
      <c r="E84" s="1269"/>
      <c r="F84" s="128">
        <f>F56/$F$14</f>
        <v>1.7980000000000001E-4</v>
      </c>
      <c r="G84" s="81" t="s">
        <v>211</v>
      </c>
      <c r="H84" s="109"/>
      <c r="I84" s="518" t="s">
        <v>329</v>
      </c>
      <c r="J84" s="110"/>
      <c r="K84" s="111"/>
    </row>
    <row r="85" spans="2:11" s="5" customFormat="1" ht="50.25" customHeight="1">
      <c r="B85" s="315" t="s">
        <v>375</v>
      </c>
      <c r="C85" s="1268" t="s">
        <v>468</v>
      </c>
      <c r="D85" s="1268"/>
      <c r="E85" s="1268"/>
      <c r="F85" s="521">
        <f>AVERAGE(F57*F59+F58*F60)/F14</f>
        <v>2.2192642706131083E-5</v>
      </c>
      <c r="G85" s="81" t="s">
        <v>211</v>
      </c>
      <c r="H85" s="109"/>
      <c r="I85" s="522" t="s">
        <v>329</v>
      </c>
      <c r="J85" s="520"/>
      <c r="K85" s="520"/>
    </row>
    <row r="86" spans="2:11" s="5" customFormat="1" ht="50.25" customHeight="1">
      <c r="B86" s="315" t="s">
        <v>376</v>
      </c>
      <c r="C86" s="1268" t="s">
        <v>469</v>
      </c>
      <c r="D86" s="1268"/>
      <c r="E86" s="1268"/>
      <c r="F86" s="521">
        <f>AVERAGE(F57*F61+F58*F62)/F14</f>
        <v>1.6579128964059201E-5</v>
      </c>
      <c r="G86" s="521" t="str">
        <f>G85</f>
        <v>tonnes/liter</v>
      </c>
      <c r="H86" s="109"/>
      <c r="I86" s="522" t="s">
        <v>329</v>
      </c>
      <c r="J86" s="520"/>
      <c r="K86" s="520"/>
    </row>
    <row r="87" spans="2:11" s="5" customFormat="1">
      <c r="B87" s="1"/>
      <c r="E87" s="112"/>
      <c r="F87" s="116"/>
      <c r="G87" s="117"/>
      <c r="H87" s="118"/>
      <c r="I87" s="115"/>
      <c r="J87" s="115"/>
      <c r="K87" s="115"/>
    </row>
    <row r="88" spans="2:11" s="5" customFormat="1" ht="50.25" customHeight="1">
      <c r="B88" s="35" t="s">
        <v>644</v>
      </c>
      <c r="C88" s="1269" t="s">
        <v>122</v>
      </c>
      <c r="D88" s="1269"/>
      <c r="E88" s="1269"/>
      <c r="F88" s="196">
        <f>(F76*F25)+(F81*F26)</f>
        <v>2.1128335400000001E-4</v>
      </c>
      <c r="G88" s="81" t="s">
        <v>211</v>
      </c>
      <c r="H88" s="109"/>
      <c r="I88" s="84" t="s">
        <v>238</v>
      </c>
      <c r="J88" s="110"/>
      <c r="K88" s="111"/>
    </row>
    <row r="89" spans="2:11" s="5" customFormat="1" ht="50.25" customHeight="1">
      <c r="B89" s="35" t="s">
        <v>643</v>
      </c>
      <c r="C89" s="1269" t="s">
        <v>9</v>
      </c>
      <c r="D89" s="1269"/>
      <c r="E89" s="1269"/>
      <c r="F89" s="196">
        <f>(F78*F34)+(F83*F35)</f>
        <v>1.7932628000000002E-4</v>
      </c>
      <c r="G89" s="81" t="s">
        <v>211</v>
      </c>
      <c r="H89" s="109"/>
      <c r="I89" s="84" t="s">
        <v>239</v>
      </c>
      <c r="J89" s="110"/>
      <c r="K89" s="111"/>
    </row>
    <row r="90" spans="2:11" s="5" customFormat="1">
      <c r="B90" s="1"/>
      <c r="E90" s="112"/>
      <c r="F90" s="116"/>
      <c r="G90" s="117"/>
      <c r="H90" s="118"/>
      <c r="I90" s="115"/>
      <c r="J90" s="115"/>
      <c r="K90" s="115"/>
    </row>
    <row r="91" spans="2:11" s="5" customFormat="1" ht="50.25" customHeight="1">
      <c r="B91" s="35" t="s">
        <v>641</v>
      </c>
      <c r="C91" s="1269" t="s">
        <v>16</v>
      </c>
      <c r="D91" s="1269"/>
      <c r="E91" s="1269"/>
      <c r="F91" s="196">
        <f>(F77*F27)+(F82*F28)</f>
        <v>9.0638100000000002E-6</v>
      </c>
      <c r="G91" s="81" t="s">
        <v>211</v>
      </c>
      <c r="H91" s="109"/>
      <c r="I91" s="84" t="s">
        <v>240</v>
      </c>
      <c r="J91" s="110"/>
      <c r="K91" s="111"/>
    </row>
    <row r="92" spans="2:11" s="5" customFormat="1" ht="50.25" customHeight="1">
      <c r="B92" s="35" t="s">
        <v>642</v>
      </c>
      <c r="C92" s="1269" t="s">
        <v>645</v>
      </c>
      <c r="D92" s="1269"/>
      <c r="E92" s="1269"/>
      <c r="F92" s="128">
        <f>(F79*F36)+(F84*F37)</f>
        <v>2.1576000000000003E-6</v>
      </c>
      <c r="G92" s="81" t="s">
        <v>211</v>
      </c>
      <c r="H92" s="109"/>
      <c r="I92" s="84" t="s">
        <v>241</v>
      </c>
      <c r="J92" s="110"/>
      <c r="K92" s="111"/>
    </row>
    <row r="93" spans="2:11" s="5" customFormat="1" ht="21" customHeight="1">
      <c r="B93" s="1"/>
      <c r="C93" s="112"/>
      <c r="D93" s="112"/>
      <c r="E93" s="112"/>
      <c r="F93" s="314"/>
      <c r="G93" s="2"/>
      <c r="H93" s="109"/>
      <c r="I93" s="113"/>
      <c r="J93" s="2"/>
      <c r="K93" s="2"/>
    </row>
    <row r="94" spans="2:11" s="5" customFormat="1" ht="45.75" customHeight="1">
      <c r="B94" s="315" t="s">
        <v>654</v>
      </c>
      <c r="C94" s="1289" t="s">
        <v>646</v>
      </c>
      <c r="D94" s="1289"/>
      <c r="E94" s="1289"/>
      <c r="F94" s="945">
        <f>F85*F29</f>
        <v>4.4185551627906986E-6</v>
      </c>
      <c r="G94" s="946" t="s">
        <v>211</v>
      </c>
      <c r="H94" s="947"/>
      <c r="I94" s="948" t="s">
        <v>656</v>
      </c>
      <c r="J94" s="409"/>
      <c r="K94" s="410"/>
    </row>
    <row r="95" spans="2:11" s="5" customFormat="1" ht="48.75" customHeight="1">
      <c r="B95" s="315" t="s">
        <v>655</v>
      </c>
      <c r="C95" s="1289" t="s">
        <v>545</v>
      </c>
      <c r="D95" s="1289"/>
      <c r="E95" s="1289"/>
      <c r="F95" s="945">
        <f>F86*F38</f>
        <v>4.343731788583511E-6</v>
      </c>
      <c r="G95" s="946" t="s">
        <v>211</v>
      </c>
      <c r="H95" s="947"/>
      <c r="I95" s="948" t="s">
        <v>657</v>
      </c>
      <c r="J95" s="409"/>
      <c r="K95" s="410"/>
    </row>
    <row r="96" spans="2:11" s="5" customFormat="1">
      <c r="B96" s="1"/>
      <c r="E96" s="112"/>
      <c r="F96" s="116"/>
      <c r="G96" s="217"/>
      <c r="H96" s="118"/>
      <c r="I96" s="115"/>
      <c r="J96" s="115"/>
      <c r="K96" s="115"/>
    </row>
    <row r="97" spans="1:11" s="5" customFormat="1" ht="43.5" customHeight="1">
      <c r="A97" s="119"/>
      <c r="B97" s="35" t="s">
        <v>29</v>
      </c>
      <c r="C97" s="1269" t="s">
        <v>12</v>
      </c>
      <c r="D97" s="1269"/>
      <c r="E97" s="1269"/>
      <c r="F97" s="98">
        <v>0.77</v>
      </c>
      <c r="G97" s="99" t="s">
        <v>199</v>
      </c>
      <c r="H97" s="100"/>
      <c r="I97" s="1271" t="s">
        <v>328</v>
      </c>
      <c r="J97" s="1271"/>
      <c r="K97" s="1272"/>
    </row>
    <row r="98" spans="1:11" s="5" customFormat="1">
      <c r="B98" s="120"/>
      <c r="E98" s="112"/>
      <c r="F98" s="121"/>
      <c r="G98" s="114"/>
      <c r="H98" s="118"/>
      <c r="I98" s="115"/>
      <c r="J98" s="115"/>
      <c r="K98" s="115"/>
    </row>
    <row r="99" spans="1:11" s="5" customFormat="1" ht="39.75" customHeight="1">
      <c r="A99" s="119"/>
      <c r="B99" s="122" t="s">
        <v>220</v>
      </c>
      <c r="C99" s="1269" t="s">
        <v>13</v>
      </c>
      <c r="D99" s="1269"/>
      <c r="E99" s="1269"/>
      <c r="F99" s="123">
        <v>1.4999999999999999E-2</v>
      </c>
      <c r="G99" s="74" t="s">
        <v>140</v>
      </c>
      <c r="H99" s="100"/>
      <c r="I99" s="84" t="s">
        <v>221</v>
      </c>
      <c r="J99" s="82"/>
      <c r="K99" s="83"/>
    </row>
    <row r="100" spans="1:11" s="5" customFormat="1" ht="20.100000000000001" customHeight="1">
      <c r="B100" s="114"/>
      <c r="C100" s="112"/>
      <c r="D100" s="112"/>
      <c r="E100" s="112"/>
      <c r="F100" s="124"/>
      <c r="H100" s="100"/>
      <c r="I100" s="96"/>
      <c r="J100" s="96"/>
      <c r="K100" s="96"/>
    </row>
    <row r="101" spans="1:11" s="5" customFormat="1" ht="39.75" customHeight="1">
      <c r="B101" s="412" t="s">
        <v>416</v>
      </c>
      <c r="C101" s="1288" t="s">
        <v>351</v>
      </c>
      <c r="D101" s="1288"/>
      <c r="E101" s="1288"/>
      <c r="F101" s="413">
        <v>2.9499999999999998E-2</v>
      </c>
      <c r="G101" s="414" t="s">
        <v>140</v>
      </c>
      <c r="H101" s="100"/>
      <c r="I101" s="84" t="s">
        <v>221</v>
      </c>
      <c r="J101" s="82"/>
      <c r="K101" s="82"/>
    </row>
    <row r="102" spans="1:11" s="5" customFormat="1" ht="21.75" customHeight="1">
      <c r="B102" s="120"/>
      <c r="C102" s="112"/>
      <c r="D102" s="112"/>
      <c r="E102" s="112"/>
      <c r="F102" s="124"/>
      <c r="H102" s="100"/>
      <c r="I102" s="125"/>
      <c r="J102" s="125"/>
      <c r="K102" s="125"/>
    </row>
    <row r="103" spans="1:11" s="5" customFormat="1" ht="42.75" customHeight="1">
      <c r="A103" s="119"/>
      <c r="B103" s="122" t="s">
        <v>222</v>
      </c>
      <c r="C103" s="1269" t="s">
        <v>30</v>
      </c>
      <c r="D103" s="1269"/>
      <c r="E103" s="1269"/>
      <c r="F103" s="98">
        <v>112</v>
      </c>
      <c r="G103" s="122" t="s">
        <v>223</v>
      </c>
      <c r="H103" s="118"/>
      <c r="I103" s="1271" t="s">
        <v>224</v>
      </c>
      <c r="J103" s="1271"/>
      <c r="K103" s="1272"/>
    </row>
    <row r="104" spans="1:11" s="5" customFormat="1" ht="40.5" customHeight="1">
      <c r="A104" s="119"/>
      <c r="B104" s="122" t="s">
        <v>225</v>
      </c>
      <c r="C104" s="1269" t="s">
        <v>31</v>
      </c>
      <c r="D104" s="1269"/>
      <c r="E104" s="1269"/>
      <c r="F104" s="464">
        <f>(F17*F21)+(F18*F22)</f>
        <v>8.6920000000000002</v>
      </c>
      <c r="G104" s="122" t="s">
        <v>223</v>
      </c>
      <c r="H104" s="118"/>
      <c r="I104" s="1285" t="s">
        <v>226</v>
      </c>
      <c r="J104" s="1286"/>
      <c r="K104" s="1287"/>
    </row>
    <row r="105" spans="1:11" s="5" customFormat="1" ht="15" customHeight="1">
      <c r="B105" s="112"/>
      <c r="C105" s="112"/>
      <c r="D105" s="112"/>
      <c r="E105" s="112"/>
      <c r="F105" s="116"/>
      <c r="G105" s="112"/>
      <c r="H105" s="118"/>
      <c r="I105" s="310"/>
      <c r="J105" s="310"/>
      <c r="K105" s="310"/>
    </row>
    <row r="106" spans="1:11" s="5" customFormat="1" ht="40.5" customHeight="1">
      <c r="B106" s="412" t="s">
        <v>428</v>
      </c>
      <c r="C106" s="1288" t="s">
        <v>415</v>
      </c>
      <c r="D106" s="1288"/>
      <c r="E106" s="1288"/>
      <c r="F106" s="411">
        <v>112</v>
      </c>
      <c r="G106" s="412" t="s">
        <v>414</v>
      </c>
      <c r="H106" s="118"/>
      <c r="I106" s="1271" t="s">
        <v>352</v>
      </c>
      <c r="J106" s="1271"/>
      <c r="K106" s="1272"/>
    </row>
    <row r="107" spans="1:11" s="5" customFormat="1" ht="40.5" customHeight="1">
      <c r="B107" s="412" t="s">
        <v>355</v>
      </c>
      <c r="C107" s="1288" t="s">
        <v>413</v>
      </c>
      <c r="D107" s="1288"/>
      <c r="E107" s="1288"/>
      <c r="F107" s="411">
        <f>(F19*F21+F20*F22)</f>
        <v>5.298</v>
      </c>
      <c r="G107" s="412" t="s">
        <v>414</v>
      </c>
      <c r="H107" s="118"/>
      <c r="I107" s="1285" t="s">
        <v>353</v>
      </c>
      <c r="J107" s="1286"/>
      <c r="K107" s="1287"/>
    </row>
    <row r="108" spans="1:11" s="5" customFormat="1">
      <c r="B108" s="1"/>
      <c r="E108" s="112"/>
      <c r="F108" s="126"/>
      <c r="H108" s="100"/>
      <c r="I108" s="115"/>
      <c r="J108" s="115"/>
      <c r="K108" s="115"/>
    </row>
    <row r="109" spans="1:11" s="5" customFormat="1" ht="41.25" customHeight="1">
      <c r="B109" s="34" t="s">
        <v>34</v>
      </c>
      <c r="C109" s="1269" t="s">
        <v>227</v>
      </c>
      <c r="D109" s="1269"/>
      <c r="E109" s="1269"/>
      <c r="F109" s="155">
        <f>Leakage!D16</f>
        <v>1.2077011250577793E-2</v>
      </c>
      <c r="G109" s="99" t="s">
        <v>57</v>
      </c>
      <c r="H109" s="127"/>
      <c r="I109" s="1270" t="s">
        <v>791</v>
      </c>
      <c r="J109" s="1271"/>
      <c r="K109" s="1272"/>
    </row>
    <row r="110" spans="1:11" s="5" customFormat="1">
      <c r="B110" s="1"/>
      <c r="E110" s="39"/>
      <c r="F110" s="116"/>
      <c r="H110" s="39"/>
      <c r="I110" s="115"/>
    </row>
    <row r="111" spans="1:11" s="5" customFormat="1" ht="41.25" customHeight="1">
      <c r="B111" s="34" t="s">
        <v>32</v>
      </c>
      <c r="C111" s="1269" t="s">
        <v>793</v>
      </c>
      <c r="D111" s="1269"/>
      <c r="E111" s="1269"/>
      <c r="F111" s="1244">
        <f>'Usage Rate Calc'!U9</f>
        <v>0.8318481316963624</v>
      </c>
      <c r="G111" s="99" t="s">
        <v>324</v>
      </c>
      <c r="H111" s="127"/>
      <c r="I111" s="1270" t="s">
        <v>639</v>
      </c>
      <c r="J111" s="1271"/>
      <c r="K111" s="1272"/>
    </row>
    <row r="112" spans="1:11" s="2" customFormat="1" ht="29.25" customHeight="1">
      <c r="B112" s="2" t="s">
        <v>792</v>
      </c>
      <c r="C112" s="2" t="s">
        <v>794</v>
      </c>
      <c r="F112" s="1236">
        <f>WQ_Test!B5</f>
        <v>0.9</v>
      </c>
      <c r="I112" s="1270" t="s">
        <v>795</v>
      </c>
      <c r="J112" s="1271"/>
      <c r="K112" s="1272"/>
    </row>
    <row r="113" spans="2:13" ht="19.5">
      <c r="C113" s="313" t="s">
        <v>445</v>
      </c>
      <c r="D113" s="316"/>
      <c r="E113" s="316"/>
      <c r="F113" s="316"/>
      <c r="G113" s="316"/>
      <c r="J113" s="2"/>
      <c r="K113" s="2"/>
      <c r="L113" s="2"/>
      <c r="M113" s="2"/>
    </row>
    <row r="114" spans="2:13">
      <c r="J114" s="2"/>
      <c r="K114" s="2"/>
      <c r="L114" s="2"/>
      <c r="M114" s="2"/>
    </row>
    <row r="115" spans="2:13">
      <c r="I115" s="312" t="s">
        <v>446</v>
      </c>
      <c r="J115" s="2"/>
      <c r="K115" s="2"/>
      <c r="L115" s="2"/>
      <c r="M115" s="2"/>
    </row>
    <row r="116" spans="2:13" ht="21.75" customHeight="1">
      <c r="B116" s="415"/>
      <c r="C116" s="415"/>
      <c r="D116" s="415"/>
      <c r="E116" s="415"/>
      <c r="F116" s="415"/>
      <c r="G116" s="415"/>
      <c r="H116" s="415"/>
      <c r="I116" s="416"/>
      <c r="J116" s="2"/>
      <c r="K116" s="2"/>
      <c r="L116" s="2"/>
      <c r="M116" s="2"/>
    </row>
    <row r="117" spans="2:13">
      <c r="B117" s="417" t="s">
        <v>362</v>
      </c>
      <c r="C117" s="1291" t="s">
        <v>363</v>
      </c>
      <c r="D117" s="1291"/>
      <c r="E117" s="1291"/>
      <c r="F117" s="418">
        <f>(F118*(F119-F120)+0.01*F121)/F122</f>
        <v>714.96</v>
      </c>
      <c r="G117" s="419" t="s">
        <v>377</v>
      </c>
      <c r="H117" s="415"/>
      <c r="I117" s="457" t="s">
        <v>329</v>
      </c>
      <c r="J117" s="2"/>
      <c r="K117" s="2"/>
      <c r="L117" s="2"/>
      <c r="M117" s="2"/>
    </row>
    <row r="118" spans="2:13" ht="23.25" customHeight="1">
      <c r="B118" s="420" t="s">
        <v>364</v>
      </c>
      <c r="C118" s="1290" t="s">
        <v>365</v>
      </c>
      <c r="D118" s="1290"/>
      <c r="E118" s="1290"/>
      <c r="F118" s="421">
        <v>4.1859999999999999</v>
      </c>
      <c r="G118" s="422" t="s">
        <v>378</v>
      </c>
      <c r="H118" s="415"/>
      <c r="I118" s="423" t="s">
        <v>446</v>
      </c>
      <c r="J118" s="6"/>
      <c r="K118" s="2"/>
      <c r="L118" s="2"/>
      <c r="M118" s="2"/>
    </row>
    <row r="119" spans="2:13" ht="15" customHeight="1">
      <c r="B119" s="424" t="s">
        <v>366</v>
      </c>
      <c r="C119" s="1291" t="s">
        <v>367</v>
      </c>
      <c r="D119" s="1291"/>
      <c r="E119" s="1291"/>
      <c r="F119" s="425">
        <v>100</v>
      </c>
      <c r="G119" s="426" t="s">
        <v>379</v>
      </c>
      <c r="H119" s="415"/>
      <c r="I119" s="427" t="s">
        <v>446</v>
      </c>
      <c r="J119" s="2"/>
      <c r="K119" s="2"/>
      <c r="L119" s="2"/>
      <c r="M119" s="2"/>
    </row>
    <row r="120" spans="2:13">
      <c r="B120" s="424" t="s">
        <v>368</v>
      </c>
      <c r="C120" s="1291" t="s">
        <v>369</v>
      </c>
      <c r="D120" s="1291"/>
      <c r="E120" s="1291"/>
      <c r="F120" s="425">
        <v>20</v>
      </c>
      <c r="G120" s="426" t="s">
        <v>379</v>
      </c>
      <c r="H120" s="415"/>
      <c r="I120" s="427" t="s">
        <v>446</v>
      </c>
      <c r="J120" s="2"/>
      <c r="K120" s="2"/>
      <c r="L120" s="2"/>
      <c r="M120" s="2"/>
    </row>
    <row r="121" spans="2:13">
      <c r="B121" s="424" t="s">
        <v>370</v>
      </c>
      <c r="C121" s="1291" t="s">
        <v>371</v>
      </c>
      <c r="D121" s="1291"/>
      <c r="E121" s="1291"/>
      <c r="F121" s="425">
        <v>2260</v>
      </c>
      <c r="G121" s="426" t="s">
        <v>380</v>
      </c>
      <c r="H121" s="415"/>
      <c r="I121" s="427" t="s">
        <v>446</v>
      </c>
      <c r="J121" s="2"/>
      <c r="K121" s="2"/>
      <c r="L121" s="2"/>
      <c r="M121" s="2"/>
    </row>
    <row r="122" spans="2:13">
      <c r="B122" s="428" t="s">
        <v>372</v>
      </c>
      <c r="C122" s="1292" t="s">
        <v>199</v>
      </c>
      <c r="D122" s="1292"/>
      <c r="E122" s="1292"/>
      <c r="F122" s="429">
        <v>0.5</v>
      </c>
      <c r="G122" s="430" t="s">
        <v>199</v>
      </c>
      <c r="H122" s="415"/>
      <c r="I122" s="431" t="s">
        <v>446</v>
      </c>
      <c r="J122" s="2"/>
      <c r="K122" s="2"/>
      <c r="L122" s="2"/>
      <c r="M122" s="2"/>
    </row>
    <row r="123" spans="2:13">
      <c r="B123" s="415"/>
      <c r="C123" s="415"/>
      <c r="D123" s="415"/>
      <c r="E123" s="415"/>
      <c r="F123" s="415"/>
      <c r="G123" s="415"/>
      <c r="H123" s="415"/>
      <c r="I123" s="415"/>
      <c r="J123" s="2"/>
      <c r="K123" s="2"/>
      <c r="L123" s="2"/>
      <c r="M123" s="2"/>
    </row>
    <row r="124" spans="2:13" ht="45">
      <c r="B124" s="443" t="s">
        <v>417</v>
      </c>
      <c r="C124" s="1290" t="s">
        <v>418</v>
      </c>
      <c r="D124" s="1290"/>
      <c r="E124" s="1290"/>
      <c r="F124" s="432">
        <v>63.1</v>
      </c>
      <c r="G124" s="434" t="s">
        <v>419</v>
      </c>
      <c r="H124" s="433"/>
      <c r="I124" s="451" t="s">
        <v>182</v>
      </c>
      <c r="J124" s="2"/>
      <c r="K124" s="2"/>
      <c r="L124" s="2"/>
      <c r="M124" s="2"/>
    </row>
    <row r="125" spans="2:13" ht="18">
      <c r="B125" s="444" t="s">
        <v>420</v>
      </c>
      <c r="C125" s="1291"/>
      <c r="D125" s="1291"/>
      <c r="E125" s="1291"/>
      <c r="F125" s="435"/>
      <c r="G125" s="445"/>
      <c r="H125" s="419"/>
      <c r="I125" s="452"/>
      <c r="J125" s="2"/>
      <c r="K125" s="2"/>
      <c r="L125" s="2"/>
      <c r="M125" s="2"/>
    </row>
    <row r="126" spans="2:13" ht="74.25" customHeight="1">
      <c r="B126" s="444" t="s">
        <v>421</v>
      </c>
      <c r="C126" s="1291" t="s">
        <v>422</v>
      </c>
      <c r="D126" s="1291"/>
      <c r="E126" s="1291"/>
      <c r="F126" s="435">
        <v>0</v>
      </c>
      <c r="G126" s="438" t="s">
        <v>419</v>
      </c>
      <c r="H126" s="415"/>
      <c r="I126" s="453" t="s">
        <v>658</v>
      </c>
      <c r="J126" s="2"/>
      <c r="K126" s="2"/>
      <c r="L126" s="2"/>
      <c r="M126" s="2"/>
    </row>
    <row r="127" spans="2:13" ht="15" customHeight="1">
      <c r="B127" s="444" t="s">
        <v>423</v>
      </c>
      <c r="C127" s="1291"/>
      <c r="D127" s="1291"/>
      <c r="E127" s="1291"/>
      <c r="F127" s="435"/>
      <c r="G127" s="436"/>
      <c r="H127" s="415"/>
      <c r="I127" s="452"/>
      <c r="J127" s="2"/>
      <c r="K127" s="2"/>
      <c r="L127" s="2"/>
      <c r="M127" s="2"/>
    </row>
    <row r="128" spans="2:13">
      <c r="B128" s="446"/>
      <c r="C128" s="415"/>
      <c r="D128" s="415"/>
      <c r="E128" s="415"/>
      <c r="F128" s="415"/>
      <c r="G128" s="436"/>
      <c r="H128" s="415"/>
      <c r="I128" s="452"/>
      <c r="J128" s="2"/>
      <c r="K128" s="2"/>
      <c r="L128" s="2"/>
      <c r="M128" s="2"/>
    </row>
    <row r="129" spans="2:13" ht="18">
      <c r="B129" s="444" t="s">
        <v>424</v>
      </c>
      <c r="C129" s="1291" t="s">
        <v>381</v>
      </c>
      <c r="D129" s="1291"/>
      <c r="E129" s="1291"/>
      <c r="F129" s="437">
        <v>4.7300000000000002E-2</v>
      </c>
      <c r="G129" s="447" t="s">
        <v>382</v>
      </c>
      <c r="H129" s="415"/>
      <c r="I129" s="452"/>
      <c r="J129" s="2"/>
      <c r="K129" s="2"/>
      <c r="L129" s="2"/>
      <c r="M129" s="2"/>
    </row>
    <row r="130" spans="2:13" ht="45">
      <c r="B130" s="444" t="s">
        <v>425</v>
      </c>
      <c r="C130" s="1291" t="s">
        <v>381</v>
      </c>
      <c r="D130" s="1291"/>
      <c r="E130" s="1291"/>
      <c r="F130" s="437">
        <v>4.7300000000000002E-2</v>
      </c>
      <c r="G130" s="447" t="s">
        <v>382</v>
      </c>
      <c r="H130" s="415"/>
      <c r="I130" s="454" t="s">
        <v>383</v>
      </c>
      <c r="J130" s="2"/>
      <c r="K130" s="2"/>
      <c r="L130" s="2"/>
      <c r="M130" s="2"/>
    </row>
    <row r="131" spans="2:13" ht="18">
      <c r="B131" s="444" t="s">
        <v>426</v>
      </c>
      <c r="C131" s="399"/>
      <c r="D131" s="415"/>
      <c r="E131" s="415"/>
      <c r="F131" s="415"/>
      <c r="G131" s="448"/>
      <c r="H131" s="415"/>
      <c r="I131" s="452"/>
      <c r="J131" s="2"/>
      <c r="K131" s="2"/>
      <c r="L131" s="2"/>
      <c r="M131" s="2"/>
    </row>
    <row r="132" spans="2:13" ht="45">
      <c r="B132" s="444" t="s">
        <v>427</v>
      </c>
      <c r="C132" s="439" t="s">
        <v>360</v>
      </c>
      <c r="D132" s="415"/>
      <c r="E132" s="415"/>
      <c r="F132" s="440">
        <v>1</v>
      </c>
      <c r="G132" s="436"/>
      <c r="H132" s="415"/>
      <c r="I132" s="427" t="s">
        <v>446</v>
      </c>
      <c r="J132" s="2"/>
      <c r="K132" s="2"/>
      <c r="L132" s="2"/>
      <c r="M132" s="2"/>
    </row>
    <row r="133" spans="2:13" ht="15" customHeight="1">
      <c r="B133" s="446"/>
      <c r="C133" s="415"/>
      <c r="D133" s="415"/>
      <c r="E133" s="415"/>
      <c r="F133" s="415"/>
      <c r="G133" s="436"/>
      <c r="H133" s="415"/>
      <c r="I133" s="455"/>
      <c r="J133" s="2"/>
      <c r="K133" s="2"/>
      <c r="L133" s="2"/>
      <c r="M133" s="2"/>
    </row>
    <row r="134" spans="2:13">
      <c r="B134" s="449"/>
      <c r="C134" s="441" t="s">
        <v>384</v>
      </c>
      <c r="D134" s="441"/>
      <c r="E134" s="441"/>
      <c r="F134" s="442">
        <v>1000000000</v>
      </c>
      <c r="G134" s="450" t="s">
        <v>199</v>
      </c>
      <c r="H134" s="441"/>
      <c r="I134" s="456" t="s">
        <v>385</v>
      </c>
      <c r="J134" s="2"/>
      <c r="K134" s="2"/>
      <c r="L134" s="2"/>
      <c r="M134" s="2"/>
    </row>
    <row r="135" spans="2:13">
      <c r="B135" s="870" t="s">
        <v>591</v>
      </c>
      <c r="J135" s="2"/>
      <c r="K135" s="2"/>
      <c r="L135" s="2"/>
      <c r="M135" s="2"/>
    </row>
    <row r="136" spans="2:13">
      <c r="C136" s="871" t="s">
        <v>592</v>
      </c>
      <c r="F136" s="872">
        <f>F137*F138</f>
        <v>162.15</v>
      </c>
      <c r="G136" s="873" t="s">
        <v>599</v>
      </c>
      <c r="H136" s="38" t="s">
        <v>329</v>
      </c>
      <c r="J136" s="2"/>
      <c r="K136" s="2"/>
      <c r="L136" s="2"/>
      <c r="M136" s="2"/>
    </row>
    <row r="137" spans="2:13">
      <c r="C137" s="38" t="s">
        <v>593</v>
      </c>
      <c r="F137" s="874">
        <v>94</v>
      </c>
      <c r="G137" s="873" t="s">
        <v>594</v>
      </c>
      <c r="H137" s="38" t="s">
        <v>595</v>
      </c>
    </row>
    <row r="138" spans="2:13">
      <c r="C138" s="38" t="s">
        <v>596</v>
      </c>
      <c r="F138" s="874">
        <f>69/40</f>
        <v>1.7250000000000001</v>
      </c>
      <c r="G138" s="873" t="s">
        <v>597</v>
      </c>
      <c r="H138" s="38" t="s">
        <v>598</v>
      </c>
    </row>
  </sheetData>
  <customSheetViews>
    <customSheetView guid="{D2AE56D6-E8AC-4B34-81C8-5074B4320CEA}" scale="80">
      <pane ySplit="3" topLeftCell="A29" activePane="bottomLeft" state="frozen"/>
      <selection pane="bottomLeft" activeCell="C28" sqref="C28"/>
      <pageMargins left="0.7" right="0.7" top="0.75" bottom="0.75" header="0.3" footer="0.3"/>
      <pageSetup paperSize="9" orientation="portrait" r:id="rId1"/>
    </customSheetView>
  </customSheetViews>
  <mergeCells count="66">
    <mergeCell ref="I112:K112"/>
    <mergeCell ref="C124:E125"/>
    <mergeCell ref="C129:E129"/>
    <mergeCell ref="C130:E130"/>
    <mergeCell ref="C117:E117"/>
    <mergeCell ref="C119:E119"/>
    <mergeCell ref="C120:E120"/>
    <mergeCell ref="C121:E121"/>
    <mergeCell ref="C122:E122"/>
    <mergeCell ref="C118:E118"/>
    <mergeCell ref="C126:E127"/>
    <mergeCell ref="C88:E88"/>
    <mergeCell ref="C91:E91"/>
    <mergeCell ref="C89:E89"/>
    <mergeCell ref="C92:E92"/>
    <mergeCell ref="C103:E103"/>
    <mergeCell ref="C97:E97"/>
    <mergeCell ref="C101:E101"/>
    <mergeCell ref="C94:E94"/>
    <mergeCell ref="C95:E95"/>
    <mergeCell ref="C109:E109"/>
    <mergeCell ref="I109:K109"/>
    <mergeCell ref="I103:K103"/>
    <mergeCell ref="C104:E104"/>
    <mergeCell ref="I104:K104"/>
    <mergeCell ref="C106:E106"/>
    <mergeCell ref="I106:K106"/>
    <mergeCell ref="C107:E107"/>
    <mergeCell ref="I107:K107"/>
    <mergeCell ref="C53:E53"/>
    <mergeCell ref="C54:E54"/>
    <mergeCell ref="C55:E55"/>
    <mergeCell ref="C56:E56"/>
    <mergeCell ref="I23:K23"/>
    <mergeCell ref="I97:K97"/>
    <mergeCell ref="C99:E99"/>
    <mergeCell ref="I17:K17"/>
    <mergeCell ref="I18:K18"/>
    <mergeCell ref="I19:K19"/>
    <mergeCell ref="I20:K20"/>
    <mergeCell ref="I21:K21"/>
    <mergeCell ref="I22:K22"/>
    <mergeCell ref="C41:E41"/>
    <mergeCell ref="C64:E64"/>
    <mergeCell ref="C66:E66"/>
    <mergeCell ref="C70:E70"/>
    <mergeCell ref="C48:E48"/>
    <mergeCell ref="C49:E49"/>
    <mergeCell ref="C50:E50"/>
    <mergeCell ref="C51:E51"/>
    <mergeCell ref="C85:E85"/>
    <mergeCell ref="C86:E86"/>
    <mergeCell ref="C111:E111"/>
    <mergeCell ref="I111:K111"/>
    <mergeCell ref="I72:K72"/>
    <mergeCell ref="C72:E72"/>
    <mergeCell ref="C81:E81"/>
    <mergeCell ref="C82:E82"/>
    <mergeCell ref="C74:E74"/>
    <mergeCell ref="I74:K74"/>
    <mergeCell ref="C76:E76"/>
    <mergeCell ref="C77:E77"/>
    <mergeCell ref="C78:E78"/>
    <mergeCell ref="C79:E79"/>
    <mergeCell ref="C83:E83"/>
    <mergeCell ref="C84:E84"/>
  </mergeCells>
  <phoneticPr fontId="56" type="noConversion"/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Z71"/>
  <sheetViews>
    <sheetView zoomScaleNormal="100" workbookViewId="0">
      <selection activeCell="D15" sqref="D15"/>
    </sheetView>
  </sheetViews>
  <sheetFormatPr defaultColWidth="8.85546875" defaultRowHeight="15"/>
  <cols>
    <col min="1" max="1" width="10.28515625" style="2" customWidth="1"/>
    <col min="2" max="2" width="20" style="2" customWidth="1"/>
    <col min="3" max="3" width="12.85546875" style="2" customWidth="1"/>
    <col min="4" max="4" width="16.28515625" style="2" customWidth="1"/>
    <col min="5" max="5" width="15.85546875" style="2" customWidth="1"/>
    <col min="6" max="6" width="10.85546875" style="2" customWidth="1"/>
    <col min="7" max="7" width="16.7109375" style="2" customWidth="1"/>
    <col min="8" max="8" width="12.42578125" style="2" customWidth="1"/>
    <col min="9" max="9" width="12.85546875" style="2" customWidth="1"/>
    <col min="10" max="10" width="11.42578125" style="2" customWidth="1"/>
    <col min="11" max="11" width="8.85546875" style="2"/>
    <col min="12" max="12" width="12" style="2" bestFit="1" customWidth="1"/>
    <col min="13" max="14" width="8.85546875" style="2"/>
    <col min="15" max="15" width="10.28515625" style="2" bestFit="1" customWidth="1"/>
    <col min="16" max="16" width="10.7109375" style="2" customWidth="1"/>
    <col min="17" max="17" width="39.140625" style="2" customWidth="1"/>
    <col min="18" max="18" width="16.42578125" style="2" customWidth="1"/>
    <col min="19" max="19" width="18.7109375" style="2" customWidth="1"/>
    <col min="20" max="20" width="14.85546875" style="2" customWidth="1"/>
    <col min="21" max="21" width="19.28515625" style="2" customWidth="1"/>
    <col min="22" max="16384" width="8.85546875" style="2"/>
  </cols>
  <sheetData>
    <row r="1" spans="1:26" s="38" customFormat="1"/>
    <row r="2" spans="1:26" s="38" customFormat="1" ht="21">
      <c r="B2" s="59" t="s">
        <v>266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6" s="38" customFormat="1" ht="15" customHeight="1">
      <c r="B3" s="1298" t="s">
        <v>256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</row>
    <row r="4" spans="1:26" ht="15.75" thickBot="1"/>
    <row r="5" spans="1:26" ht="15.75" thickBot="1">
      <c r="A5" s="2" t="s">
        <v>175</v>
      </c>
      <c r="B5" s="149" t="s">
        <v>265</v>
      </c>
      <c r="C5" s="150"/>
      <c r="D5" s="150"/>
      <c r="E5" s="150"/>
      <c r="F5" s="150"/>
      <c r="G5" s="150"/>
      <c r="H5" s="150"/>
      <c r="I5" s="150"/>
      <c r="J5" s="150"/>
      <c r="K5" s="150"/>
      <c r="L5" s="151"/>
      <c r="Q5" s="2" t="s">
        <v>470</v>
      </c>
    </row>
    <row r="6" spans="1:26" ht="15.75" thickBot="1">
      <c r="A6" s="515" t="s">
        <v>332</v>
      </c>
      <c r="B6" s="145" t="s">
        <v>62</v>
      </c>
      <c r="C6" s="146"/>
      <c r="D6" s="146" t="s">
        <v>257</v>
      </c>
      <c r="E6" s="146" t="s">
        <v>65</v>
      </c>
      <c r="F6" s="1299" t="s">
        <v>111</v>
      </c>
      <c r="G6" s="1299"/>
      <c r="H6" s="1299"/>
      <c r="I6" s="1299"/>
      <c r="J6" s="1299"/>
      <c r="K6" s="1299"/>
      <c r="L6" s="1300"/>
      <c r="P6" s="2" t="s">
        <v>175</v>
      </c>
      <c r="Q6" s="145" t="s">
        <v>62</v>
      </c>
      <c r="R6" s="146" t="s">
        <v>257</v>
      </c>
      <c r="S6" s="146" t="s">
        <v>65</v>
      </c>
      <c r="T6" s="1293" t="s">
        <v>111</v>
      </c>
      <c r="U6" s="1293"/>
      <c r="V6" s="1293"/>
      <c r="W6" s="1293"/>
      <c r="X6" s="1293"/>
      <c r="Y6" s="1293"/>
      <c r="Z6" s="1294"/>
    </row>
    <row r="7" spans="1:26">
      <c r="B7" s="156" t="s">
        <v>272</v>
      </c>
      <c r="C7" s="157"/>
      <c r="D7" s="135">
        <f>E71</f>
        <v>289.71588635454185</v>
      </c>
      <c r="E7" s="157" t="s">
        <v>273</v>
      </c>
      <c r="F7" s="1301" t="s">
        <v>274</v>
      </c>
      <c r="G7" s="1301"/>
      <c r="H7" s="1301"/>
      <c r="I7" s="1301"/>
      <c r="J7" s="1301"/>
      <c r="K7" s="1301"/>
      <c r="L7" s="1301"/>
      <c r="P7" s="515" t="s">
        <v>332</v>
      </c>
      <c r="Q7" s="2" t="s">
        <v>471</v>
      </c>
      <c r="R7" s="523">
        <f>S48</f>
        <v>10400</v>
      </c>
      <c r="S7" s="2" t="s">
        <v>290</v>
      </c>
    </row>
    <row r="8" spans="1:26">
      <c r="B8" s="136" t="s">
        <v>327</v>
      </c>
      <c r="D8" s="3">
        <f>D34</f>
        <v>996.5</v>
      </c>
      <c r="E8" s="2" t="s">
        <v>258</v>
      </c>
      <c r="F8" s="1302" t="s">
        <v>665</v>
      </c>
      <c r="G8" s="1302"/>
      <c r="H8" s="1302"/>
      <c r="I8" s="1302"/>
      <c r="J8" s="1302"/>
      <c r="K8" s="1302"/>
      <c r="L8" s="1302"/>
      <c r="Q8" s="2" t="s">
        <v>612</v>
      </c>
      <c r="R8" s="931">
        <f>U48</f>
        <v>210</v>
      </c>
      <c r="S8" s="2" t="s">
        <v>290</v>
      </c>
    </row>
    <row r="9" spans="1:26">
      <c r="B9" s="136" t="s">
        <v>275</v>
      </c>
      <c r="D9" s="3">
        <v>0.5</v>
      </c>
      <c r="F9" s="1303" t="s">
        <v>276</v>
      </c>
      <c r="G9" s="1303"/>
      <c r="H9" s="1303"/>
      <c r="I9" s="1303"/>
      <c r="J9" s="1303"/>
      <c r="K9" s="1303"/>
      <c r="L9" s="1304"/>
      <c r="Q9" s="2" t="s">
        <v>472</v>
      </c>
      <c r="R9" s="2">
        <v>0.84</v>
      </c>
      <c r="S9" s="2" t="s">
        <v>473</v>
      </c>
      <c r="T9" s="524" t="s">
        <v>474</v>
      </c>
    </row>
    <row r="10" spans="1:26">
      <c r="B10" s="136" t="s">
        <v>277</v>
      </c>
      <c r="D10" s="3">
        <v>44</v>
      </c>
      <c r="F10" s="1303" t="s">
        <v>278</v>
      </c>
      <c r="G10" s="1303"/>
      <c r="H10" s="1303"/>
      <c r="I10" s="1303"/>
      <c r="J10" s="1303"/>
      <c r="K10" s="1303"/>
      <c r="L10" s="1304"/>
      <c r="Q10" s="2" t="s">
        <v>614</v>
      </c>
      <c r="R10" s="932">
        <v>0.74070000000000003</v>
      </c>
      <c r="S10" s="933" t="s">
        <v>616</v>
      </c>
      <c r="T10" s="933" t="s">
        <v>615</v>
      </c>
    </row>
    <row r="11" spans="1:26" ht="21" customHeight="1">
      <c r="B11" s="136" t="s">
        <v>279</v>
      </c>
      <c r="D11" s="3">
        <v>12</v>
      </c>
      <c r="F11" s="1303"/>
      <c r="G11" s="1303"/>
      <c r="H11" s="1303"/>
      <c r="I11" s="1303"/>
      <c r="J11" s="1303"/>
      <c r="K11" s="1303"/>
      <c r="L11" s="1304"/>
      <c r="Q11" s="2" t="s">
        <v>630</v>
      </c>
      <c r="R11" s="3">
        <v>1000000</v>
      </c>
      <c r="S11" s="2" t="s">
        <v>166</v>
      </c>
      <c r="T11" s="653" t="s">
        <v>475</v>
      </c>
    </row>
    <row r="12" spans="1:26" ht="39.950000000000003" customHeight="1">
      <c r="B12" s="1305" t="s">
        <v>280</v>
      </c>
      <c r="C12" s="1306"/>
      <c r="D12" s="158">
        <f>D10/D11</f>
        <v>3.6666666666666665</v>
      </c>
      <c r="F12" s="1303"/>
      <c r="G12" s="1303"/>
      <c r="H12" s="1303"/>
      <c r="I12" s="1303"/>
      <c r="J12" s="1303"/>
      <c r="K12" s="1303"/>
      <c r="L12" s="1304"/>
      <c r="Q12" s="2" t="s">
        <v>476</v>
      </c>
      <c r="R12" s="2">
        <v>43</v>
      </c>
      <c r="S12" s="2" t="s">
        <v>477</v>
      </c>
      <c r="T12" s="653" t="s">
        <v>617</v>
      </c>
      <c r="U12" s="653" t="s">
        <v>618</v>
      </c>
      <c r="V12" s="653"/>
      <c r="W12" s="653"/>
      <c r="X12" s="653"/>
    </row>
    <row r="13" spans="1:26">
      <c r="B13" s="159" t="s">
        <v>281</v>
      </c>
      <c r="C13" s="5"/>
      <c r="D13" s="158">
        <v>1000</v>
      </c>
      <c r="F13" s="1307" t="s">
        <v>274</v>
      </c>
      <c r="G13" s="1307"/>
      <c r="H13" s="1307"/>
      <c r="I13" s="1307"/>
      <c r="J13" s="1307"/>
      <c r="K13" s="1307"/>
      <c r="L13" s="1308"/>
      <c r="Q13" s="2" t="s">
        <v>619</v>
      </c>
      <c r="R13" s="2">
        <v>44.3</v>
      </c>
      <c r="S13" s="2" t="s">
        <v>477</v>
      </c>
      <c r="T13" s="935" t="s">
        <v>618</v>
      </c>
      <c r="U13" s="653"/>
    </row>
    <row r="14" spans="1:26" ht="15.75" thickBot="1">
      <c r="A14" s="2" t="str">
        <f>A6</f>
        <v>CP2-MP3</v>
      </c>
      <c r="B14" s="137" t="s">
        <v>259</v>
      </c>
      <c r="C14" s="138"/>
      <c r="D14" s="943">
        <f>SUMIF(Units_month!$A$90:$A$173,Leakage!A14,Units_month!$E$90:$E$173)</f>
        <v>33746</v>
      </c>
      <c r="E14" s="2" t="s">
        <v>260</v>
      </c>
      <c r="F14" s="153"/>
      <c r="G14" s="153"/>
      <c r="H14" s="153"/>
      <c r="I14" s="153"/>
      <c r="J14" s="153"/>
      <c r="K14" s="153"/>
      <c r="L14" s="154"/>
      <c r="Q14" s="2" t="s">
        <v>478</v>
      </c>
      <c r="R14" s="934">
        <f>SUMPRODUCT(R19:T19,R20:T20)/1000</f>
        <v>74.528800000000004</v>
      </c>
      <c r="S14" s="2" t="s">
        <v>323</v>
      </c>
      <c r="T14" s="525" t="s">
        <v>329</v>
      </c>
    </row>
    <row r="15" spans="1:26">
      <c r="B15" s="145" t="s">
        <v>267</v>
      </c>
      <c r="C15" s="146"/>
      <c r="D15" s="135">
        <f>D7*D8*D9*D12*CoreData!F97/D13</f>
        <v>407.55082166199821</v>
      </c>
      <c r="E15" s="148" t="s">
        <v>57</v>
      </c>
      <c r="F15" s="1309"/>
      <c r="G15" s="1310"/>
      <c r="H15" s="1310"/>
      <c r="I15" s="1310"/>
      <c r="J15" s="1310"/>
      <c r="K15" s="1310"/>
      <c r="L15" s="1310"/>
      <c r="Q15" s="2" t="s">
        <v>629</v>
      </c>
      <c r="R15" s="934">
        <f>SUMPRODUCT(R18:T18,R20:T20)/1000</f>
        <v>69.728800000000007</v>
      </c>
      <c r="S15" s="2" t="s">
        <v>323</v>
      </c>
      <c r="T15" s="2" t="s">
        <v>329</v>
      </c>
    </row>
    <row r="16" spans="1:26" ht="15.75" thickBot="1">
      <c r="B16" s="134" t="s">
        <v>268</v>
      </c>
      <c r="C16" s="147"/>
      <c r="D16" s="942">
        <f>D15/D14</f>
        <v>1.2077011250577793E-2</v>
      </c>
      <c r="E16" s="139" t="s">
        <v>632</v>
      </c>
      <c r="F16" s="136"/>
      <c r="G16" s="1176" t="s">
        <v>757</v>
      </c>
      <c r="H16" s="2" t="s">
        <v>64</v>
      </c>
      <c r="I16" s="2" t="s">
        <v>65</v>
      </c>
    </row>
    <row r="17" spans="2:21">
      <c r="G17" s="2" t="s">
        <v>330</v>
      </c>
      <c r="H17" s="51"/>
      <c r="Q17" s="145" t="s">
        <v>62</v>
      </c>
      <c r="R17" s="146" t="s">
        <v>621</v>
      </c>
      <c r="S17" s="146" t="s">
        <v>622</v>
      </c>
      <c r="T17" s="1293" t="s">
        <v>623</v>
      </c>
      <c r="U17" s="1293" t="s">
        <v>535</v>
      </c>
    </row>
    <row r="18" spans="2:21">
      <c r="B18" s="214" t="s">
        <v>261</v>
      </c>
      <c r="C18" s="215"/>
      <c r="D18" s="216"/>
      <c r="G18" s="2" t="s">
        <v>331</v>
      </c>
      <c r="H18" s="1174">
        <v>1.4E-2</v>
      </c>
      <c r="I18" s="2" t="s">
        <v>703</v>
      </c>
      <c r="J18" s="1161" t="s">
        <v>758</v>
      </c>
      <c r="Q18" s="2" t="s">
        <v>624</v>
      </c>
      <c r="R18" s="2">
        <v>69300</v>
      </c>
      <c r="S18" s="2">
        <v>10</v>
      </c>
      <c r="T18" s="2">
        <v>0.6</v>
      </c>
      <c r="U18" s="2" t="s">
        <v>625</v>
      </c>
    </row>
    <row r="19" spans="2:21">
      <c r="B19" s="160" t="s">
        <v>756</v>
      </c>
      <c r="C19" s="161"/>
      <c r="D19" s="162"/>
      <c r="G19" s="2" t="s">
        <v>332</v>
      </c>
      <c r="H19" s="1175">
        <f>D16</f>
        <v>1.2077011250577793E-2</v>
      </c>
      <c r="I19" s="2" t="s">
        <v>703</v>
      </c>
      <c r="Q19" s="2" t="s">
        <v>626</v>
      </c>
      <c r="R19" s="2">
        <v>74100</v>
      </c>
      <c r="S19" s="2">
        <v>10</v>
      </c>
      <c r="T19" s="2">
        <v>0.6</v>
      </c>
      <c r="U19" s="2" t="s">
        <v>625</v>
      </c>
    </row>
    <row r="20" spans="2:21">
      <c r="G20" s="2" t="s">
        <v>333</v>
      </c>
      <c r="Q20" s="2" t="s">
        <v>627</v>
      </c>
      <c r="R20" s="2">
        <v>1</v>
      </c>
      <c r="S20" s="2">
        <v>25</v>
      </c>
      <c r="T20" s="2">
        <v>298</v>
      </c>
      <c r="U20" s="2" t="s">
        <v>628</v>
      </c>
    </row>
    <row r="21" spans="2:21" ht="30">
      <c r="B21" s="211" t="s">
        <v>91</v>
      </c>
      <c r="C21" s="212" t="s">
        <v>262</v>
      </c>
      <c r="D21" s="213" t="s">
        <v>326</v>
      </c>
      <c r="G21" s="2" t="s">
        <v>334</v>
      </c>
      <c r="I21" s="941"/>
      <c r="K21" s="205"/>
      <c r="L21" s="206"/>
    </row>
    <row r="22" spans="2:21">
      <c r="B22" s="908">
        <v>43838</v>
      </c>
      <c r="C22" s="910" t="s">
        <v>263</v>
      </c>
      <c r="D22" s="1003">
        <v>165</v>
      </c>
      <c r="G22" s="2" t="s">
        <v>335</v>
      </c>
      <c r="K22" s="207"/>
      <c r="L22" s="208"/>
      <c r="O22" s="200"/>
    </row>
    <row r="23" spans="2:21">
      <c r="B23" s="909">
        <v>43887</v>
      </c>
      <c r="C23" s="911" t="s">
        <v>263</v>
      </c>
      <c r="D23" s="1004">
        <v>153</v>
      </c>
      <c r="G23" s="2" t="s">
        <v>336</v>
      </c>
      <c r="K23" s="207"/>
      <c r="L23" s="208"/>
      <c r="O23" s="200"/>
      <c r="P23" s="2" t="str">
        <f>P7</f>
        <v>CP2-MP3</v>
      </c>
      <c r="Q23" s="2" t="s">
        <v>479</v>
      </c>
      <c r="R23" s="3">
        <f>SUMIF(Units_month!$A$90:$A$173,Leakage!P23,Units_month!$E$90:$E$173)</f>
        <v>33746</v>
      </c>
      <c r="S23" s="2" t="s">
        <v>142</v>
      </c>
    </row>
    <row r="24" spans="2:21">
      <c r="B24" s="908">
        <v>43921</v>
      </c>
      <c r="C24" s="910" t="s">
        <v>263</v>
      </c>
      <c r="D24" s="1003">
        <v>171</v>
      </c>
      <c r="K24" s="207"/>
      <c r="L24" s="208"/>
      <c r="O24" s="200"/>
    </row>
    <row r="25" spans="2:21">
      <c r="B25" s="909">
        <v>44043</v>
      </c>
      <c r="C25" s="911" t="s">
        <v>263</v>
      </c>
      <c r="D25" s="1004">
        <v>120.5</v>
      </c>
      <c r="K25" s="207"/>
      <c r="L25" s="208"/>
      <c r="O25" s="200"/>
    </row>
    <row r="26" spans="2:21">
      <c r="B26" s="908">
        <v>44068</v>
      </c>
      <c r="C26" s="910" t="s">
        <v>263</v>
      </c>
      <c r="D26" s="1003">
        <v>102</v>
      </c>
      <c r="K26" s="207"/>
      <c r="L26" s="208"/>
      <c r="O26" s="200"/>
      <c r="Q26" s="2" t="s">
        <v>480</v>
      </c>
      <c r="R26" s="934">
        <f>R7*R9/(R11)*R12*R14</f>
        <v>27.996594662400003</v>
      </c>
      <c r="S26" s="2" t="s">
        <v>481</v>
      </c>
    </row>
    <row r="27" spans="2:21">
      <c r="B27" s="909">
        <v>44132</v>
      </c>
      <c r="C27" s="911" t="s">
        <v>263</v>
      </c>
      <c r="D27" s="911">
        <v>156</v>
      </c>
      <c r="K27" s="207"/>
      <c r="L27" s="208"/>
      <c r="O27" s="200"/>
      <c r="Q27" s="2" t="s">
        <v>620</v>
      </c>
      <c r="R27" s="934">
        <f>R8*R10/R11*R13*R15</f>
        <v>0.48048248045447994</v>
      </c>
      <c r="S27" s="2" t="s">
        <v>481</v>
      </c>
    </row>
    <row r="28" spans="2:21">
      <c r="B28" s="908">
        <v>44165</v>
      </c>
      <c r="C28" s="910" t="s">
        <v>263</v>
      </c>
      <c r="D28" s="1003">
        <v>129</v>
      </c>
      <c r="K28" s="207"/>
      <c r="L28" s="208"/>
      <c r="O28" s="200"/>
      <c r="Q28" s="2" t="s">
        <v>631</v>
      </c>
      <c r="R28" s="934">
        <f>SUM(R26:R27)</f>
        <v>28.477077142854483</v>
      </c>
    </row>
    <row r="29" spans="2:21">
      <c r="B29" s="645"/>
      <c r="C29" s="144"/>
      <c r="D29" s="646"/>
      <c r="K29" s="207"/>
      <c r="L29" s="208"/>
      <c r="O29" s="200"/>
      <c r="Q29" s="2" t="s">
        <v>268</v>
      </c>
      <c r="R29" s="6">
        <f>R28/R23</f>
        <v>8.4386526233789139E-4</v>
      </c>
      <c r="S29" s="2" t="s">
        <v>632</v>
      </c>
    </row>
    <row r="30" spans="2:21">
      <c r="B30" s="645"/>
      <c r="C30" s="144"/>
      <c r="D30" s="646"/>
      <c r="K30" s="207"/>
      <c r="L30" s="208"/>
      <c r="O30" s="200">
        <f>SUMIF(Units_month!$A$90:$A$173,Leakage!P30,Units_month!$N$90:$N$173)</f>
        <v>93878.410464354427</v>
      </c>
      <c r="P30" s="2" t="str">
        <f>P7</f>
        <v>CP2-MP3</v>
      </c>
      <c r="Q30" s="2" t="s">
        <v>482</v>
      </c>
      <c r="R30" s="944">
        <f>R28/SUMIF(Units_month!$A$90:$A$173,Leakage!P30,Units_month!$N$90:$N$173)</f>
        <v>3.0334000119939408E-4</v>
      </c>
    </row>
    <row r="31" spans="2:21">
      <c r="B31" s="645"/>
      <c r="C31" s="144"/>
      <c r="D31" s="646"/>
      <c r="K31" s="207"/>
      <c r="L31" s="208"/>
      <c r="O31" s="200"/>
      <c r="Q31" s="214" t="s">
        <v>492</v>
      </c>
      <c r="R31" s="215"/>
      <c r="S31" s="216"/>
    </row>
    <row r="32" spans="2:21">
      <c r="B32" s="645"/>
      <c r="C32" s="144"/>
      <c r="D32" s="646"/>
      <c r="K32" s="207"/>
      <c r="L32" s="208"/>
      <c r="O32" s="200"/>
      <c r="Q32" s="160" t="s">
        <v>666</v>
      </c>
      <c r="R32" s="161"/>
      <c r="S32" s="162"/>
    </row>
    <row r="33" spans="1:21">
      <c r="B33" s="645"/>
      <c r="C33" s="144"/>
      <c r="D33" s="646"/>
      <c r="K33" s="207"/>
      <c r="L33" s="208"/>
      <c r="O33" s="200"/>
    </row>
    <row r="34" spans="1:21" ht="30.75" thickBot="1">
      <c r="B34" s="140"/>
      <c r="C34" s="526" t="s">
        <v>246</v>
      </c>
      <c r="D34" s="527">
        <f>SUM(D22:D33)</f>
        <v>996.5</v>
      </c>
      <c r="K34" s="207"/>
      <c r="L34" s="208"/>
      <c r="O34" s="200"/>
      <c r="Q34" s="912" t="s">
        <v>485</v>
      </c>
      <c r="R34" s="212" t="s">
        <v>262</v>
      </c>
      <c r="S34" s="213" t="s">
        <v>483</v>
      </c>
      <c r="T34" s="212" t="s">
        <v>262</v>
      </c>
      <c r="U34" s="213" t="s">
        <v>483</v>
      </c>
    </row>
    <row r="35" spans="1:21">
      <c r="A35" s="319" t="s">
        <v>491</v>
      </c>
      <c r="B35" s="645" t="s">
        <v>664</v>
      </c>
      <c r="K35" s="207"/>
      <c r="L35" s="208"/>
      <c r="O35" s="200"/>
      <c r="Q35" s="908">
        <v>43861</v>
      </c>
      <c r="R35" s="910" t="s">
        <v>484</v>
      </c>
      <c r="S35" s="936">
        <v>1200</v>
      </c>
      <c r="T35" s="910" t="s">
        <v>613</v>
      </c>
      <c r="U35" s="928">
        <v>30</v>
      </c>
    </row>
    <row r="36" spans="1:21">
      <c r="B36" s="141"/>
      <c r="C36" s="141"/>
      <c r="D36" s="141"/>
      <c r="E36" s="142"/>
      <c r="F36" s="143"/>
      <c r="K36" s="207"/>
      <c r="L36" s="208"/>
      <c r="O36" s="200"/>
      <c r="Q36" s="909">
        <v>43889</v>
      </c>
      <c r="R36" s="911" t="s">
        <v>484</v>
      </c>
      <c r="S36" s="937">
        <v>800</v>
      </c>
      <c r="T36" s="911" t="s">
        <v>613</v>
      </c>
      <c r="U36" s="929">
        <v>30</v>
      </c>
    </row>
    <row r="37" spans="1:21">
      <c r="B37" s="163" t="s">
        <v>282</v>
      </c>
      <c r="C37" s="164"/>
      <c r="D37" s="164"/>
      <c r="E37" s="164"/>
      <c r="K37" s="207"/>
      <c r="L37" s="208"/>
      <c r="O37" s="200"/>
      <c r="Q37" s="908">
        <v>43921</v>
      </c>
      <c r="R37" s="910" t="s">
        <v>484</v>
      </c>
      <c r="S37" s="936">
        <v>1200</v>
      </c>
      <c r="T37" s="910" t="s">
        <v>613</v>
      </c>
      <c r="U37" s="928">
        <v>30</v>
      </c>
    </row>
    <row r="38" spans="1:21">
      <c r="B38" s="165" t="s">
        <v>283</v>
      </c>
      <c r="C38" s="165"/>
      <c r="D38" s="165"/>
      <c r="E38" s="165"/>
      <c r="K38" s="207"/>
      <c r="L38" s="208"/>
      <c r="O38" s="200"/>
      <c r="Q38" s="909">
        <v>43951</v>
      </c>
      <c r="R38" s="911" t="s">
        <v>484</v>
      </c>
      <c r="S38" s="937">
        <v>800</v>
      </c>
      <c r="T38" s="911" t="s">
        <v>613</v>
      </c>
      <c r="U38" s="929">
        <v>0</v>
      </c>
    </row>
    <row r="39" spans="1:21">
      <c r="B39" s="165" t="s">
        <v>284</v>
      </c>
      <c r="C39" s="165" t="s">
        <v>285</v>
      </c>
      <c r="D39" s="165"/>
      <c r="E39" s="165"/>
      <c r="H39" s="209"/>
      <c r="I39" s="209"/>
      <c r="J39" s="209"/>
      <c r="K39" s="207"/>
      <c r="L39" s="208"/>
      <c r="O39" s="200"/>
      <c r="Q39" s="908">
        <v>43982</v>
      </c>
      <c r="R39" s="910" t="s">
        <v>484</v>
      </c>
      <c r="S39" s="936">
        <v>800</v>
      </c>
      <c r="T39" s="910" t="s">
        <v>613</v>
      </c>
      <c r="U39" s="928">
        <v>30</v>
      </c>
    </row>
    <row r="40" spans="1:21">
      <c r="B40" s="1311" t="s">
        <v>286</v>
      </c>
      <c r="C40" s="1312"/>
      <c r="D40" s="1312"/>
      <c r="E40" s="1313"/>
      <c r="H40" s="210"/>
      <c r="I40" s="210"/>
      <c r="J40" s="209"/>
      <c r="K40" s="207"/>
      <c r="L40" s="208"/>
      <c r="O40" s="200"/>
      <c r="Q40" s="909">
        <v>44012</v>
      </c>
      <c r="R40" s="911" t="s">
        <v>484</v>
      </c>
      <c r="S40" s="937">
        <v>800</v>
      </c>
      <c r="T40" s="911" t="s">
        <v>613</v>
      </c>
      <c r="U40" s="929">
        <v>0</v>
      </c>
    </row>
    <row r="41" spans="1:21" ht="15.75" thickBot="1">
      <c r="H41" s="209"/>
      <c r="I41" s="209"/>
      <c r="J41" s="209"/>
      <c r="K41" s="207"/>
      <c r="L41" s="208"/>
      <c r="O41" s="200"/>
      <c r="Q41" s="908">
        <v>44043</v>
      </c>
      <c r="R41" s="910" t="s">
        <v>484</v>
      </c>
      <c r="S41" s="936">
        <v>800</v>
      </c>
      <c r="T41" s="910" t="s">
        <v>613</v>
      </c>
      <c r="U41" s="928">
        <v>30</v>
      </c>
    </row>
    <row r="42" spans="1:21">
      <c r="B42" s="1295" t="s">
        <v>287</v>
      </c>
      <c r="C42" s="1296"/>
      <c r="D42" s="1296"/>
      <c r="E42" s="1314" t="s">
        <v>288</v>
      </c>
      <c r="H42" s="209"/>
      <c r="I42" s="209"/>
      <c r="J42" s="209"/>
      <c r="K42" s="207"/>
      <c r="L42" s="208"/>
      <c r="O42" s="200"/>
      <c r="Q42" s="909">
        <v>44074</v>
      </c>
      <c r="R42" s="911" t="s">
        <v>484</v>
      </c>
      <c r="S42" s="937">
        <v>800</v>
      </c>
      <c r="T42" s="911" t="s">
        <v>613</v>
      </c>
      <c r="U42" s="929">
        <v>30</v>
      </c>
    </row>
    <row r="43" spans="1:21">
      <c r="B43" s="166" t="s">
        <v>289</v>
      </c>
      <c r="C43" s="152" t="s">
        <v>290</v>
      </c>
      <c r="D43" s="152" t="s">
        <v>291</v>
      </c>
      <c r="E43" s="1315"/>
      <c r="H43" s="209"/>
      <c r="I43" s="209"/>
      <c r="J43" s="209"/>
      <c r="K43" s="207"/>
      <c r="L43" s="208"/>
      <c r="O43" s="200"/>
      <c r="Q43" s="908">
        <v>44104</v>
      </c>
      <c r="R43" s="910" t="s">
        <v>484</v>
      </c>
      <c r="S43" s="936">
        <v>800</v>
      </c>
      <c r="T43" s="910" t="s">
        <v>613</v>
      </c>
      <c r="U43" s="928">
        <v>0</v>
      </c>
    </row>
    <row r="44" spans="1:21" ht="15.75" thickBot="1">
      <c r="B44" s="167">
        <v>1.7</v>
      </c>
      <c r="C44" s="168">
        <v>3</v>
      </c>
      <c r="D44" s="168">
        <v>1.47</v>
      </c>
      <c r="E44" s="169">
        <f>B44*C44*D44</f>
        <v>7.496999999999999</v>
      </c>
      <c r="H44" s="209"/>
      <c r="I44" s="209"/>
      <c r="J44" s="209"/>
      <c r="K44" s="207"/>
      <c r="L44" s="208"/>
      <c r="O44" s="200"/>
      <c r="Q44" s="909">
        <v>44134</v>
      </c>
      <c r="R44" s="911" t="s">
        <v>484</v>
      </c>
      <c r="S44" s="937">
        <v>800</v>
      </c>
      <c r="T44" s="911" t="s">
        <v>613</v>
      </c>
      <c r="U44" s="929">
        <v>30</v>
      </c>
    </row>
    <row r="45" spans="1:21" ht="15" customHeight="1">
      <c r="E45" s="170"/>
      <c r="H45" s="209"/>
      <c r="I45" s="209"/>
      <c r="J45" s="209"/>
      <c r="K45" s="207"/>
      <c r="L45" s="208"/>
      <c r="O45" s="200"/>
      <c r="Q45" s="908">
        <v>44165</v>
      </c>
      <c r="R45" s="910" t="s">
        <v>484</v>
      </c>
      <c r="S45" s="936">
        <v>800</v>
      </c>
      <c r="T45" s="910" t="s">
        <v>613</v>
      </c>
      <c r="U45" s="928">
        <v>0</v>
      </c>
    </row>
    <row r="46" spans="1:21">
      <c r="B46" s="171" t="s">
        <v>292</v>
      </c>
      <c r="C46" s="172"/>
      <c r="D46" s="172"/>
      <c r="E46" s="173">
        <f>C69</f>
        <v>515</v>
      </c>
      <c r="H46" s="209"/>
      <c r="I46" s="209"/>
      <c r="J46" s="209"/>
      <c r="K46" s="207"/>
      <c r="L46" s="208"/>
      <c r="O46" s="200"/>
      <c r="Q46" s="909">
        <v>44194</v>
      </c>
      <c r="R46" s="911" t="s">
        <v>484</v>
      </c>
      <c r="S46" s="937">
        <v>800</v>
      </c>
      <c r="T46" s="911" t="s">
        <v>613</v>
      </c>
      <c r="U46" s="929">
        <v>0</v>
      </c>
    </row>
    <row r="47" spans="1:21" ht="15.75" thickBot="1">
      <c r="H47" s="209"/>
      <c r="I47" s="209"/>
      <c r="J47" s="209"/>
      <c r="K47" s="207"/>
      <c r="L47" s="208"/>
      <c r="O47" s="200"/>
      <c r="Q47" s="647"/>
      <c r="R47" s="648"/>
      <c r="S47" s="649"/>
      <c r="T47" s="648"/>
      <c r="U47" s="649"/>
    </row>
    <row r="48" spans="1:21" ht="15.75" thickBot="1">
      <c r="B48" s="1295" t="s">
        <v>293</v>
      </c>
      <c r="C48" s="1296"/>
      <c r="D48" s="1297"/>
      <c r="H48" s="209"/>
      <c r="I48" s="209"/>
      <c r="J48" s="209"/>
      <c r="K48" s="207"/>
      <c r="L48" s="208"/>
      <c r="O48" s="200"/>
      <c r="R48" s="526" t="s">
        <v>246</v>
      </c>
      <c r="S48" s="650">
        <f>SUM(S35:S47)</f>
        <v>10400</v>
      </c>
      <c r="U48" s="930">
        <f>SUM(U35:U47)</f>
        <v>210</v>
      </c>
    </row>
    <row r="49" spans="2:7" ht="30">
      <c r="B49" s="174" t="s">
        <v>294</v>
      </c>
      <c r="C49" s="175" t="s">
        <v>295</v>
      </c>
      <c r="D49" s="176" t="s">
        <v>296</v>
      </c>
    </row>
    <row r="50" spans="2:7">
      <c r="B50" s="137" t="s">
        <v>297</v>
      </c>
      <c r="C50" s="177"/>
      <c r="D50" s="178"/>
    </row>
    <row r="51" spans="2:7">
      <c r="B51" s="179" t="s">
        <v>298</v>
      </c>
      <c r="C51" s="11">
        <v>29</v>
      </c>
      <c r="D51" s="180">
        <v>105</v>
      </c>
      <c r="G51" s="11"/>
    </row>
    <row r="52" spans="2:7">
      <c r="B52" s="181" t="s">
        <v>299</v>
      </c>
      <c r="C52" s="11">
        <v>29</v>
      </c>
      <c r="D52" s="180">
        <v>118</v>
      </c>
    </row>
    <row r="53" spans="2:7">
      <c r="B53" s="182" t="s">
        <v>300</v>
      </c>
      <c r="C53" s="183">
        <v>29</v>
      </c>
      <c r="D53" s="184">
        <v>90</v>
      </c>
    </row>
    <row r="54" spans="2:7">
      <c r="B54" s="181" t="s">
        <v>301</v>
      </c>
      <c r="C54" s="185"/>
      <c r="D54" s="186"/>
    </row>
    <row r="55" spans="2:7">
      <c r="B55" s="182" t="s">
        <v>302</v>
      </c>
      <c r="C55" s="11">
        <v>42</v>
      </c>
      <c r="D55" s="180">
        <v>130</v>
      </c>
    </row>
    <row r="56" spans="2:7">
      <c r="B56" s="187" t="s">
        <v>303</v>
      </c>
      <c r="C56" s="11">
        <v>42</v>
      </c>
      <c r="D56" s="180">
        <v>312</v>
      </c>
    </row>
    <row r="57" spans="2:7">
      <c r="B57" s="181" t="s">
        <v>304</v>
      </c>
      <c r="C57" s="183">
        <v>42</v>
      </c>
      <c r="D57" s="184">
        <v>259</v>
      </c>
    </row>
    <row r="58" spans="2:7">
      <c r="B58" s="182" t="s">
        <v>305</v>
      </c>
      <c r="C58" s="183"/>
      <c r="D58" s="184"/>
    </row>
    <row r="59" spans="2:7">
      <c r="B59" s="187" t="s">
        <v>306</v>
      </c>
      <c r="C59" s="11">
        <v>42</v>
      </c>
      <c r="D59" s="180">
        <v>190</v>
      </c>
    </row>
    <row r="60" spans="2:7">
      <c r="B60" s="181" t="s">
        <v>307</v>
      </c>
      <c r="C60" s="11">
        <v>42</v>
      </c>
      <c r="D60" s="180">
        <v>185</v>
      </c>
    </row>
    <row r="61" spans="2:7">
      <c r="B61" s="182" t="s">
        <v>308</v>
      </c>
      <c r="C61" s="183">
        <v>42</v>
      </c>
      <c r="D61" s="184">
        <v>146</v>
      </c>
    </row>
    <row r="62" spans="2:7">
      <c r="B62" s="182" t="s">
        <v>309</v>
      </c>
      <c r="C62" s="183"/>
      <c r="D62" s="184"/>
    </row>
    <row r="63" spans="2:7">
      <c r="B63" s="187" t="s">
        <v>310</v>
      </c>
      <c r="C63" s="11">
        <v>42</v>
      </c>
      <c r="D63" s="180">
        <v>170</v>
      </c>
    </row>
    <row r="64" spans="2:7">
      <c r="B64" s="181" t="s">
        <v>311</v>
      </c>
      <c r="C64" s="11">
        <v>42</v>
      </c>
      <c r="D64" s="180">
        <v>169</v>
      </c>
    </row>
    <row r="65" spans="2:6">
      <c r="B65" s="181" t="s">
        <v>312</v>
      </c>
      <c r="C65" s="183">
        <v>42</v>
      </c>
      <c r="D65" s="184">
        <v>143</v>
      </c>
    </row>
    <row r="66" spans="2:6">
      <c r="B66" s="182" t="s">
        <v>313</v>
      </c>
      <c r="C66" s="183"/>
      <c r="D66" s="184"/>
    </row>
    <row r="67" spans="2:6">
      <c r="B67" s="187" t="s">
        <v>314</v>
      </c>
      <c r="C67" s="11">
        <v>42</v>
      </c>
      <c r="D67" s="180">
        <v>124</v>
      </c>
    </row>
    <row r="68" spans="2:6">
      <c r="B68" s="181" t="s">
        <v>315</v>
      </c>
      <c r="C68" s="11">
        <v>8</v>
      </c>
      <c r="D68" s="180">
        <v>31</v>
      </c>
    </row>
    <row r="69" spans="2:6" ht="15.75" thickBot="1">
      <c r="B69" s="188" t="s">
        <v>105</v>
      </c>
      <c r="C69" s="189">
        <f>SUM(C51:C68)</f>
        <v>515</v>
      </c>
      <c r="D69" s="190">
        <f>SUM(D51:D68)</f>
        <v>2172</v>
      </c>
    </row>
    <row r="70" spans="2:6" ht="15.75" thickBot="1"/>
    <row r="71" spans="2:6" ht="15.75" thickBot="1">
      <c r="B71" s="191" t="s">
        <v>316</v>
      </c>
      <c r="C71" s="192"/>
      <c r="D71" s="192"/>
      <c r="E71" s="193">
        <f>D69/E44</f>
        <v>289.71588635454185</v>
      </c>
      <c r="F71" s="194" t="s">
        <v>317</v>
      </c>
    </row>
  </sheetData>
  <customSheetViews>
    <customSheetView guid="{D2AE56D6-E8AC-4B34-81C8-5074B4320CEA}" scale="80" showPageBreaks="1" fitToPage="1" printArea="1">
      <selection activeCell="H19" sqref="H19"/>
      <pageMargins left="0.7" right="0.7" top="0.75" bottom="0.75" header="0.3" footer="0.3"/>
      <pageSetup paperSize="9" scale="59" fitToHeight="0" orientation="landscape" verticalDpi="1200" r:id="rId1"/>
    </customSheetView>
  </customSheetViews>
  <mergeCells count="15">
    <mergeCell ref="T6:Z6"/>
    <mergeCell ref="B48:D48"/>
    <mergeCell ref="B3:L3"/>
    <mergeCell ref="F6:L6"/>
    <mergeCell ref="F7:L7"/>
    <mergeCell ref="F8:L8"/>
    <mergeCell ref="F9:L9"/>
    <mergeCell ref="F10:L12"/>
    <mergeCell ref="B12:C12"/>
    <mergeCell ref="F13:L13"/>
    <mergeCell ref="F15:L15"/>
    <mergeCell ref="B40:E40"/>
    <mergeCell ref="B42:D42"/>
    <mergeCell ref="E42:E43"/>
    <mergeCell ref="T17:U17"/>
  </mergeCells>
  <phoneticPr fontId="56" type="noConversion"/>
  <hyperlinks>
    <hyperlink ref="T9" r:id="rId2" display="https://www.dieselnet.com/standards/eu/fuel_reference.php" xr:uid="{00000000-0004-0000-0600-000000000000}"/>
  </hyperlinks>
  <pageMargins left="0.7" right="0.7" top="0.75" bottom="0.75" header="0.3" footer="0.3"/>
  <pageSetup paperSize="9" scale="51" fitToHeight="0" orientation="landscape" verticalDpi="1200"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19"/>
  <sheetViews>
    <sheetView zoomScale="70" zoomScaleNormal="70" workbookViewId="0">
      <selection activeCell="M14" sqref="M14"/>
    </sheetView>
  </sheetViews>
  <sheetFormatPr defaultColWidth="9.140625" defaultRowHeight="15"/>
  <cols>
    <col min="1" max="1" width="13.140625" style="38" customWidth="1"/>
    <col min="2" max="10" width="9.140625" style="38"/>
    <col min="11" max="11" width="16" style="38" customWidth="1"/>
    <col min="12" max="16384" width="9.140625" style="38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spans="1:14" ht="25.5" customHeight="1">
      <c r="A3" s="61"/>
      <c r="B3" s="61"/>
      <c r="C3" s="62" t="s">
        <v>490</v>
      </c>
      <c r="D3" s="61"/>
      <c r="E3" s="61"/>
      <c r="F3" s="61"/>
      <c r="G3" s="61"/>
      <c r="H3" s="61"/>
      <c r="I3" s="61"/>
      <c r="J3" s="61"/>
    </row>
    <row r="5" spans="1:14" ht="15.75" thickBot="1"/>
    <row r="6" spans="1:14" ht="30.75" thickBot="1">
      <c r="B6" s="1316" t="s">
        <v>320</v>
      </c>
      <c r="C6" s="1317"/>
      <c r="D6" s="204" t="s">
        <v>148</v>
      </c>
      <c r="E6" s="204"/>
      <c r="F6" s="204"/>
      <c r="G6" s="204"/>
      <c r="H6" s="204"/>
      <c r="I6" s="204"/>
      <c r="J6" s="203"/>
      <c r="K6" s="203" t="s">
        <v>493</v>
      </c>
    </row>
    <row r="7" spans="1:14">
      <c r="B7" s="1318"/>
      <c r="C7" s="1319"/>
      <c r="D7" s="628" t="s">
        <v>264</v>
      </c>
      <c r="E7" s="629" t="s">
        <v>150</v>
      </c>
      <c r="F7" s="628" t="s">
        <v>151</v>
      </c>
      <c r="G7" s="628" t="s">
        <v>152</v>
      </c>
      <c r="H7" s="628" t="s">
        <v>153</v>
      </c>
      <c r="I7" s="628" t="s">
        <v>154</v>
      </c>
      <c r="J7" s="628" t="s">
        <v>319</v>
      </c>
    </row>
    <row r="8" spans="1:14">
      <c r="A8" s="627"/>
      <c r="B8" s="630" t="s">
        <v>330</v>
      </c>
      <c r="C8" s="631"/>
      <c r="D8" s="632">
        <v>0.90300000000000002</v>
      </c>
      <c r="E8" s="632">
        <v>0.79400000000000004</v>
      </c>
      <c r="F8" s="632">
        <v>0.64300000000000002</v>
      </c>
      <c r="G8" s="632">
        <v>0.77800000000000002</v>
      </c>
      <c r="H8" s="632">
        <v>0.73</v>
      </c>
      <c r="I8" s="633">
        <v>0</v>
      </c>
      <c r="J8" s="634">
        <v>0</v>
      </c>
      <c r="K8" s="38" t="s">
        <v>494</v>
      </c>
    </row>
    <row r="9" spans="1:14">
      <c r="A9" s="627"/>
      <c r="B9" s="635" t="s">
        <v>331</v>
      </c>
      <c r="C9" s="636"/>
      <c r="D9" s="637">
        <v>0.97199999999999998</v>
      </c>
      <c r="E9" s="637">
        <v>0.81100000000000005</v>
      </c>
      <c r="F9" s="918">
        <v>0.75</v>
      </c>
      <c r="G9" s="918">
        <v>0.80600000000000005</v>
      </c>
      <c r="H9" s="917">
        <v>0.82899999999999996</v>
      </c>
      <c r="I9" s="199">
        <v>0</v>
      </c>
      <c r="J9" s="639">
        <v>0</v>
      </c>
      <c r="K9" s="415" t="s">
        <v>610</v>
      </c>
    </row>
    <row r="10" spans="1:14">
      <c r="A10" s="627"/>
      <c r="B10" s="635" t="s">
        <v>332</v>
      </c>
      <c r="C10" s="636"/>
      <c r="D10" s="637">
        <v>1</v>
      </c>
      <c r="E10" s="637">
        <v>0.91800000000000004</v>
      </c>
      <c r="F10" s="637">
        <v>0.83299999999999996</v>
      </c>
      <c r="G10" s="637">
        <v>0.81100000000000005</v>
      </c>
      <c r="H10" s="637">
        <v>0.79500000000000004</v>
      </c>
      <c r="I10" s="199">
        <v>0</v>
      </c>
      <c r="J10" s="639">
        <v>0</v>
      </c>
      <c r="K10" s="38" t="s">
        <v>674</v>
      </c>
    </row>
    <row r="11" spans="1:14">
      <c r="A11" s="627"/>
      <c r="B11" s="635" t="s">
        <v>333</v>
      </c>
      <c r="C11" s="636"/>
      <c r="D11" s="637"/>
      <c r="E11" s="637"/>
      <c r="F11" s="637"/>
      <c r="G11" s="637"/>
      <c r="H11" s="637"/>
      <c r="I11" s="199">
        <v>0</v>
      </c>
      <c r="J11" s="639">
        <v>0</v>
      </c>
    </row>
    <row r="12" spans="1:14">
      <c r="A12" s="627"/>
      <c r="B12" s="635" t="s">
        <v>334</v>
      </c>
      <c r="C12" s="638"/>
      <c r="D12" s="637"/>
      <c r="E12" s="637"/>
      <c r="F12" s="637"/>
      <c r="G12" s="637"/>
      <c r="H12" s="637"/>
      <c r="I12" s="199">
        <v>0</v>
      </c>
      <c r="J12" s="639">
        <v>0</v>
      </c>
    </row>
    <row r="13" spans="1:14">
      <c r="A13" s="627"/>
      <c r="B13" s="635" t="s">
        <v>335</v>
      </c>
      <c r="C13" s="638"/>
      <c r="D13" s="637"/>
      <c r="E13" s="637"/>
      <c r="F13" s="637"/>
      <c r="G13" s="637"/>
      <c r="H13" s="637"/>
      <c r="I13" s="199">
        <v>0</v>
      </c>
      <c r="J13" s="639">
        <v>0</v>
      </c>
    </row>
    <row r="14" spans="1:14">
      <c r="A14" s="627"/>
      <c r="B14" s="640" t="s">
        <v>336</v>
      </c>
      <c r="C14" s="641"/>
      <c r="D14" s="642"/>
      <c r="E14" s="642"/>
      <c r="F14" s="642"/>
      <c r="G14" s="642"/>
      <c r="H14" s="642"/>
      <c r="I14" s="643">
        <v>0</v>
      </c>
      <c r="J14" s="644">
        <v>0</v>
      </c>
    </row>
    <row r="15" spans="1:14">
      <c r="A15" s="195"/>
      <c r="B15" s="1326" t="s">
        <v>321</v>
      </c>
      <c r="C15" s="1327"/>
      <c r="D15" s="1330">
        <f>AVERAGE(D8:D14)</f>
        <v>0.95833333333333337</v>
      </c>
      <c r="E15" s="1330">
        <f t="shared" ref="E15:H15" si="0">AVERAGE(E8:E14)</f>
        <v>0.84100000000000008</v>
      </c>
      <c r="F15" s="1330">
        <f t="shared" si="0"/>
        <v>0.74199999999999999</v>
      </c>
      <c r="G15" s="1330">
        <f t="shared" si="0"/>
        <v>0.79833333333333334</v>
      </c>
      <c r="H15" s="1330">
        <f t="shared" si="0"/>
        <v>0.78466666666666673</v>
      </c>
      <c r="I15" s="1330">
        <v>0</v>
      </c>
      <c r="J15" s="1332">
        <f>AVERAGE(J8:J14)</f>
        <v>0</v>
      </c>
    </row>
    <row r="16" spans="1:14" ht="15" customHeight="1" thickBot="1">
      <c r="B16" s="1328"/>
      <c r="C16" s="1329"/>
      <c r="D16" s="1331"/>
      <c r="E16" s="1331"/>
      <c r="F16" s="1331"/>
      <c r="G16" s="1331"/>
      <c r="H16" s="1331"/>
      <c r="I16" s="1331"/>
      <c r="J16" s="1333"/>
    </row>
    <row r="17" spans="2:10" ht="15.75" thickBot="1"/>
    <row r="18" spans="2:10" ht="30" customHeight="1">
      <c r="B18" s="1320"/>
      <c r="C18" s="1321"/>
      <c r="D18" s="1321"/>
      <c r="E18" s="1321"/>
      <c r="F18" s="1321"/>
      <c r="G18" s="1321"/>
      <c r="H18" s="1321"/>
      <c r="I18" s="1321"/>
      <c r="J18" s="1322"/>
    </row>
    <row r="19" spans="2:10" ht="15.75" thickBot="1">
      <c r="B19" s="1323"/>
      <c r="C19" s="1324"/>
      <c r="D19" s="1324"/>
      <c r="E19" s="1324"/>
      <c r="F19" s="1324"/>
      <c r="G19" s="1324"/>
      <c r="H19" s="1324"/>
      <c r="I19" s="1324"/>
      <c r="J19" s="1325"/>
    </row>
  </sheetData>
  <customSheetViews>
    <customSheetView guid="{D2AE56D6-E8AC-4B34-81C8-5074B4320CEA}" scale="80" topLeftCell="A7">
      <selection activeCell="L39" sqref="L39:L40"/>
      <pageMargins left="0.7" right="0.7" top="0.75" bottom="0.75" header="0.3" footer="0.3"/>
      <pageSetup orientation="portrait" r:id="rId1"/>
    </customSheetView>
  </customSheetViews>
  <mergeCells count="10">
    <mergeCell ref="B6:C7"/>
    <mergeCell ref="B18:J19"/>
    <mergeCell ref="B15:C16"/>
    <mergeCell ref="D15:D16"/>
    <mergeCell ref="E15:E16"/>
    <mergeCell ref="F15:F16"/>
    <mergeCell ref="G15:G16"/>
    <mergeCell ref="H15:H16"/>
    <mergeCell ref="J15:J16"/>
    <mergeCell ref="I15:I16"/>
  </mergeCells>
  <phoneticPr fontId="56" type="noConversion"/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E4DFAE2FAC84E81D97EC6AAEAC448" ma:contentTypeVersion="75" ma:contentTypeDescription="Create a new document." ma:contentTypeScope="" ma:versionID="a46b65f956d4fd363d94c09b0f0743f8">
  <xsd:schema xmlns:xsd="http://www.w3.org/2001/XMLSchema" xmlns:xs="http://www.w3.org/2001/XMLSchema" xmlns:p="http://schemas.microsoft.com/office/2006/metadata/properties" xmlns:ns2="9cd91a8b-8bef-427d-a155-e2e14a105c80" xmlns:ns3="d08482ab-6d81-46f3-8217-f0c7bf5e7177" xmlns:ns4="63ac74f0-cef5-4344-9424-5df1917078f3" targetNamespace="http://schemas.microsoft.com/office/2006/metadata/properties" ma:root="true" ma:fieldsID="dfa5aa969814829deee27fb5aa62e630" ns2:_="" ns3:_="" ns4:_="">
    <xsd:import namespace="9cd91a8b-8bef-427d-a155-e2e14a105c80"/>
    <xsd:import namespace="d08482ab-6d81-46f3-8217-f0c7bf5e7177"/>
    <xsd:import namespace="63ac74f0-cef5-4344-9424-5df1917078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1a8b-8bef-427d-a155-e2e14a105c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482ab-6d81-46f3-8217-f0c7bf5e71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c74f0-cef5-4344-9424-5df191707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cd91a8b-8bef-427d-a155-e2e14a105c80">NEXUS-17-27208</_dlc_DocId>
    <_dlc_DocIdUrl xmlns="9cd91a8b-8bef-427d-a155-e2e14a105c80">
      <Url>https://nexuscarbonfordevelopme.sharepoint.com/technical/_layouts/15/DocIdRedir.aspx?ID=NEXUS-17-27208</Url>
      <Description>NEXUS-17-27208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7F656-3C1C-469B-9360-509D0E105AC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E4CC2C6-C088-4A85-9897-861037173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91a8b-8bef-427d-a155-e2e14a105c80"/>
    <ds:schemaRef ds:uri="d08482ab-6d81-46f3-8217-f0c7bf5e7177"/>
    <ds:schemaRef ds:uri="63ac74f0-cef5-4344-9424-5df191707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8434F5-05BD-4C70-BB10-8ACEC55CC7D1}">
  <ds:schemaRefs>
    <ds:schemaRef ds:uri="9cd91a8b-8bef-427d-a155-e2e14a105c80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3ac74f0-cef5-4344-9424-5df1917078f3"/>
    <ds:schemaRef ds:uri="http://purl.org/dc/terms/"/>
    <ds:schemaRef ds:uri="d08482ab-6d81-46f3-8217-f0c7bf5e7177"/>
  </ds:schemaRefs>
</ds:datastoreItem>
</file>

<file path=customXml/itemProps4.xml><?xml version="1.0" encoding="utf-8"?>
<ds:datastoreItem xmlns:ds="http://schemas.openxmlformats.org/officeDocument/2006/customXml" ds:itemID="{75875B0C-FC18-449F-A3F7-4C518EDFF7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Cover</vt:lpstr>
      <vt:lpstr>Nexus_Summary</vt:lpstr>
      <vt:lpstr>Parameter_Summary</vt:lpstr>
      <vt:lpstr>Units_month</vt:lpstr>
      <vt:lpstr>Calculations</vt:lpstr>
      <vt:lpstr>Usage Rate Calc</vt:lpstr>
      <vt:lpstr>CoreData</vt:lpstr>
      <vt:lpstr>Leakage</vt:lpstr>
      <vt:lpstr>US_Survey</vt:lpstr>
      <vt:lpstr>WCFT</vt:lpstr>
      <vt:lpstr>WQ_Test</vt:lpstr>
      <vt:lpstr>Sale_Data</vt:lpstr>
      <vt:lpstr>PS_Survey</vt:lpstr>
      <vt:lpstr>CWP_FuelSaved</vt:lpstr>
      <vt:lpstr>Parameter_Summary!_ftn1</vt:lpstr>
      <vt:lpstr>Parameter_Summary!_ftnref1</vt:lpstr>
      <vt:lpstr>Calculations!Print_Area</vt:lpstr>
      <vt:lpstr>Leakage!Print_Area</vt:lpstr>
      <vt:lpstr>Units_month!Print_Area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Meng Chanvibol</dc:creator>
  <cp:lastModifiedBy>Chanvibol Meng</cp:lastModifiedBy>
  <dcterms:created xsi:type="dcterms:W3CDTF">2011-08-18T03:11:40Z</dcterms:created>
  <dcterms:modified xsi:type="dcterms:W3CDTF">2021-06-13T16:45:26Z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0x010100F58E4DFAE2FAC84E81D97EC6AAEAC448</vt:lpwstr>
  </property>
  <property fmtid="{D5CDD505-2E9C-101B-9397-08002B2CF9AE}" pid="3" name="_dlc_DocIdItemGuid">
    <vt:lpwstr>42e782e1-b6f6-4590-b2aa-48ee4405a3f3</vt:lpwstr>
  </property>
  <property fmtid="{D5CDD505-2E9C-101B-9397-08002B2CF9AE}" pid="4" name="Order">
    <vt:r8>1115200</vt:r8>
  </property>
  <property fmtid="{D5CDD505-2E9C-101B-9397-08002B2CF9AE}" pid="5" name="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DocumentSetDescription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AuthorIds_UIVersion_1024">
    <vt:lpwstr>289</vt:lpwstr>
  </property>
</Properties>
</file>