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Mariana Costa\Documents\Docs Drive\Compostagem\PRR - ROUND 3\PD\"/>
    </mc:Choice>
  </mc:AlternateContent>
  <xr:revisionPtr revIDLastSave="0" documentId="13_ncr:1_{A085D1FB-B0D2-4490-91B4-F68D926654EE}" xr6:coauthVersionLast="47" xr6:coauthVersionMax="47" xr10:uidLastSave="{00000000-0000-0000-0000-000000000000}"/>
  <bookViews>
    <workbookView xWindow="-120" yWindow="-120" windowWidth="20730" windowHeight="11040" tabRatio="849" xr2:uid="{4499732B-3148-4A5C-A435-2A2D3F00330F}"/>
  </bookViews>
  <sheets>
    <sheet name="GHG Emission Reductions" sheetId="1" r:id="rId1"/>
    <sheet name="BEy_Fazenda Altenor" sheetId="2" r:id="rId2"/>
    <sheet name="PEy_ Fazenda Altenor" sheetId="4" r:id="rId3"/>
    <sheet name="Last MR Verified_FazendaAltenor" sheetId="6" r:id="rId4"/>
    <sheet name="BEy_Baccin" sheetId="7" r:id="rId5"/>
    <sheet name="PEy_Baccin" sheetId="8" r:id="rId6"/>
    <sheet name="Last MR Verified_Baccin" sheetId="9" r:id="rId7"/>
    <sheet name="BEy_Santa Lucia" sheetId="10" r:id="rId8"/>
    <sheet name="PEy_Santa Lucia" sheetId="11" r:id="rId9"/>
    <sheet name="Last MR Verified_Santa Lucia" sheetId="12" r:id="rId10"/>
    <sheet name="BEy_Granja Silva" sheetId="13" r:id="rId11"/>
    <sheet name="PEy_Granja Silva" sheetId="14" r:id="rId12"/>
    <sheet name="Last MR Verified_Granja Silva" sheetId="15" r:id="rId13"/>
    <sheet name="BEy_Ramela" sheetId="16" r:id="rId14"/>
    <sheet name="PEy_Ramela" sheetId="17" r:id="rId15"/>
    <sheet name="Last MR Verified_Ramela" sheetId="18" r:id="rId16"/>
    <sheet name="BEy_Colonia Suspiro" sheetId="19" r:id="rId17"/>
    <sheet name="PEy_Colonia Suspiro" sheetId="20" r:id="rId18"/>
    <sheet name="Last MR_Colonia Suspiro" sheetId="21" r:id="rId19"/>
    <sheet name="Emission Factor of the Grid" sheetId="5"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H6" i="4"/>
  <c r="G16" i="13"/>
  <c r="G15" i="13"/>
  <c r="G14" i="13"/>
  <c r="G13" i="13"/>
  <c r="G12" i="13"/>
  <c r="G11" i="13"/>
  <c r="G10" i="13"/>
  <c r="G9" i="13"/>
  <c r="G8" i="13"/>
  <c r="G7" i="13"/>
  <c r="F16" i="13"/>
  <c r="F15" i="13"/>
  <c r="F14" i="13"/>
  <c r="F13" i="13"/>
  <c r="F12" i="13"/>
  <c r="F11" i="13"/>
  <c r="F10" i="13"/>
  <c r="F9" i="13"/>
  <c r="F8" i="13"/>
  <c r="F7" i="13"/>
  <c r="E16" i="13"/>
  <c r="E15" i="13"/>
  <c r="E14" i="13"/>
  <c r="E13" i="13"/>
  <c r="E12" i="13"/>
  <c r="E11" i="13"/>
  <c r="E10" i="13"/>
  <c r="E9" i="13"/>
  <c r="E8" i="13"/>
  <c r="E7" i="13"/>
  <c r="D16" i="13"/>
  <c r="D15" i="13"/>
  <c r="D14" i="13"/>
  <c r="D13" i="13"/>
  <c r="D12" i="13"/>
  <c r="D11" i="13"/>
  <c r="D10" i="13"/>
  <c r="D9" i="13"/>
  <c r="D8" i="13"/>
  <c r="D7" i="13"/>
  <c r="C16" i="13"/>
  <c r="C15" i="13"/>
  <c r="C14" i="13"/>
  <c r="C13" i="13"/>
  <c r="C12" i="13"/>
  <c r="C11" i="13"/>
  <c r="C10" i="13"/>
  <c r="C9" i="13"/>
  <c r="C8" i="13"/>
  <c r="C7" i="13"/>
  <c r="I16" i="16"/>
  <c r="I15" i="16"/>
  <c r="I14" i="16"/>
  <c r="I13" i="16"/>
  <c r="I12" i="16"/>
  <c r="I11" i="16"/>
  <c r="I10" i="16"/>
  <c r="I9" i="16"/>
  <c r="I8" i="16"/>
  <c r="I7" i="16"/>
  <c r="I16" i="19"/>
  <c r="I15" i="19"/>
  <c r="I14" i="19"/>
  <c r="I13" i="19"/>
  <c r="I12" i="19"/>
  <c r="I11" i="19"/>
  <c r="I10" i="19"/>
  <c r="I9" i="19"/>
  <c r="I8" i="19"/>
  <c r="I7" i="19"/>
  <c r="J17" i="10"/>
  <c r="I16" i="10"/>
  <c r="I15" i="10"/>
  <c r="I14" i="10"/>
  <c r="I13" i="10"/>
  <c r="I12" i="10"/>
  <c r="I11" i="10"/>
  <c r="I10" i="10"/>
  <c r="I9" i="10"/>
  <c r="I8" i="10"/>
  <c r="I7" i="10"/>
  <c r="H16" i="7"/>
  <c r="H15" i="7"/>
  <c r="H14" i="7"/>
  <c r="H13" i="7"/>
  <c r="H12" i="7"/>
  <c r="H11" i="7"/>
  <c r="H10" i="7"/>
  <c r="H9" i="7"/>
  <c r="H8" i="7"/>
  <c r="I13" i="7"/>
  <c r="I14" i="7"/>
  <c r="I16" i="7"/>
  <c r="I15" i="7"/>
  <c r="I12" i="7"/>
  <c r="I11" i="7"/>
  <c r="I10" i="7"/>
  <c r="I9" i="7"/>
  <c r="I8" i="7"/>
  <c r="I7" i="7"/>
  <c r="I16" i="2" l="1"/>
  <c r="I15" i="2"/>
  <c r="I14" i="2"/>
  <c r="I13" i="2"/>
  <c r="I12" i="2"/>
  <c r="I11" i="2"/>
  <c r="I10" i="2"/>
  <c r="I9" i="2"/>
  <c r="I8" i="2"/>
  <c r="I7" i="2"/>
  <c r="H7" i="7"/>
  <c r="L24" i="14"/>
  <c r="L20" i="14"/>
  <c r="L17" i="14"/>
  <c r="C8" i="14"/>
  <c r="J8" i="13"/>
  <c r="C46" i="15"/>
  <c r="C36" i="15"/>
  <c r="C26" i="15"/>
  <c r="C6" i="15"/>
  <c r="C16" i="15"/>
  <c r="C17" i="15"/>
  <c r="Q56" i="19"/>
  <c r="Q38" i="19"/>
  <c r="Q29" i="19"/>
  <c r="C8" i="21"/>
  <c r="C7" i="21"/>
  <c r="K19" i="21"/>
  <c r="K18" i="21" s="1"/>
  <c r="K15" i="21"/>
  <c r="K14" i="21"/>
  <c r="C6" i="21"/>
  <c r="Q56" i="16"/>
  <c r="Q38" i="16"/>
  <c r="Q29" i="16"/>
  <c r="C8" i="18"/>
  <c r="C7" i="18"/>
  <c r="K19" i="18"/>
  <c r="K18" i="18" s="1"/>
  <c r="K15" i="18"/>
  <c r="K14" i="18"/>
  <c r="C6" i="18"/>
  <c r="Q54" i="13"/>
  <c r="Q53" i="13"/>
  <c r="Q52" i="13"/>
  <c r="Q51" i="13"/>
  <c r="Q50" i="13"/>
  <c r="Q36" i="13"/>
  <c r="Q35" i="13"/>
  <c r="Q34" i="13"/>
  <c r="Q33" i="13"/>
  <c r="Q32" i="13"/>
  <c r="Q27" i="13"/>
  <c r="Q26" i="13"/>
  <c r="Q25" i="13"/>
  <c r="Q24" i="13"/>
  <c r="Q23" i="13"/>
  <c r="C48" i="15"/>
  <c r="C47" i="15"/>
  <c r="C38" i="15"/>
  <c r="C37" i="15"/>
  <c r="C28" i="15"/>
  <c r="C27" i="15"/>
  <c r="C25" i="15"/>
  <c r="C24" i="15"/>
  <c r="C18" i="15"/>
  <c r="C8" i="15"/>
  <c r="C7" i="15"/>
  <c r="K35" i="15"/>
  <c r="K34" i="15"/>
  <c r="K33" i="15"/>
  <c r="K32" i="15"/>
  <c r="K31" i="15"/>
  <c r="K30" i="15"/>
  <c r="K27" i="15"/>
  <c r="K26" i="15"/>
  <c r="K25" i="15"/>
  <c r="K24" i="15"/>
  <c r="K23" i="15"/>
  <c r="K22" i="15"/>
  <c r="Q56" i="10"/>
  <c r="Q38" i="10"/>
  <c r="Q29" i="10"/>
  <c r="C8" i="12"/>
  <c r="C7" i="12"/>
  <c r="C6" i="12"/>
  <c r="Q56" i="7"/>
  <c r="Q55" i="7"/>
  <c r="Q38" i="7"/>
  <c r="Q37" i="7"/>
  <c r="Q29" i="7"/>
  <c r="Q28" i="7"/>
  <c r="C17" i="9"/>
  <c r="C16" i="9"/>
  <c r="C15" i="9"/>
  <c r="C8" i="9"/>
  <c r="C7" i="9"/>
  <c r="C6" i="9"/>
  <c r="K27" i="9"/>
  <c r="K26" i="9"/>
  <c r="K25" i="9"/>
  <c r="K24" i="9"/>
  <c r="K21" i="9"/>
  <c r="K20" i="9"/>
  <c r="K19" i="9"/>
  <c r="K18" i="9"/>
  <c r="Q56" i="2"/>
  <c r="Q38" i="2"/>
  <c r="Q29" i="2"/>
  <c r="C8" i="6"/>
  <c r="C7" i="6"/>
  <c r="C6" i="6"/>
  <c r="E56" i="1"/>
  <c r="K6" i="15"/>
  <c r="K7" i="15"/>
  <c r="K8" i="15"/>
  <c r="K9" i="15"/>
  <c r="K10" i="15"/>
  <c r="K15" i="15"/>
  <c r="K14" i="15"/>
  <c r="K16" i="15"/>
  <c r="K17" i="15"/>
  <c r="K18" i="15"/>
  <c r="M25" i="19"/>
  <c r="M23" i="19"/>
  <c r="M17" i="19"/>
  <c r="M15" i="19"/>
  <c r="M25" i="16"/>
  <c r="M23" i="16"/>
  <c r="M17" i="16"/>
  <c r="M15" i="16"/>
  <c r="M25" i="13"/>
  <c r="M23" i="13"/>
  <c r="M17" i="13"/>
  <c r="M15" i="13"/>
  <c r="M25" i="10"/>
  <c r="M23" i="10"/>
  <c r="M17" i="10"/>
  <c r="M15" i="10"/>
  <c r="M25" i="2"/>
  <c r="M23" i="2"/>
  <c r="M17" i="2"/>
  <c r="M15" i="2"/>
  <c r="M25" i="7"/>
  <c r="M23" i="7"/>
  <c r="M17" i="7"/>
  <c r="M15" i="7"/>
  <c r="J8" i="7" l="1"/>
  <c r="Q42" i="7"/>
  <c r="C5" i="21"/>
  <c r="C4" i="21"/>
  <c r="K11" i="21"/>
  <c r="K10" i="21" s="1"/>
  <c r="K7" i="21"/>
  <c r="K6" i="21" s="1"/>
  <c r="C5" i="18"/>
  <c r="C4" i="18"/>
  <c r="K11" i="18"/>
  <c r="K10" i="18" s="1"/>
  <c r="K7" i="18"/>
  <c r="Q16" i="13"/>
  <c r="Q9" i="13"/>
  <c r="Q7" i="13"/>
  <c r="C45" i="15"/>
  <c r="Q18" i="13" s="1"/>
  <c r="C44" i="15"/>
  <c r="C35" i="15"/>
  <c r="Q17" i="13" s="1"/>
  <c r="C34" i="15"/>
  <c r="Q8" i="13" s="1"/>
  <c r="C15" i="15"/>
  <c r="Q15" i="13" s="1"/>
  <c r="C14" i="15"/>
  <c r="Q6" i="13" s="1"/>
  <c r="C5" i="15"/>
  <c r="Q14" i="13" s="1"/>
  <c r="C4" i="15"/>
  <c r="Q5" i="13" s="1"/>
  <c r="K11" i="15"/>
  <c r="K19" i="15"/>
  <c r="K19" i="12"/>
  <c r="K18" i="12" s="1"/>
  <c r="K15" i="12"/>
  <c r="K14" i="12" s="1"/>
  <c r="K11" i="12"/>
  <c r="K10" i="12" s="1"/>
  <c r="C5" i="12" s="1"/>
  <c r="K7" i="12"/>
  <c r="K6" i="12" s="1"/>
  <c r="C4" i="12" s="1"/>
  <c r="K15" i="9"/>
  <c r="K14" i="9" s="1"/>
  <c r="C14" i="9" s="1"/>
  <c r="K13" i="9"/>
  <c r="K12" i="9" s="1"/>
  <c r="C5" i="9" s="1"/>
  <c r="K19" i="6"/>
  <c r="K18" i="6" s="1"/>
  <c r="K15" i="6"/>
  <c r="K14" i="6" s="1"/>
  <c r="K11" i="6"/>
  <c r="K10" i="6" s="1"/>
  <c r="C5" i="6" s="1"/>
  <c r="K7" i="6"/>
  <c r="K9" i="9"/>
  <c r="K8" i="9" s="1"/>
  <c r="C13" i="9" s="1"/>
  <c r="K7" i="9"/>
  <c r="K6" i="9" s="1"/>
  <c r="C4" i="9" s="1"/>
  <c r="Q45" i="7"/>
  <c r="Q44" i="7"/>
  <c r="Q43" i="7"/>
  <c r="Q41" i="7"/>
  <c r="K6" i="6" l="1"/>
  <c r="C4" i="6" s="1"/>
  <c r="K6" i="18"/>
  <c r="Q46" i="16"/>
  <c r="Q45" i="16"/>
  <c r="Q41" i="16"/>
  <c r="Q44" i="16"/>
  <c r="Q43" i="16"/>
  <c r="Q42" i="16"/>
  <c r="Q47" i="13"/>
  <c r="Q46" i="13"/>
  <c r="H16" i="19" l="1"/>
  <c r="H15" i="19"/>
  <c r="H14" i="19"/>
  <c r="H13" i="19"/>
  <c r="H12" i="19"/>
  <c r="H11" i="19"/>
  <c r="H10" i="19"/>
  <c r="H9" i="19"/>
  <c r="H8" i="19"/>
  <c r="H7" i="19"/>
  <c r="G7" i="19"/>
  <c r="F7" i="19"/>
  <c r="E7" i="19"/>
  <c r="D7" i="19"/>
  <c r="C7" i="19"/>
  <c r="H16" i="10"/>
  <c r="H15" i="10"/>
  <c r="H14" i="10"/>
  <c r="H13" i="10"/>
  <c r="H12" i="10"/>
  <c r="H11" i="10"/>
  <c r="H10" i="10"/>
  <c r="H9" i="10"/>
  <c r="H8" i="10"/>
  <c r="H7" i="10"/>
  <c r="G7" i="10"/>
  <c r="F7" i="10"/>
  <c r="E7" i="10"/>
  <c r="D7" i="10"/>
  <c r="C7" i="10"/>
  <c r="G7" i="2"/>
  <c r="F7" i="2"/>
  <c r="E7" i="2"/>
  <c r="D7" i="2"/>
  <c r="C7" i="2"/>
  <c r="H8" i="2"/>
  <c r="H9" i="2"/>
  <c r="H10" i="2"/>
  <c r="H11" i="2"/>
  <c r="H12" i="2"/>
  <c r="H13" i="2"/>
  <c r="H14" i="2"/>
  <c r="H15" i="2"/>
  <c r="H16" i="2"/>
  <c r="H7" i="2"/>
  <c r="H17" i="2" s="1"/>
  <c r="H17" i="19" l="1"/>
  <c r="H17" i="10"/>
  <c r="Q41" i="13" l="1"/>
  <c r="S11" i="13"/>
  <c r="T11" i="13"/>
  <c r="U11" i="13"/>
  <c r="V11" i="13"/>
  <c r="W11" i="13"/>
  <c r="X11" i="13"/>
  <c r="Y11" i="13"/>
  <c r="Z11" i="13"/>
  <c r="R11" i="13"/>
  <c r="S10" i="13"/>
  <c r="T10" i="13"/>
  <c r="U10" i="13"/>
  <c r="V10" i="13"/>
  <c r="W10" i="13"/>
  <c r="X10" i="13"/>
  <c r="Y10" i="13"/>
  <c r="Z10" i="13"/>
  <c r="R10" i="13"/>
  <c r="S55" i="19"/>
  <c r="T55" i="19"/>
  <c r="U55" i="19"/>
  <c r="V55" i="19"/>
  <c r="W55" i="19"/>
  <c r="X55" i="19"/>
  <c r="Y55" i="19"/>
  <c r="Z55" i="19"/>
  <c r="S54" i="19"/>
  <c r="T54" i="19"/>
  <c r="U54" i="19"/>
  <c r="V54" i="19"/>
  <c r="W54" i="19"/>
  <c r="X54" i="19"/>
  <c r="Y54" i="19"/>
  <c r="Z54" i="19"/>
  <c r="S53" i="19"/>
  <c r="T53" i="19"/>
  <c r="U53" i="19"/>
  <c r="V53" i="19"/>
  <c r="W53" i="19"/>
  <c r="X53" i="19"/>
  <c r="Y53" i="19"/>
  <c r="Z53" i="19"/>
  <c r="S52" i="19"/>
  <c r="T52" i="19"/>
  <c r="U52" i="19"/>
  <c r="V52" i="19"/>
  <c r="W52" i="19"/>
  <c r="X52" i="19"/>
  <c r="Y52" i="19"/>
  <c r="Z52" i="19"/>
  <c r="S51" i="19"/>
  <c r="T51" i="19"/>
  <c r="U51" i="19"/>
  <c r="V51" i="19"/>
  <c r="W51" i="19"/>
  <c r="X51" i="19"/>
  <c r="Y51" i="19"/>
  <c r="Z51" i="19"/>
  <c r="S50" i="19"/>
  <c r="T50" i="19"/>
  <c r="U50" i="19"/>
  <c r="V50" i="19"/>
  <c r="W50" i="19"/>
  <c r="X50" i="19"/>
  <c r="Y50" i="19"/>
  <c r="Z50" i="19"/>
  <c r="R55" i="19"/>
  <c r="R54" i="19"/>
  <c r="R53" i="19"/>
  <c r="R52" i="19"/>
  <c r="R51" i="19"/>
  <c r="R50" i="19"/>
  <c r="S46" i="19"/>
  <c r="T46" i="19"/>
  <c r="U46" i="19"/>
  <c r="V46" i="19"/>
  <c r="W46" i="19"/>
  <c r="X46" i="19"/>
  <c r="Y46" i="19"/>
  <c r="Z46" i="19"/>
  <c r="S45" i="19"/>
  <c r="T45" i="19"/>
  <c r="U45" i="19"/>
  <c r="V45" i="19"/>
  <c r="W45" i="19"/>
  <c r="X45" i="19"/>
  <c r="Y45" i="19"/>
  <c r="Z45" i="19"/>
  <c r="S44" i="19"/>
  <c r="T44" i="19"/>
  <c r="U44" i="19"/>
  <c r="V44" i="19"/>
  <c r="W44" i="19"/>
  <c r="X44" i="19"/>
  <c r="Y44" i="19"/>
  <c r="Z44" i="19"/>
  <c r="S43" i="19"/>
  <c r="T43" i="19"/>
  <c r="U43" i="19"/>
  <c r="V43" i="19"/>
  <c r="W43" i="19"/>
  <c r="X43" i="19"/>
  <c r="Y43" i="19"/>
  <c r="Z43" i="19"/>
  <c r="S42" i="19"/>
  <c r="T42" i="19"/>
  <c r="U42" i="19"/>
  <c r="V42" i="19"/>
  <c r="W42" i="19"/>
  <c r="X42" i="19"/>
  <c r="Y42" i="19"/>
  <c r="Z42" i="19"/>
  <c r="S41" i="19"/>
  <c r="T41" i="19"/>
  <c r="U41" i="19"/>
  <c r="V41" i="19"/>
  <c r="W41" i="19"/>
  <c r="X41" i="19"/>
  <c r="Y41" i="19"/>
  <c r="Z41" i="19"/>
  <c r="R46" i="19"/>
  <c r="R45" i="19"/>
  <c r="R44" i="19"/>
  <c r="R43" i="19"/>
  <c r="R42" i="19"/>
  <c r="R41" i="19"/>
  <c r="S37" i="19"/>
  <c r="T37" i="19"/>
  <c r="U37" i="19"/>
  <c r="V37" i="19"/>
  <c r="W37" i="19"/>
  <c r="X37" i="19"/>
  <c r="Y37" i="19"/>
  <c r="Z37" i="19"/>
  <c r="S36" i="19"/>
  <c r="T36" i="19"/>
  <c r="U36" i="19"/>
  <c r="V36" i="19"/>
  <c r="W36" i="19"/>
  <c r="X36" i="19"/>
  <c r="Y36" i="19"/>
  <c r="Z36" i="19"/>
  <c r="S35" i="19"/>
  <c r="T35" i="19"/>
  <c r="U35" i="19"/>
  <c r="V35" i="19"/>
  <c r="W35" i="19"/>
  <c r="X35" i="19"/>
  <c r="Y35" i="19"/>
  <c r="Z35" i="19"/>
  <c r="S34" i="19"/>
  <c r="T34" i="19"/>
  <c r="U34" i="19"/>
  <c r="V34" i="19"/>
  <c r="W34" i="19"/>
  <c r="X34" i="19"/>
  <c r="Y34" i="19"/>
  <c r="Z34" i="19"/>
  <c r="S33" i="19"/>
  <c r="T33" i="19"/>
  <c r="U33" i="19"/>
  <c r="V33" i="19"/>
  <c r="W33" i="19"/>
  <c r="X33" i="19"/>
  <c r="Y33" i="19"/>
  <c r="Z33" i="19"/>
  <c r="S32" i="19"/>
  <c r="T32" i="19"/>
  <c r="U32" i="19"/>
  <c r="V32" i="19"/>
  <c r="W32" i="19"/>
  <c r="X32" i="19"/>
  <c r="Y32" i="19"/>
  <c r="Z32" i="19"/>
  <c r="R37" i="19"/>
  <c r="R36" i="19"/>
  <c r="R35" i="19"/>
  <c r="R34" i="19"/>
  <c r="R33" i="19"/>
  <c r="R32" i="19"/>
  <c r="S28" i="19"/>
  <c r="T28" i="19"/>
  <c r="U28" i="19"/>
  <c r="V28" i="19"/>
  <c r="W28" i="19"/>
  <c r="X28" i="19"/>
  <c r="Y28" i="19"/>
  <c r="Z28" i="19"/>
  <c r="S27" i="19"/>
  <c r="G9" i="19" s="1"/>
  <c r="T27" i="19"/>
  <c r="G10" i="19" s="1"/>
  <c r="U27" i="19"/>
  <c r="G11" i="19" s="1"/>
  <c r="V27" i="19"/>
  <c r="G12" i="19" s="1"/>
  <c r="W27" i="19"/>
  <c r="G13" i="19" s="1"/>
  <c r="X27" i="19"/>
  <c r="G14" i="19" s="1"/>
  <c r="Y27" i="19"/>
  <c r="G15" i="19" s="1"/>
  <c r="Z27" i="19"/>
  <c r="G16" i="19" s="1"/>
  <c r="S26" i="19"/>
  <c r="F9" i="19" s="1"/>
  <c r="T26" i="19"/>
  <c r="F10" i="19" s="1"/>
  <c r="U26" i="19"/>
  <c r="F11" i="19" s="1"/>
  <c r="V26" i="19"/>
  <c r="F12" i="19" s="1"/>
  <c r="W26" i="19"/>
  <c r="F13" i="19" s="1"/>
  <c r="X26" i="19"/>
  <c r="F14" i="19" s="1"/>
  <c r="Y26" i="19"/>
  <c r="F15" i="19" s="1"/>
  <c r="Z26" i="19"/>
  <c r="F16" i="19" s="1"/>
  <c r="S25" i="19"/>
  <c r="T25" i="19"/>
  <c r="U25" i="19"/>
  <c r="V25" i="19"/>
  <c r="W25" i="19"/>
  <c r="X25" i="19"/>
  <c r="Y25" i="19"/>
  <c r="Z25" i="19"/>
  <c r="S24" i="19"/>
  <c r="T24" i="19"/>
  <c r="U24" i="19"/>
  <c r="V24" i="19"/>
  <c r="W24" i="19"/>
  <c r="X24" i="19"/>
  <c r="Y24" i="19"/>
  <c r="Z24" i="19"/>
  <c r="S23" i="19"/>
  <c r="C9" i="19" s="1"/>
  <c r="T23" i="19"/>
  <c r="C10" i="19" s="1"/>
  <c r="U23" i="19"/>
  <c r="C11" i="19" s="1"/>
  <c r="V23" i="19"/>
  <c r="C12" i="19" s="1"/>
  <c r="W23" i="19"/>
  <c r="C13" i="19" s="1"/>
  <c r="X23" i="19"/>
  <c r="C14" i="19" s="1"/>
  <c r="Y23" i="19"/>
  <c r="C15" i="19" s="1"/>
  <c r="Z23" i="19"/>
  <c r="C16" i="19" s="1"/>
  <c r="R28" i="19"/>
  <c r="R27" i="19"/>
  <c r="G8" i="19" s="1"/>
  <c r="R26" i="19"/>
  <c r="F8" i="19" s="1"/>
  <c r="F17" i="19" s="1"/>
  <c r="R25" i="19"/>
  <c r="R24" i="19"/>
  <c r="R23" i="19"/>
  <c r="C8" i="19" s="1"/>
  <c r="S19" i="19"/>
  <c r="T19" i="19"/>
  <c r="U19" i="19"/>
  <c r="V19" i="19"/>
  <c r="W19" i="19"/>
  <c r="X19" i="19"/>
  <c r="Y19" i="19"/>
  <c r="Z19" i="19"/>
  <c r="S18" i="19"/>
  <c r="T18" i="19"/>
  <c r="U18" i="19"/>
  <c r="V18" i="19"/>
  <c r="W18" i="19"/>
  <c r="X18" i="19"/>
  <c r="Y18" i="19"/>
  <c r="Z18" i="19"/>
  <c r="S17" i="19"/>
  <c r="T17" i="19"/>
  <c r="U17" i="19"/>
  <c r="V17" i="19"/>
  <c r="W17" i="19"/>
  <c r="X17" i="19"/>
  <c r="Y17" i="19"/>
  <c r="Z17" i="19"/>
  <c r="S16" i="19"/>
  <c r="T16" i="19"/>
  <c r="U16" i="19"/>
  <c r="V16" i="19"/>
  <c r="W16" i="19"/>
  <c r="X16" i="19"/>
  <c r="Y16" i="19"/>
  <c r="Z16" i="19"/>
  <c r="S15" i="19"/>
  <c r="T15" i="19"/>
  <c r="U15" i="19"/>
  <c r="V15" i="19"/>
  <c r="W15" i="19"/>
  <c r="X15" i="19"/>
  <c r="Y15" i="19"/>
  <c r="Z15" i="19"/>
  <c r="S14" i="19"/>
  <c r="T14" i="19"/>
  <c r="U14" i="19"/>
  <c r="V14" i="19"/>
  <c r="W14" i="19"/>
  <c r="X14" i="19"/>
  <c r="Y14" i="19"/>
  <c r="Z14" i="19"/>
  <c r="R19" i="19"/>
  <c r="R18" i="19"/>
  <c r="R17" i="19"/>
  <c r="R16" i="19"/>
  <c r="R15" i="19"/>
  <c r="R14" i="19"/>
  <c r="S10" i="19"/>
  <c r="T10" i="19"/>
  <c r="U10" i="19"/>
  <c r="V10" i="19"/>
  <c r="W10" i="19"/>
  <c r="X10" i="19"/>
  <c r="Y10" i="19"/>
  <c r="Z10" i="19"/>
  <c r="S9" i="19"/>
  <c r="T9" i="19"/>
  <c r="U9" i="19"/>
  <c r="V9" i="19"/>
  <c r="W9" i="19"/>
  <c r="X9" i="19"/>
  <c r="Y9" i="19"/>
  <c r="Z9" i="19"/>
  <c r="S8" i="19"/>
  <c r="T8" i="19"/>
  <c r="U8" i="19"/>
  <c r="V8" i="19"/>
  <c r="W8" i="19"/>
  <c r="X8" i="19"/>
  <c r="Y8" i="19"/>
  <c r="Z8" i="19"/>
  <c r="S7" i="19"/>
  <c r="T7" i="19"/>
  <c r="U7" i="19"/>
  <c r="V7" i="19"/>
  <c r="W7" i="19"/>
  <c r="X7" i="19"/>
  <c r="Y7" i="19"/>
  <c r="Z7" i="19"/>
  <c r="S6" i="19"/>
  <c r="T6" i="19"/>
  <c r="U6" i="19"/>
  <c r="V6" i="19"/>
  <c r="W6" i="19"/>
  <c r="X6" i="19"/>
  <c r="Y6" i="19"/>
  <c r="Z6" i="19"/>
  <c r="S5" i="19"/>
  <c r="T5" i="19"/>
  <c r="U5" i="19"/>
  <c r="V5" i="19"/>
  <c r="W5" i="19"/>
  <c r="X5" i="19"/>
  <c r="Y5" i="19"/>
  <c r="Z5" i="19"/>
  <c r="R10" i="19"/>
  <c r="R9" i="19"/>
  <c r="R8" i="19"/>
  <c r="R7" i="19"/>
  <c r="R6" i="19"/>
  <c r="R5" i="19"/>
  <c r="U56" i="19"/>
  <c r="Q20" i="19"/>
  <c r="S20" i="19" s="1"/>
  <c r="Q11" i="19"/>
  <c r="R11" i="19" s="1"/>
  <c r="K7" i="20"/>
  <c r="E11" i="19" l="1"/>
  <c r="D11" i="19"/>
  <c r="G17" i="19"/>
  <c r="D14" i="19"/>
  <c r="E14" i="19"/>
  <c r="D8" i="19"/>
  <c r="E8" i="19"/>
  <c r="D13" i="19"/>
  <c r="E13" i="19"/>
  <c r="D9" i="19"/>
  <c r="E9" i="19"/>
  <c r="D15" i="19"/>
  <c r="E15" i="19"/>
  <c r="C17" i="19"/>
  <c r="D10" i="19"/>
  <c r="E10" i="19"/>
  <c r="D16" i="19"/>
  <c r="E16" i="19"/>
  <c r="D12" i="19"/>
  <c r="E12" i="19"/>
  <c r="V20" i="19"/>
  <c r="Q47" i="19"/>
  <c r="X56" i="19"/>
  <c r="T56" i="19"/>
  <c r="W38" i="19"/>
  <c r="X38" i="19"/>
  <c r="T38" i="19"/>
  <c r="R38" i="19"/>
  <c r="S38" i="19"/>
  <c r="Z20" i="19"/>
  <c r="V29" i="19"/>
  <c r="Z29" i="19"/>
  <c r="X29" i="19"/>
  <c r="L9" i="20"/>
  <c r="S29" i="19"/>
  <c r="W29" i="19"/>
  <c r="R29" i="19"/>
  <c r="T29" i="19"/>
  <c r="T11" i="19"/>
  <c r="X11" i="19"/>
  <c r="U11" i="19"/>
  <c r="Y11" i="19"/>
  <c r="V11" i="19"/>
  <c r="Z11" i="19"/>
  <c r="W11" i="19"/>
  <c r="Y29" i="19"/>
  <c r="S11" i="19"/>
  <c r="U29" i="19"/>
  <c r="Y20" i="19"/>
  <c r="W56" i="19"/>
  <c r="X20" i="19"/>
  <c r="T20" i="19"/>
  <c r="Z38" i="19"/>
  <c r="V38" i="19"/>
  <c r="Z56" i="19"/>
  <c r="V56" i="19"/>
  <c r="U20" i="19"/>
  <c r="R56" i="19"/>
  <c r="S56" i="19"/>
  <c r="R20" i="19"/>
  <c r="W20" i="19"/>
  <c r="Y38" i="19"/>
  <c r="U38" i="19"/>
  <c r="Y56" i="19"/>
  <c r="E17" i="19" l="1"/>
  <c r="D17" i="19"/>
  <c r="J7" i="19"/>
  <c r="N9" i="20"/>
  <c r="N10" i="20" s="1"/>
  <c r="R9" i="20"/>
  <c r="M9" i="20"/>
  <c r="M10" i="20" s="1"/>
  <c r="M13" i="20" s="1"/>
  <c r="T9" i="20"/>
  <c r="O9" i="20"/>
  <c r="S9" i="20"/>
  <c r="L10" i="20"/>
  <c r="P9" i="20"/>
  <c r="Q9" i="20"/>
  <c r="U9" i="20"/>
  <c r="U47" i="19"/>
  <c r="J11" i="19" s="1"/>
  <c r="H8" i="1" s="1"/>
  <c r="Y47" i="19"/>
  <c r="J15" i="19" s="1"/>
  <c r="H12" i="1" s="1"/>
  <c r="V47" i="19"/>
  <c r="J12" i="19" s="1"/>
  <c r="H9" i="1" s="1"/>
  <c r="Z47" i="19"/>
  <c r="J16" i="19" s="1"/>
  <c r="H13" i="1" s="1"/>
  <c r="S47" i="19"/>
  <c r="J9" i="19" s="1"/>
  <c r="H6" i="1" s="1"/>
  <c r="W47" i="19"/>
  <c r="J13" i="19" s="1"/>
  <c r="H10" i="1" s="1"/>
  <c r="R47" i="19"/>
  <c r="J8" i="19" s="1"/>
  <c r="H5" i="1" s="1"/>
  <c r="T47" i="19"/>
  <c r="J10" i="19" s="1"/>
  <c r="H7" i="1" s="1"/>
  <c r="X47" i="19"/>
  <c r="J14" i="19" s="1"/>
  <c r="H11" i="1" s="1"/>
  <c r="H4" i="1" l="1"/>
  <c r="H14" i="1" s="1"/>
  <c r="J17" i="19"/>
  <c r="M23" i="20"/>
  <c r="F7" i="20" s="1"/>
  <c r="I17" i="19"/>
  <c r="L23" i="20"/>
  <c r="F6" i="20" s="1"/>
  <c r="L19" i="20"/>
  <c r="L13" i="20"/>
  <c r="O10" i="20"/>
  <c r="N13" i="20"/>
  <c r="N23" i="20"/>
  <c r="F8" i="20" s="1"/>
  <c r="N19" i="20" l="1"/>
  <c r="E8" i="20" s="1"/>
  <c r="R19" i="20"/>
  <c r="M19" i="20"/>
  <c r="E7" i="20" s="1"/>
  <c r="P19" i="20"/>
  <c r="T19" i="20"/>
  <c r="Q19" i="20"/>
  <c r="O19" i="20"/>
  <c r="S19" i="20"/>
  <c r="U19" i="20"/>
  <c r="E6" i="20"/>
  <c r="P10" i="20"/>
  <c r="O23" i="20"/>
  <c r="F9" i="20" s="1"/>
  <c r="O13" i="20"/>
  <c r="P23" i="20" l="1"/>
  <c r="F10" i="20" s="1"/>
  <c r="P13" i="20"/>
  <c r="Q10" i="20"/>
  <c r="E9" i="20"/>
  <c r="E10" i="20" l="1"/>
  <c r="R10" i="20"/>
  <c r="Q23" i="20"/>
  <c r="F11" i="20" s="1"/>
  <c r="Q13" i="20"/>
  <c r="S10" i="20" l="1"/>
  <c r="R23" i="20"/>
  <c r="F12" i="20" s="1"/>
  <c r="R13" i="20"/>
  <c r="E11" i="20"/>
  <c r="E13" i="20" l="1"/>
  <c r="U10" i="20"/>
  <c r="T10" i="20"/>
  <c r="S13" i="20"/>
  <c r="S23" i="20"/>
  <c r="F13" i="20" s="1"/>
  <c r="T23" i="20" l="1"/>
  <c r="F14" i="20" s="1"/>
  <c r="T13" i="20"/>
  <c r="U23" i="20"/>
  <c r="F15" i="20" s="1"/>
  <c r="U13" i="20"/>
  <c r="E14" i="20"/>
  <c r="E15" i="20" l="1"/>
  <c r="E12" i="20"/>
  <c r="P4" i="17" l="1"/>
  <c r="R4" i="17"/>
  <c r="T5" i="17"/>
  <c r="N6" i="17"/>
  <c r="S6" i="17"/>
  <c r="L5" i="17"/>
  <c r="L6" i="17"/>
  <c r="Q6" i="17" s="1"/>
  <c r="L8" i="17"/>
  <c r="Q8" i="17" s="1"/>
  <c r="L4" i="17"/>
  <c r="Q4" i="17" s="1"/>
  <c r="S55" i="16"/>
  <c r="T55" i="16"/>
  <c r="U55" i="16"/>
  <c r="V55" i="16"/>
  <c r="W55" i="16"/>
  <c r="X55" i="16"/>
  <c r="Y55" i="16"/>
  <c r="Z55" i="16"/>
  <c r="S54" i="16"/>
  <c r="T54" i="16"/>
  <c r="U54" i="16"/>
  <c r="V54" i="16"/>
  <c r="W54" i="16"/>
  <c r="X54" i="16"/>
  <c r="Y54" i="16"/>
  <c r="Z54" i="16"/>
  <c r="S53" i="16"/>
  <c r="T53" i="16"/>
  <c r="U53" i="16"/>
  <c r="V53" i="16"/>
  <c r="W53" i="16"/>
  <c r="X53" i="16"/>
  <c r="Y53" i="16"/>
  <c r="Z53" i="16"/>
  <c r="S52" i="16"/>
  <c r="T52" i="16"/>
  <c r="U52" i="16"/>
  <c r="V52" i="16"/>
  <c r="W52" i="16"/>
  <c r="X52" i="16"/>
  <c r="Y52" i="16"/>
  <c r="Z52" i="16"/>
  <c r="S51" i="16"/>
  <c r="T51" i="16"/>
  <c r="U51" i="16"/>
  <c r="V51" i="16"/>
  <c r="W51" i="16"/>
  <c r="X51" i="16"/>
  <c r="Y51" i="16"/>
  <c r="Z51" i="16"/>
  <c r="S50" i="16"/>
  <c r="T50" i="16"/>
  <c r="U50" i="16"/>
  <c r="V50" i="16"/>
  <c r="W50" i="16"/>
  <c r="X50" i="16"/>
  <c r="Y50" i="16"/>
  <c r="Z50" i="16"/>
  <c r="R55" i="16"/>
  <c r="R54" i="16"/>
  <c r="R53" i="16"/>
  <c r="R52" i="16"/>
  <c r="R51" i="16"/>
  <c r="R50" i="16"/>
  <c r="S37" i="16"/>
  <c r="T37" i="16"/>
  <c r="U37" i="16"/>
  <c r="V37" i="16"/>
  <c r="W37" i="16"/>
  <c r="X37" i="16"/>
  <c r="Y37" i="16"/>
  <c r="Z37" i="16"/>
  <c r="S36" i="16"/>
  <c r="T36" i="16"/>
  <c r="U36" i="16"/>
  <c r="V36" i="16"/>
  <c r="W36" i="16"/>
  <c r="X36" i="16"/>
  <c r="Y36" i="16"/>
  <c r="Z36" i="16"/>
  <c r="S35" i="16"/>
  <c r="T35" i="16"/>
  <c r="U35" i="16"/>
  <c r="V35" i="16"/>
  <c r="W35" i="16"/>
  <c r="X35" i="16"/>
  <c r="Y35" i="16"/>
  <c r="Z35" i="16"/>
  <c r="S34" i="16"/>
  <c r="T34" i="16"/>
  <c r="U34" i="16"/>
  <c r="V34" i="16"/>
  <c r="W34" i="16"/>
  <c r="X34" i="16"/>
  <c r="Y34" i="16"/>
  <c r="Z34" i="16"/>
  <c r="S33" i="16"/>
  <c r="T33" i="16"/>
  <c r="U33" i="16"/>
  <c r="V33" i="16"/>
  <c r="W33" i="16"/>
  <c r="X33" i="16"/>
  <c r="Y33" i="16"/>
  <c r="Z33" i="16"/>
  <c r="S32" i="16"/>
  <c r="T32" i="16"/>
  <c r="U32" i="16"/>
  <c r="V32" i="16"/>
  <c r="W32" i="16"/>
  <c r="X32" i="16"/>
  <c r="Y32" i="16"/>
  <c r="Z32" i="16"/>
  <c r="R37" i="16"/>
  <c r="R36" i="16"/>
  <c r="R35" i="16"/>
  <c r="R34" i="16"/>
  <c r="R33" i="16"/>
  <c r="R32" i="16"/>
  <c r="S28" i="16"/>
  <c r="T28" i="16"/>
  <c r="U28" i="16"/>
  <c r="V28" i="16"/>
  <c r="W28" i="16"/>
  <c r="X28" i="16"/>
  <c r="Y28" i="16"/>
  <c r="Z28" i="16"/>
  <c r="S27" i="16"/>
  <c r="T27" i="16"/>
  <c r="U27" i="16"/>
  <c r="V27" i="16"/>
  <c r="W27" i="16"/>
  <c r="X27" i="16"/>
  <c r="Y27" i="16"/>
  <c r="Z27" i="16"/>
  <c r="S26" i="16"/>
  <c r="T26" i="16"/>
  <c r="U26" i="16"/>
  <c r="V26" i="16"/>
  <c r="W26" i="16"/>
  <c r="X26" i="16"/>
  <c r="Y26" i="16"/>
  <c r="Z26" i="16"/>
  <c r="S25" i="16"/>
  <c r="T25" i="16"/>
  <c r="U25" i="16"/>
  <c r="V25" i="16"/>
  <c r="W25" i="16"/>
  <c r="X25" i="16"/>
  <c r="Y25" i="16"/>
  <c r="Z25" i="16"/>
  <c r="S24" i="16"/>
  <c r="T24" i="16"/>
  <c r="U24" i="16"/>
  <c r="V24" i="16"/>
  <c r="W24" i="16"/>
  <c r="X24" i="16"/>
  <c r="Y24" i="16"/>
  <c r="Z24" i="16"/>
  <c r="S23" i="16"/>
  <c r="T23" i="16"/>
  <c r="U23" i="16"/>
  <c r="V23" i="16"/>
  <c r="W23" i="16"/>
  <c r="X23" i="16"/>
  <c r="Y23" i="16"/>
  <c r="Z23" i="16"/>
  <c r="R23" i="16"/>
  <c r="R28" i="16"/>
  <c r="R27" i="16"/>
  <c r="R26" i="16"/>
  <c r="R25" i="16"/>
  <c r="R24" i="16"/>
  <c r="T20" i="16"/>
  <c r="S19" i="16"/>
  <c r="T19" i="16"/>
  <c r="U19" i="16"/>
  <c r="V19" i="16"/>
  <c r="W19" i="16"/>
  <c r="X19" i="16"/>
  <c r="Y19" i="16"/>
  <c r="Z19" i="16"/>
  <c r="S18" i="16"/>
  <c r="T18" i="16"/>
  <c r="U18" i="16"/>
  <c r="V18" i="16"/>
  <c r="W18" i="16"/>
  <c r="X18" i="16"/>
  <c r="Y18" i="16"/>
  <c r="Z18" i="16"/>
  <c r="S17" i="16"/>
  <c r="T17" i="16"/>
  <c r="U17" i="16"/>
  <c r="V17" i="16"/>
  <c r="W17" i="16"/>
  <c r="X17" i="16"/>
  <c r="Y17" i="16"/>
  <c r="Z17" i="16"/>
  <c r="S16" i="16"/>
  <c r="T16" i="16"/>
  <c r="U16" i="16"/>
  <c r="V16" i="16"/>
  <c r="W16" i="16"/>
  <c r="X16" i="16"/>
  <c r="Y16" i="16"/>
  <c r="Z16" i="16"/>
  <c r="S15" i="16"/>
  <c r="T15" i="16"/>
  <c r="U15" i="16"/>
  <c r="V15" i="16"/>
  <c r="W15" i="16"/>
  <c r="X15" i="16"/>
  <c r="Y15" i="16"/>
  <c r="Z15" i="16"/>
  <c r="S14" i="16"/>
  <c r="T14" i="16"/>
  <c r="U14" i="16"/>
  <c r="V14" i="16"/>
  <c r="W14" i="16"/>
  <c r="X14" i="16"/>
  <c r="Y14" i="16"/>
  <c r="Z14" i="16"/>
  <c r="R19" i="16"/>
  <c r="R18" i="16"/>
  <c r="R17" i="16"/>
  <c r="R16" i="16"/>
  <c r="R15" i="16"/>
  <c r="R14" i="16"/>
  <c r="V56" i="16"/>
  <c r="S38" i="16"/>
  <c r="Q20" i="16"/>
  <c r="V20" i="16" s="1"/>
  <c r="Q11" i="16"/>
  <c r="S11" i="16" s="1"/>
  <c r="U11" i="16"/>
  <c r="S10" i="16"/>
  <c r="T10" i="16"/>
  <c r="U10" i="16"/>
  <c r="V10" i="16"/>
  <c r="W10" i="16"/>
  <c r="X10" i="16"/>
  <c r="Y10" i="16"/>
  <c r="Z10" i="16"/>
  <c r="S9" i="16"/>
  <c r="T9" i="16"/>
  <c r="U9" i="16"/>
  <c r="V9" i="16"/>
  <c r="W9" i="16"/>
  <c r="X9" i="16"/>
  <c r="Y9" i="16"/>
  <c r="Z9" i="16"/>
  <c r="S8" i="16"/>
  <c r="T8" i="16"/>
  <c r="U8" i="16"/>
  <c r="V8" i="16"/>
  <c r="W8" i="16"/>
  <c r="X8" i="16"/>
  <c r="Y8" i="16"/>
  <c r="Z8" i="16"/>
  <c r="S7" i="16"/>
  <c r="T7" i="16"/>
  <c r="U7" i="16"/>
  <c r="V7" i="16"/>
  <c r="W7" i="16"/>
  <c r="X7" i="16"/>
  <c r="Y7" i="16"/>
  <c r="Z7" i="16"/>
  <c r="S6" i="16"/>
  <c r="T6" i="16"/>
  <c r="U6" i="16"/>
  <c r="V6" i="16"/>
  <c r="W6" i="16"/>
  <c r="X6" i="16"/>
  <c r="Y6" i="16"/>
  <c r="Z6" i="16"/>
  <c r="S5" i="16"/>
  <c r="T5" i="16"/>
  <c r="U5" i="16"/>
  <c r="V5" i="16"/>
  <c r="W5" i="16"/>
  <c r="X5" i="16"/>
  <c r="Y5" i="16"/>
  <c r="Z5" i="16"/>
  <c r="R10" i="16"/>
  <c r="R9" i="16"/>
  <c r="R8" i="16"/>
  <c r="R7" i="16"/>
  <c r="R6" i="16"/>
  <c r="R5" i="16"/>
  <c r="K7" i="17"/>
  <c r="L7" i="17" s="1"/>
  <c r="T7" i="17" s="1"/>
  <c r="P8" i="17" l="1"/>
  <c r="R6" i="17"/>
  <c r="P6" i="17"/>
  <c r="T4" i="17"/>
  <c r="O4" i="17"/>
  <c r="T8" i="17"/>
  <c r="V11" i="16"/>
  <c r="Y20" i="16"/>
  <c r="M4" i="17"/>
  <c r="T6" i="17"/>
  <c r="O6" i="17"/>
  <c r="S4" i="17"/>
  <c r="N4" i="17"/>
  <c r="W56" i="16"/>
  <c r="Q47" i="16"/>
  <c r="R56" i="16"/>
  <c r="U56" i="16"/>
  <c r="Y56" i="16"/>
  <c r="T56" i="16"/>
  <c r="X56" i="16"/>
  <c r="S56" i="16"/>
  <c r="R38" i="16"/>
  <c r="W38" i="16"/>
  <c r="X20" i="16"/>
  <c r="S20" i="16"/>
  <c r="W20" i="16"/>
  <c r="R20" i="16"/>
  <c r="U20" i="16"/>
  <c r="L9" i="17"/>
  <c r="L10" i="17" s="1"/>
  <c r="L19" i="17" s="1"/>
  <c r="R29" i="16"/>
  <c r="T29" i="16"/>
  <c r="Z11" i="16"/>
  <c r="Q7" i="17"/>
  <c r="U7" i="17"/>
  <c r="N7" i="17"/>
  <c r="R7" i="17"/>
  <c r="O7" i="17"/>
  <c r="S7" i="17"/>
  <c r="Q5" i="17"/>
  <c r="U5" i="17"/>
  <c r="N5" i="17"/>
  <c r="R5" i="17"/>
  <c r="M5" i="17"/>
  <c r="O5" i="17"/>
  <c r="S5" i="17"/>
  <c r="P7" i="17"/>
  <c r="P5" i="17"/>
  <c r="U29" i="16"/>
  <c r="Y29" i="16"/>
  <c r="V29" i="16"/>
  <c r="Z29" i="16"/>
  <c r="S29" i="16"/>
  <c r="W29" i="16"/>
  <c r="X29" i="16"/>
  <c r="M7" i="17"/>
  <c r="Z38" i="16"/>
  <c r="V38" i="16"/>
  <c r="M8" i="17"/>
  <c r="S8" i="17"/>
  <c r="O8" i="17"/>
  <c r="Y38" i="16"/>
  <c r="U38" i="16"/>
  <c r="R8" i="17"/>
  <c r="N8" i="17"/>
  <c r="Y11" i="16"/>
  <c r="Z20" i="16"/>
  <c r="X38" i="16"/>
  <c r="T38" i="16"/>
  <c r="Z56" i="16"/>
  <c r="M6" i="17"/>
  <c r="U8" i="17"/>
  <c r="U6" i="17"/>
  <c r="U4" i="17"/>
  <c r="X11" i="16"/>
  <c r="T11" i="16"/>
  <c r="R11" i="16"/>
  <c r="W11" i="16"/>
  <c r="T9" i="17" l="1"/>
  <c r="P9" i="17"/>
  <c r="Q9" i="17"/>
  <c r="R9" i="17"/>
  <c r="O9" i="17"/>
  <c r="O10" i="17" s="1"/>
  <c r="U9" i="17"/>
  <c r="M9" i="17"/>
  <c r="S9" i="17"/>
  <c r="N9" i="17"/>
  <c r="N10" i="17" s="1"/>
  <c r="N13" i="17" s="1"/>
  <c r="C7" i="16"/>
  <c r="F7" i="16"/>
  <c r="G7" i="16"/>
  <c r="Q19" i="17"/>
  <c r="U19" i="17"/>
  <c r="N19" i="17"/>
  <c r="R19" i="17"/>
  <c r="M19" i="17"/>
  <c r="O19" i="17"/>
  <c r="S19" i="17"/>
  <c r="P19" i="17"/>
  <c r="T19" i="17"/>
  <c r="M10" i="17"/>
  <c r="M13" i="17" s="1"/>
  <c r="L23" i="17"/>
  <c r="F6" i="17" s="1"/>
  <c r="L13" i="17"/>
  <c r="M23" i="17" l="1"/>
  <c r="F7" i="17" s="1"/>
  <c r="H15" i="16"/>
  <c r="H11" i="16"/>
  <c r="H7" i="16"/>
  <c r="H16" i="16"/>
  <c r="H8" i="16"/>
  <c r="H12" i="16"/>
  <c r="H13" i="16"/>
  <c r="H9" i="16"/>
  <c r="H14" i="16"/>
  <c r="H10" i="16"/>
  <c r="D7" i="16"/>
  <c r="E7" i="16"/>
  <c r="X45" i="16"/>
  <c r="G14" i="16" s="1"/>
  <c r="U45" i="16"/>
  <c r="G11" i="16" s="1"/>
  <c r="V45" i="16"/>
  <c r="G12" i="16" s="1"/>
  <c r="Z45" i="16"/>
  <c r="G16" i="16" s="1"/>
  <c r="S45" i="16"/>
  <c r="G9" i="16" s="1"/>
  <c r="W45" i="16"/>
  <c r="G13" i="16" s="1"/>
  <c r="T45" i="16"/>
  <c r="G10" i="16" s="1"/>
  <c r="R45" i="16"/>
  <c r="G8" i="16" s="1"/>
  <c r="Y45" i="16"/>
  <c r="G15" i="16" s="1"/>
  <c r="W46" i="16"/>
  <c r="Z46" i="16"/>
  <c r="R46" i="16"/>
  <c r="S46" i="16"/>
  <c r="T46" i="16"/>
  <c r="X46" i="16"/>
  <c r="U46" i="16"/>
  <c r="V46" i="16"/>
  <c r="Y46" i="16"/>
  <c r="T44" i="16"/>
  <c r="F10" i="16" s="1"/>
  <c r="U44" i="16"/>
  <c r="F11" i="16" s="1"/>
  <c r="Y44" i="16"/>
  <c r="F15" i="16" s="1"/>
  <c r="S44" i="16"/>
  <c r="F9" i="16" s="1"/>
  <c r="X44" i="16"/>
  <c r="F14" i="16" s="1"/>
  <c r="R44" i="16"/>
  <c r="F8" i="16" s="1"/>
  <c r="Z44" i="16"/>
  <c r="F16" i="16" s="1"/>
  <c r="W44" i="16"/>
  <c r="F13" i="16" s="1"/>
  <c r="V44" i="16"/>
  <c r="F12" i="16" s="1"/>
  <c r="V42" i="16"/>
  <c r="S42" i="16"/>
  <c r="W42" i="16"/>
  <c r="U42" i="16"/>
  <c r="R42" i="16"/>
  <c r="Y42" i="16"/>
  <c r="T42" i="16"/>
  <c r="Z42" i="16"/>
  <c r="X42" i="16"/>
  <c r="U47" i="16"/>
  <c r="V47" i="16"/>
  <c r="R47" i="16"/>
  <c r="W47" i="16"/>
  <c r="X47" i="16"/>
  <c r="S47" i="16"/>
  <c r="Y47" i="16"/>
  <c r="T47" i="16"/>
  <c r="Z47" i="16"/>
  <c r="W41" i="16"/>
  <c r="C13" i="16" s="1"/>
  <c r="V41" i="16"/>
  <c r="C12" i="16" s="1"/>
  <c r="S41" i="16"/>
  <c r="C9" i="16" s="1"/>
  <c r="T41" i="16"/>
  <c r="C10" i="16" s="1"/>
  <c r="U41" i="16"/>
  <c r="C11" i="16" s="1"/>
  <c r="Z41" i="16"/>
  <c r="C16" i="16" s="1"/>
  <c r="X41" i="16"/>
  <c r="C14" i="16" s="1"/>
  <c r="Y41" i="16"/>
  <c r="C15" i="16" s="1"/>
  <c r="R41" i="16"/>
  <c r="C8" i="16" s="1"/>
  <c r="Z43" i="16"/>
  <c r="U43" i="16"/>
  <c r="Y43" i="16"/>
  <c r="T43" i="16"/>
  <c r="X43" i="16"/>
  <c r="S43" i="16"/>
  <c r="R43" i="16"/>
  <c r="W43" i="16"/>
  <c r="V43" i="16"/>
  <c r="N23" i="17"/>
  <c r="F8" i="17" s="1"/>
  <c r="P10" i="17"/>
  <c r="E6" i="17"/>
  <c r="O23" i="17"/>
  <c r="F9" i="17" s="1"/>
  <c r="O13" i="17"/>
  <c r="F17" i="16" l="1"/>
  <c r="G17" i="16"/>
  <c r="I17" i="16"/>
  <c r="J7" i="16"/>
  <c r="H17" i="16"/>
  <c r="C17" i="16"/>
  <c r="E13" i="16"/>
  <c r="D13" i="16"/>
  <c r="D15" i="16"/>
  <c r="E15" i="16"/>
  <c r="E9" i="16"/>
  <c r="D9" i="16"/>
  <c r="E10" i="16"/>
  <c r="D10" i="16"/>
  <c r="J10" i="16" s="1"/>
  <c r="G7" i="1" s="1"/>
  <c r="E14" i="16"/>
  <c r="D14" i="16"/>
  <c r="E8" i="16"/>
  <c r="D8" i="16"/>
  <c r="J8" i="16" s="1"/>
  <c r="G5" i="1" s="1"/>
  <c r="E12" i="16"/>
  <c r="D12" i="16"/>
  <c r="E16" i="16"/>
  <c r="D16" i="16"/>
  <c r="J16" i="16" s="1"/>
  <c r="G13" i="1" s="1"/>
  <c r="D11" i="16"/>
  <c r="E11" i="16"/>
  <c r="P23" i="17"/>
  <c r="F10" i="17" s="1"/>
  <c r="P13" i="17"/>
  <c r="E7" i="17"/>
  <c r="Q10" i="17"/>
  <c r="G4" i="1" l="1"/>
  <c r="J11" i="16"/>
  <c r="G8" i="1" s="1"/>
  <c r="J12" i="16"/>
  <c r="G9" i="1" s="1"/>
  <c r="J14" i="16"/>
  <c r="G11" i="1" s="1"/>
  <c r="J9" i="16"/>
  <c r="G6" i="1" s="1"/>
  <c r="J13" i="16"/>
  <c r="G10" i="1" s="1"/>
  <c r="J15" i="16"/>
  <c r="G12" i="1" s="1"/>
  <c r="D17" i="16"/>
  <c r="E17" i="16"/>
  <c r="Q23" i="17"/>
  <c r="F11" i="17" s="1"/>
  <c r="Q13" i="17"/>
  <c r="R10" i="17"/>
  <c r="E8" i="17"/>
  <c r="G14" i="1" l="1"/>
  <c r="J17" i="16"/>
  <c r="R23" i="17"/>
  <c r="F12" i="17" s="1"/>
  <c r="R13" i="17"/>
  <c r="E9" i="17"/>
  <c r="S10" i="17"/>
  <c r="U10" i="17" l="1"/>
  <c r="T10" i="17"/>
  <c r="E10" i="17"/>
  <c r="S23" i="17"/>
  <c r="F13" i="17" s="1"/>
  <c r="S13" i="17"/>
  <c r="E11" i="17" l="1"/>
  <c r="T23" i="17"/>
  <c r="F14" i="17" s="1"/>
  <c r="T13" i="17"/>
  <c r="U23" i="17"/>
  <c r="F15" i="17" s="1"/>
  <c r="U13" i="17"/>
  <c r="E13" i="17" l="1"/>
  <c r="E14" i="17" l="1"/>
  <c r="E15" i="17" l="1"/>
  <c r="E12" i="17"/>
  <c r="O10" i="14" l="1"/>
  <c r="Q10" i="14"/>
  <c r="U10" i="14"/>
  <c r="N9" i="14"/>
  <c r="M10" i="14"/>
  <c r="L10" i="14"/>
  <c r="P10" i="14" s="1"/>
  <c r="L9" i="14"/>
  <c r="P9" i="14" s="1"/>
  <c r="S38" i="13"/>
  <c r="T38" i="13"/>
  <c r="U38" i="13"/>
  <c r="V38" i="13"/>
  <c r="W38" i="13"/>
  <c r="X38" i="13"/>
  <c r="Y38" i="13"/>
  <c r="Z38" i="13"/>
  <c r="S37" i="13"/>
  <c r="T37" i="13"/>
  <c r="U37" i="13"/>
  <c r="V37" i="13"/>
  <c r="W37" i="13"/>
  <c r="X37" i="13"/>
  <c r="Y37" i="13"/>
  <c r="Z37" i="13"/>
  <c r="R38" i="13"/>
  <c r="R37" i="13"/>
  <c r="S32" i="13"/>
  <c r="T32" i="13"/>
  <c r="U32" i="13"/>
  <c r="V32" i="13"/>
  <c r="W32" i="13"/>
  <c r="X32" i="13"/>
  <c r="Y32" i="13"/>
  <c r="Z32" i="13"/>
  <c r="R32" i="13"/>
  <c r="Z36" i="13"/>
  <c r="U35" i="13"/>
  <c r="S33" i="13"/>
  <c r="S29" i="13"/>
  <c r="T29" i="13"/>
  <c r="U29" i="13"/>
  <c r="V29" i="13"/>
  <c r="W29" i="13"/>
  <c r="X29" i="13"/>
  <c r="Y29" i="13"/>
  <c r="Z29" i="13"/>
  <c r="S28" i="13"/>
  <c r="T28" i="13"/>
  <c r="U28" i="13"/>
  <c r="V28" i="13"/>
  <c r="W28" i="13"/>
  <c r="X28" i="13"/>
  <c r="Y28" i="13"/>
  <c r="Z28" i="13"/>
  <c r="R29" i="13"/>
  <c r="R28" i="13"/>
  <c r="S17" i="13"/>
  <c r="T17" i="13"/>
  <c r="U17" i="13"/>
  <c r="V17" i="13"/>
  <c r="W17" i="13"/>
  <c r="X17" i="13"/>
  <c r="Y17" i="13"/>
  <c r="Z17" i="13"/>
  <c r="R17" i="13"/>
  <c r="S16" i="13"/>
  <c r="T16" i="13"/>
  <c r="U16" i="13"/>
  <c r="V16" i="13"/>
  <c r="W16" i="13"/>
  <c r="X16" i="13"/>
  <c r="Y16" i="13"/>
  <c r="Z16" i="13"/>
  <c r="R16" i="13"/>
  <c r="S15" i="13"/>
  <c r="T15" i="13"/>
  <c r="U15" i="13"/>
  <c r="V15" i="13"/>
  <c r="W15" i="13"/>
  <c r="X15" i="13"/>
  <c r="Y15" i="13"/>
  <c r="Z15" i="13"/>
  <c r="R15" i="13"/>
  <c r="S14" i="13"/>
  <c r="T14" i="13"/>
  <c r="U14" i="13"/>
  <c r="V14" i="13"/>
  <c r="W14" i="13"/>
  <c r="X14" i="13"/>
  <c r="Y14" i="13"/>
  <c r="Z14" i="13"/>
  <c r="R14" i="13"/>
  <c r="S18" i="13"/>
  <c r="T18" i="13"/>
  <c r="U18" i="13"/>
  <c r="V18" i="13"/>
  <c r="W18" i="13"/>
  <c r="X18" i="13"/>
  <c r="Y18" i="13"/>
  <c r="Z18" i="13"/>
  <c r="R18" i="13"/>
  <c r="S9" i="13"/>
  <c r="T7" i="13"/>
  <c r="V6" i="13"/>
  <c r="S5" i="13"/>
  <c r="I7" i="13"/>
  <c r="K8" i="14"/>
  <c r="Z56" i="13"/>
  <c r="Y56" i="13"/>
  <c r="X56" i="13"/>
  <c r="W56" i="13"/>
  <c r="V56" i="13"/>
  <c r="U56" i="13"/>
  <c r="T56" i="13"/>
  <c r="S56" i="13"/>
  <c r="R56" i="13"/>
  <c r="Z55" i="13"/>
  <c r="Y55" i="13"/>
  <c r="X55" i="13"/>
  <c r="W55" i="13"/>
  <c r="V55" i="13"/>
  <c r="U55" i="13"/>
  <c r="T55" i="13"/>
  <c r="S55" i="13"/>
  <c r="R55" i="13"/>
  <c r="Z53" i="13"/>
  <c r="Z51" i="13"/>
  <c r="Z20" i="13"/>
  <c r="Y20" i="13"/>
  <c r="X20" i="13"/>
  <c r="W20" i="13"/>
  <c r="V20" i="13"/>
  <c r="U20" i="13"/>
  <c r="T20" i="13"/>
  <c r="S20" i="13"/>
  <c r="R20" i="13"/>
  <c r="Z19" i="13"/>
  <c r="Y19" i="13"/>
  <c r="X19" i="13"/>
  <c r="W19" i="13"/>
  <c r="V19" i="13"/>
  <c r="U19" i="13"/>
  <c r="T19" i="13"/>
  <c r="S19" i="13"/>
  <c r="R19" i="13"/>
  <c r="S9" i="14" l="1"/>
  <c r="R9" i="14"/>
  <c r="S10" i="14"/>
  <c r="N10" i="14"/>
  <c r="M9" i="14"/>
  <c r="O9" i="14"/>
  <c r="R10" i="14"/>
  <c r="V33" i="13"/>
  <c r="Z9" i="13"/>
  <c r="Y9" i="13"/>
  <c r="U5" i="13"/>
  <c r="U7" i="13"/>
  <c r="U25" i="13"/>
  <c r="S7" i="13"/>
  <c r="U33" i="13"/>
  <c r="Z5" i="13"/>
  <c r="Y6" i="13"/>
  <c r="Z7" i="13"/>
  <c r="R33" i="13"/>
  <c r="U36" i="13"/>
  <c r="R5" i="13"/>
  <c r="R7" i="13"/>
  <c r="V5" i="13"/>
  <c r="U6" i="13"/>
  <c r="Y7" i="13"/>
  <c r="Z33" i="13"/>
  <c r="Y5" i="13"/>
  <c r="W7" i="13"/>
  <c r="V9" i="13"/>
  <c r="S36" i="13"/>
  <c r="Q45" i="13"/>
  <c r="Y33" i="13"/>
  <c r="Y36" i="13"/>
  <c r="U34" i="13"/>
  <c r="Q43" i="13"/>
  <c r="S43" i="13" s="1"/>
  <c r="V35" i="13"/>
  <c r="Q44" i="13"/>
  <c r="V23" i="13"/>
  <c r="W5" i="13"/>
  <c r="V7" i="13"/>
  <c r="U9" i="13"/>
  <c r="T33" i="13"/>
  <c r="Q42" i="13"/>
  <c r="W33" i="13"/>
  <c r="Y35" i="13"/>
  <c r="V36" i="13"/>
  <c r="Z46" i="13"/>
  <c r="H15" i="13"/>
  <c r="H11" i="13"/>
  <c r="H7" i="13"/>
  <c r="H16" i="13"/>
  <c r="H12" i="13"/>
  <c r="H8" i="13"/>
  <c r="H13" i="13"/>
  <c r="H9" i="13"/>
  <c r="H14" i="13"/>
  <c r="H10" i="13"/>
  <c r="X34" i="13"/>
  <c r="T34" i="13"/>
  <c r="X6" i="13"/>
  <c r="T6" i="13"/>
  <c r="V8" i="13"/>
  <c r="Z8" i="13"/>
  <c r="T8" i="13"/>
  <c r="X8" i="13"/>
  <c r="S8" i="13"/>
  <c r="W8" i="13"/>
  <c r="R8" i="13"/>
  <c r="U8" i="13"/>
  <c r="Y8" i="13"/>
  <c r="R34" i="13"/>
  <c r="W34" i="13"/>
  <c r="S34" i="13"/>
  <c r="X35" i="13"/>
  <c r="T35" i="13"/>
  <c r="U26" i="13"/>
  <c r="R6" i="13"/>
  <c r="W6" i="13"/>
  <c r="S6" i="13"/>
  <c r="X9" i="13"/>
  <c r="T9" i="13"/>
  <c r="Z34" i="13"/>
  <c r="V34" i="13"/>
  <c r="R35" i="13"/>
  <c r="W35" i="13"/>
  <c r="S35" i="13"/>
  <c r="X36" i="13"/>
  <c r="T36" i="13"/>
  <c r="U9" i="14"/>
  <c r="Q9" i="14"/>
  <c r="T27" i="13"/>
  <c r="X5" i="13"/>
  <c r="T5" i="13"/>
  <c r="Z6" i="13"/>
  <c r="X7" i="13"/>
  <c r="R9" i="13"/>
  <c r="W9" i="13"/>
  <c r="X33" i="13"/>
  <c r="Y34" i="13"/>
  <c r="Z35" i="13"/>
  <c r="R36" i="13"/>
  <c r="W36" i="13"/>
  <c r="T9" i="14"/>
  <c r="T10" i="14"/>
  <c r="R25" i="13"/>
  <c r="W46" i="13"/>
  <c r="X46" i="13"/>
  <c r="S46" i="13"/>
  <c r="Y47" i="13"/>
  <c r="I15" i="13" s="1"/>
  <c r="U46" i="13"/>
  <c r="R47" i="13"/>
  <c r="I8" i="13" s="1"/>
  <c r="V47" i="13"/>
  <c r="I12" i="13" s="1"/>
  <c r="T46" i="13"/>
  <c r="Y46" i="13"/>
  <c r="W47" i="13"/>
  <c r="I13" i="13" s="1"/>
  <c r="S47" i="13"/>
  <c r="I9" i="13" s="1"/>
  <c r="X47" i="13"/>
  <c r="I14" i="13" s="1"/>
  <c r="R46" i="13"/>
  <c r="V46" i="13"/>
  <c r="T47" i="13"/>
  <c r="I10" i="13" s="1"/>
  <c r="Z47" i="13"/>
  <c r="I16" i="13" s="1"/>
  <c r="S51" i="13"/>
  <c r="S53" i="13"/>
  <c r="U50" i="13"/>
  <c r="T51" i="13"/>
  <c r="U52" i="13"/>
  <c r="T53" i="13"/>
  <c r="U54" i="13"/>
  <c r="Y50" i="13"/>
  <c r="W51" i="13"/>
  <c r="Y52" i="13"/>
  <c r="W53" i="13"/>
  <c r="Y54" i="13"/>
  <c r="X51" i="13"/>
  <c r="X53" i="13"/>
  <c r="X50" i="13"/>
  <c r="T50" i="13"/>
  <c r="W50" i="13"/>
  <c r="S50" i="13"/>
  <c r="Z50" i="13"/>
  <c r="V50" i="13"/>
  <c r="R50" i="13"/>
  <c r="X52" i="13"/>
  <c r="T52" i="13"/>
  <c r="W52" i="13"/>
  <c r="S52" i="13"/>
  <c r="Z52" i="13"/>
  <c r="V52" i="13"/>
  <c r="R52" i="13"/>
  <c r="X54" i="13"/>
  <c r="T54" i="13"/>
  <c r="W54" i="13"/>
  <c r="S54" i="13"/>
  <c r="Z54" i="13"/>
  <c r="V54" i="13"/>
  <c r="R54" i="13"/>
  <c r="U51" i="13"/>
  <c r="Y51" i="13"/>
  <c r="U53" i="13"/>
  <c r="Y53" i="13"/>
  <c r="U47" i="13"/>
  <c r="I11" i="13" s="1"/>
  <c r="R51" i="13"/>
  <c r="V51" i="13"/>
  <c r="R53" i="13"/>
  <c r="V53" i="13"/>
  <c r="V27" i="13" l="1"/>
  <c r="W26" i="13"/>
  <c r="U27" i="13"/>
  <c r="L6" i="14"/>
  <c r="S6" i="14" s="1"/>
  <c r="S26" i="13"/>
  <c r="W25" i="13"/>
  <c r="S25" i="13"/>
  <c r="Y26" i="13"/>
  <c r="R26" i="13"/>
  <c r="T25" i="13"/>
  <c r="X25" i="13"/>
  <c r="Y25" i="13"/>
  <c r="L7" i="14"/>
  <c r="P7" i="14" s="1"/>
  <c r="V26" i="13"/>
  <c r="X26" i="13"/>
  <c r="Z25" i="13"/>
  <c r="V25" i="13"/>
  <c r="Y27" i="13"/>
  <c r="W43" i="13"/>
  <c r="L4" i="14"/>
  <c r="N4" i="14" s="1"/>
  <c r="S27" i="13"/>
  <c r="L8" i="14"/>
  <c r="U8" i="14" s="1"/>
  <c r="V43" i="13"/>
  <c r="Z27" i="13"/>
  <c r="S23" i="13"/>
  <c r="X27" i="13"/>
  <c r="W27" i="13"/>
  <c r="R27" i="13"/>
  <c r="U23" i="13"/>
  <c r="W23" i="13"/>
  <c r="T23" i="13"/>
  <c r="R43" i="13"/>
  <c r="X23" i="13"/>
  <c r="Y23" i="13"/>
  <c r="R23" i="13"/>
  <c r="Y43" i="13"/>
  <c r="T43" i="13"/>
  <c r="Z23" i="13"/>
  <c r="I17" i="13"/>
  <c r="H17" i="13"/>
  <c r="U41" i="13"/>
  <c r="U43" i="13"/>
  <c r="Z43" i="13"/>
  <c r="X43" i="13"/>
  <c r="Z26" i="13"/>
  <c r="T26" i="13"/>
  <c r="T24" i="13"/>
  <c r="X24" i="13"/>
  <c r="U24" i="13"/>
  <c r="Y24" i="13"/>
  <c r="V24" i="13"/>
  <c r="Z24" i="13"/>
  <c r="S24" i="13"/>
  <c r="W24" i="13"/>
  <c r="R24" i="13"/>
  <c r="L5" i="14"/>
  <c r="P5" i="14" s="1"/>
  <c r="W41" i="13"/>
  <c r="V41" i="13"/>
  <c r="X41" i="13"/>
  <c r="Z41" i="13"/>
  <c r="R41" i="13"/>
  <c r="T41" i="13"/>
  <c r="Y41" i="13"/>
  <c r="S41" i="13"/>
  <c r="Z42" i="13"/>
  <c r="V42" i="13"/>
  <c r="R42" i="13"/>
  <c r="Y42" i="13"/>
  <c r="U42" i="13"/>
  <c r="T42" i="13"/>
  <c r="X42" i="13"/>
  <c r="W42" i="13"/>
  <c r="S42" i="13"/>
  <c r="Z44" i="13"/>
  <c r="V44" i="13"/>
  <c r="R44" i="13"/>
  <c r="Y44" i="13"/>
  <c r="U44" i="13"/>
  <c r="X44" i="13"/>
  <c r="S44" i="13"/>
  <c r="W44" i="13"/>
  <c r="T44" i="13"/>
  <c r="X45" i="13"/>
  <c r="T45" i="13"/>
  <c r="W45" i="13"/>
  <c r="S45" i="13"/>
  <c r="V45" i="13"/>
  <c r="R45" i="13"/>
  <c r="U45" i="13"/>
  <c r="Z45" i="13"/>
  <c r="Y45" i="13"/>
  <c r="T4" i="14" l="1"/>
  <c r="Q7" i="14"/>
  <c r="T7" i="14"/>
  <c r="R7" i="14"/>
  <c r="S7" i="14"/>
  <c r="N7" i="14"/>
  <c r="O6" i="14"/>
  <c r="U4" i="14"/>
  <c r="M6" i="14"/>
  <c r="Q6" i="14"/>
  <c r="T6" i="14"/>
  <c r="N6" i="14"/>
  <c r="P6" i="14"/>
  <c r="R6" i="14"/>
  <c r="U6" i="14"/>
  <c r="S8" i="14"/>
  <c r="U7" i="14"/>
  <c r="O7" i="14"/>
  <c r="R4" i="14"/>
  <c r="T8" i="14"/>
  <c r="M8" i="14"/>
  <c r="N8" i="14"/>
  <c r="R8" i="14"/>
  <c r="M7" i="14"/>
  <c r="Q4" i="14"/>
  <c r="Q8" i="14"/>
  <c r="S5" i="14"/>
  <c r="M5" i="14"/>
  <c r="P4" i="14"/>
  <c r="O4" i="14"/>
  <c r="S4" i="14"/>
  <c r="M4" i="14"/>
  <c r="O8" i="14"/>
  <c r="P8" i="14"/>
  <c r="R5" i="14"/>
  <c r="U5" i="14"/>
  <c r="J7" i="13"/>
  <c r="O5" i="14"/>
  <c r="N5" i="14"/>
  <c r="Q5" i="14"/>
  <c r="L11" i="14"/>
  <c r="T5" i="14"/>
  <c r="F4" i="1" l="1"/>
  <c r="N11" i="14"/>
  <c r="N24" i="14" s="1"/>
  <c r="F9" i="14" s="1"/>
  <c r="U11" i="14"/>
  <c r="T11" i="14"/>
  <c r="C17" i="13"/>
  <c r="S11" i="14"/>
  <c r="P11" i="14"/>
  <c r="G17" i="13"/>
  <c r="Q11" i="14"/>
  <c r="R11" i="14"/>
  <c r="M11" i="14"/>
  <c r="M24" i="14" s="1"/>
  <c r="F8" i="14" s="1"/>
  <c r="F17" i="13"/>
  <c r="O11" i="14"/>
  <c r="O24" i="14" s="1"/>
  <c r="F10" i="14" s="1"/>
  <c r="J16" i="13"/>
  <c r="F13" i="1" s="1"/>
  <c r="J9" i="13"/>
  <c r="F6" i="1" s="1"/>
  <c r="J12" i="13"/>
  <c r="F9" i="1" s="1"/>
  <c r="J14" i="13"/>
  <c r="F11" i="1" s="1"/>
  <c r="J11" i="13"/>
  <c r="F8" i="1" s="1"/>
  <c r="J13" i="13"/>
  <c r="F10" i="1" s="1"/>
  <c r="J15" i="13"/>
  <c r="F12" i="1" s="1"/>
  <c r="E17" i="13"/>
  <c r="J10" i="13"/>
  <c r="F7" i="1" s="1"/>
  <c r="D17" i="13"/>
  <c r="F5" i="1"/>
  <c r="F7" i="14"/>
  <c r="L14" i="14"/>
  <c r="J17" i="13" l="1"/>
  <c r="F14" i="1"/>
  <c r="N14" i="14"/>
  <c r="M14" i="14"/>
  <c r="O14" i="14"/>
  <c r="E7" i="14"/>
  <c r="M20" i="14"/>
  <c r="P24" i="14"/>
  <c r="F11" i="14" s="1"/>
  <c r="P14" i="14"/>
  <c r="N20" i="14" l="1"/>
  <c r="E8" i="14"/>
  <c r="Q24" i="14"/>
  <c r="F12" i="14" s="1"/>
  <c r="Q14" i="14"/>
  <c r="O20" i="14" l="1"/>
  <c r="E9" i="14"/>
  <c r="R14" i="14"/>
  <c r="R24" i="14"/>
  <c r="F13" i="14" s="1"/>
  <c r="E10" i="14" l="1"/>
  <c r="P20" i="14"/>
  <c r="S24" i="14"/>
  <c r="F14" i="14" s="1"/>
  <c r="S14" i="14"/>
  <c r="Q20" i="14" l="1"/>
  <c r="E11" i="14"/>
  <c r="T24" i="14"/>
  <c r="F15" i="14" s="1"/>
  <c r="T14" i="14"/>
  <c r="U24" i="14"/>
  <c r="F16" i="14" s="1"/>
  <c r="U14" i="14"/>
  <c r="R20" i="14" l="1"/>
  <c r="E12" i="14"/>
  <c r="E14" i="14" l="1"/>
  <c r="S20" i="14"/>
  <c r="T20" i="14" l="1"/>
  <c r="E15" i="14"/>
  <c r="U56" i="10"/>
  <c r="Q20" i="10"/>
  <c r="U20" i="10" s="1"/>
  <c r="Q11" i="10"/>
  <c r="S11" i="10" s="1"/>
  <c r="K7" i="11"/>
  <c r="Z55" i="10"/>
  <c r="Y55" i="10"/>
  <c r="X55" i="10"/>
  <c r="W55" i="10"/>
  <c r="V55" i="10"/>
  <c r="U55" i="10"/>
  <c r="T55" i="10"/>
  <c r="S55" i="10"/>
  <c r="R55" i="10"/>
  <c r="Z54" i="10"/>
  <c r="Y54" i="10"/>
  <c r="X54" i="10"/>
  <c r="W54" i="10"/>
  <c r="V54" i="10"/>
  <c r="U54" i="10"/>
  <c r="T54" i="10"/>
  <c r="S54" i="10"/>
  <c r="R54" i="10"/>
  <c r="Z53" i="10"/>
  <c r="Y53" i="10"/>
  <c r="X53" i="10"/>
  <c r="W53" i="10"/>
  <c r="V53" i="10"/>
  <c r="U53" i="10"/>
  <c r="T53" i="10"/>
  <c r="S53" i="10"/>
  <c r="R53" i="10"/>
  <c r="Z52" i="10"/>
  <c r="Y52" i="10"/>
  <c r="X52" i="10"/>
  <c r="W52" i="10"/>
  <c r="V52" i="10"/>
  <c r="U52" i="10"/>
  <c r="T52" i="10"/>
  <c r="S52" i="10"/>
  <c r="R52" i="10"/>
  <c r="Z51" i="10"/>
  <c r="Y51" i="10"/>
  <c r="X51" i="10"/>
  <c r="W51" i="10"/>
  <c r="V51" i="10"/>
  <c r="U51" i="10"/>
  <c r="T51" i="10"/>
  <c r="S51" i="10"/>
  <c r="R51" i="10"/>
  <c r="Z50" i="10"/>
  <c r="Y50" i="10"/>
  <c r="X50" i="10"/>
  <c r="W50" i="10"/>
  <c r="V50" i="10"/>
  <c r="U50" i="10"/>
  <c r="T50" i="10"/>
  <c r="S50" i="10"/>
  <c r="R50" i="10"/>
  <c r="Z46" i="10"/>
  <c r="Y46" i="10"/>
  <c r="X46" i="10"/>
  <c r="W46" i="10"/>
  <c r="V46" i="10"/>
  <c r="U46" i="10"/>
  <c r="T46" i="10"/>
  <c r="S46" i="10"/>
  <c r="R46" i="10"/>
  <c r="Z45" i="10"/>
  <c r="Y45" i="10"/>
  <c r="X45" i="10"/>
  <c r="W45" i="10"/>
  <c r="V45" i="10"/>
  <c r="U45" i="10"/>
  <c r="T45" i="10"/>
  <c r="S45" i="10"/>
  <c r="R45" i="10"/>
  <c r="Z44" i="10"/>
  <c r="Y44" i="10"/>
  <c r="X44" i="10"/>
  <c r="W44" i="10"/>
  <c r="V44" i="10"/>
  <c r="U44" i="10"/>
  <c r="T44" i="10"/>
  <c r="S44" i="10"/>
  <c r="R44" i="10"/>
  <c r="Z43" i="10"/>
  <c r="Y43" i="10"/>
  <c r="X43" i="10"/>
  <c r="W43" i="10"/>
  <c r="V43" i="10"/>
  <c r="U43" i="10"/>
  <c r="T43" i="10"/>
  <c r="S43" i="10"/>
  <c r="R43" i="10"/>
  <c r="Z42" i="10"/>
  <c r="Y42" i="10"/>
  <c r="X42" i="10"/>
  <c r="W42" i="10"/>
  <c r="V42" i="10"/>
  <c r="U42" i="10"/>
  <c r="T42" i="10"/>
  <c r="S42" i="10"/>
  <c r="R42" i="10"/>
  <c r="Z41" i="10"/>
  <c r="Y41" i="10"/>
  <c r="X41" i="10"/>
  <c r="W41" i="10"/>
  <c r="V41" i="10"/>
  <c r="U41" i="10"/>
  <c r="T41" i="10"/>
  <c r="S41" i="10"/>
  <c r="R41" i="10"/>
  <c r="Z37" i="10"/>
  <c r="Y37" i="10"/>
  <c r="X37" i="10"/>
  <c r="W37" i="10"/>
  <c r="V37" i="10"/>
  <c r="U37" i="10"/>
  <c r="T37" i="10"/>
  <c r="S37" i="10"/>
  <c r="R37" i="10"/>
  <c r="Z36" i="10"/>
  <c r="Y36" i="10"/>
  <c r="X36" i="10"/>
  <c r="W36" i="10"/>
  <c r="V36" i="10"/>
  <c r="U36" i="10"/>
  <c r="T36" i="10"/>
  <c r="S36" i="10"/>
  <c r="R36" i="10"/>
  <c r="Z35" i="10"/>
  <c r="Y35" i="10"/>
  <c r="X35" i="10"/>
  <c r="W35" i="10"/>
  <c r="V35" i="10"/>
  <c r="U35" i="10"/>
  <c r="T35" i="10"/>
  <c r="S35" i="10"/>
  <c r="R35" i="10"/>
  <c r="Z34" i="10"/>
  <c r="Y34" i="10"/>
  <c r="X34" i="10"/>
  <c r="W34" i="10"/>
  <c r="V34" i="10"/>
  <c r="U34" i="10"/>
  <c r="T34" i="10"/>
  <c r="S34" i="10"/>
  <c r="R34" i="10"/>
  <c r="Z33" i="10"/>
  <c r="Y33" i="10"/>
  <c r="X33" i="10"/>
  <c r="W33" i="10"/>
  <c r="V33" i="10"/>
  <c r="U33" i="10"/>
  <c r="T33" i="10"/>
  <c r="S33" i="10"/>
  <c r="R33" i="10"/>
  <c r="Z32" i="10"/>
  <c r="Y32" i="10"/>
  <c r="X32" i="10"/>
  <c r="W32" i="10"/>
  <c r="V32" i="10"/>
  <c r="U32" i="10"/>
  <c r="T32" i="10"/>
  <c r="S32" i="10"/>
  <c r="R32" i="10"/>
  <c r="Z28" i="10"/>
  <c r="Y28" i="10"/>
  <c r="X28" i="10"/>
  <c r="W28" i="10"/>
  <c r="V28" i="10"/>
  <c r="U28" i="10"/>
  <c r="T28" i="10"/>
  <c r="S28" i="10"/>
  <c r="R28" i="10"/>
  <c r="Z27" i="10"/>
  <c r="G16" i="10" s="1"/>
  <c r="Y27" i="10"/>
  <c r="G15" i="10" s="1"/>
  <c r="X27" i="10"/>
  <c r="G14" i="10" s="1"/>
  <c r="W27" i="10"/>
  <c r="G13" i="10" s="1"/>
  <c r="V27" i="10"/>
  <c r="G12" i="10" s="1"/>
  <c r="U27" i="10"/>
  <c r="G11" i="10" s="1"/>
  <c r="T27" i="10"/>
  <c r="G10" i="10" s="1"/>
  <c r="S27" i="10"/>
  <c r="G9" i="10" s="1"/>
  <c r="R27" i="10"/>
  <c r="G8" i="10" s="1"/>
  <c r="Z26" i="10"/>
  <c r="F16" i="10" s="1"/>
  <c r="Y26" i="10"/>
  <c r="F15" i="10" s="1"/>
  <c r="X26" i="10"/>
  <c r="F14" i="10" s="1"/>
  <c r="W26" i="10"/>
  <c r="F13" i="10" s="1"/>
  <c r="V26" i="10"/>
  <c r="F12" i="10" s="1"/>
  <c r="U26" i="10"/>
  <c r="F11" i="10" s="1"/>
  <c r="T26" i="10"/>
  <c r="F10" i="10" s="1"/>
  <c r="S26" i="10"/>
  <c r="F9" i="10" s="1"/>
  <c r="R26" i="10"/>
  <c r="F8" i="10" s="1"/>
  <c r="Z25" i="10"/>
  <c r="Y25" i="10"/>
  <c r="X25" i="10"/>
  <c r="W25" i="10"/>
  <c r="V25" i="10"/>
  <c r="U25" i="10"/>
  <c r="T25" i="10"/>
  <c r="S25" i="10"/>
  <c r="R25" i="10"/>
  <c r="Z24" i="10"/>
  <c r="Y24" i="10"/>
  <c r="X24" i="10"/>
  <c r="W24" i="10"/>
  <c r="V24" i="10"/>
  <c r="U24" i="10"/>
  <c r="T24" i="10"/>
  <c r="S24" i="10"/>
  <c r="R24" i="10"/>
  <c r="Z23" i="10"/>
  <c r="C16" i="10" s="1"/>
  <c r="Y23" i="10"/>
  <c r="C15" i="10" s="1"/>
  <c r="X23" i="10"/>
  <c r="C14" i="10" s="1"/>
  <c r="W23" i="10"/>
  <c r="C13" i="10" s="1"/>
  <c r="V23" i="10"/>
  <c r="C12" i="10" s="1"/>
  <c r="U23" i="10"/>
  <c r="C11" i="10" s="1"/>
  <c r="T23" i="10"/>
  <c r="C10" i="10" s="1"/>
  <c r="S23" i="10"/>
  <c r="C9" i="10" s="1"/>
  <c r="R23" i="10"/>
  <c r="C8" i="10" s="1"/>
  <c r="Z19" i="10"/>
  <c r="Y19" i="10"/>
  <c r="X19" i="10"/>
  <c r="W19" i="10"/>
  <c r="V19" i="10"/>
  <c r="U19" i="10"/>
  <c r="T19" i="10"/>
  <c r="S19" i="10"/>
  <c r="R19" i="10"/>
  <c r="Z18" i="10"/>
  <c r="Y18" i="10"/>
  <c r="X18" i="10"/>
  <c r="W18" i="10"/>
  <c r="V18" i="10"/>
  <c r="U18" i="10"/>
  <c r="T18" i="10"/>
  <c r="S18" i="10"/>
  <c r="R18" i="10"/>
  <c r="Z17" i="10"/>
  <c r="Y17" i="10"/>
  <c r="X17" i="10"/>
  <c r="W17" i="10"/>
  <c r="V17" i="10"/>
  <c r="U17" i="10"/>
  <c r="T17" i="10"/>
  <c r="S17" i="10"/>
  <c r="R17" i="10"/>
  <c r="Z16" i="10"/>
  <c r="Y16" i="10"/>
  <c r="X16" i="10"/>
  <c r="W16" i="10"/>
  <c r="V16" i="10"/>
  <c r="U16" i="10"/>
  <c r="T16" i="10"/>
  <c r="S16" i="10"/>
  <c r="R16" i="10"/>
  <c r="Z15" i="10"/>
  <c r="Y15" i="10"/>
  <c r="X15" i="10"/>
  <c r="W15" i="10"/>
  <c r="V15" i="10"/>
  <c r="U15" i="10"/>
  <c r="T15" i="10"/>
  <c r="S15" i="10"/>
  <c r="R15" i="10"/>
  <c r="Z14" i="10"/>
  <c r="Y14" i="10"/>
  <c r="X14" i="10"/>
  <c r="W14" i="10"/>
  <c r="V14" i="10"/>
  <c r="U14" i="10"/>
  <c r="T14" i="10"/>
  <c r="S14" i="10"/>
  <c r="R14" i="10"/>
  <c r="Z10" i="10"/>
  <c r="Y10" i="10"/>
  <c r="X10" i="10"/>
  <c r="W10" i="10"/>
  <c r="V10" i="10"/>
  <c r="U10" i="10"/>
  <c r="T10" i="10"/>
  <c r="S10" i="10"/>
  <c r="R10" i="10"/>
  <c r="Z9" i="10"/>
  <c r="Y9" i="10"/>
  <c r="X9" i="10"/>
  <c r="W9" i="10"/>
  <c r="V9" i="10"/>
  <c r="U9" i="10"/>
  <c r="T9" i="10"/>
  <c r="S9" i="10"/>
  <c r="R9" i="10"/>
  <c r="Z8" i="10"/>
  <c r="Y8" i="10"/>
  <c r="X8" i="10"/>
  <c r="W8" i="10"/>
  <c r="V8" i="10"/>
  <c r="U8" i="10"/>
  <c r="T8" i="10"/>
  <c r="S8" i="10"/>
  <c r="R8" i="10"/>
  <c r="Z7" i="10"/>
  <c r="Y7" i="10"/>
  <c r="X7" i="10"/>
  <c r="W7" i="10"/>
  <c r="V7" i="10"/>
  <c r="U7" i="10"/>
  <c r="T7" i="10"/>
  <c r="S7" i="10"/>
  <c r="R7" i="10"/>
  <c r="Z6" i="10"/>
  <c r="Y6" i="10"/>
  <c r="X6" i="10"/>
  <c r="W6" i="10"/>
  <c r="V6" i="10"/>
  <c r="U6" i="10"/>
  <c r="T6" i="10"/>
  <c r="S6" i="10"/>
  <c r="R6" i="10"/>
  <c r="Z5" i="10"/>
  <c r="Y5" i="10"/>
  <c r="X5" i="10"/>
  <c r="W5" i="10"/>
  <c r="V5" i="10"/>
  <c r="U5" i="10"/>
  <c r="T5" i="10"/>
  <c r="S5" i="10"/>
  <c r="R5" i="10"/>
  <c r="D10" i="10" l="1"/>
  <c r="E10" i="10"/>
  <c r="D14" i="10"/>
  <c r="E14" i="10"/>
  <c r="F17" i="10"/>
  <c r="E13" i="10"/>
  <c r="D13" i="10"/>
  <c r="C17" i="10"/>
  <c r="E11" i="10"/>
  <c r="D11" i="10"/>
  <c r="E15" i="10"/>
  <c r="D15" i="10"/>
  <c r="G17" i="10"/>
  <c r="E9" i="10"/>
  <c r="D9" i="10"/>
  <c r="D8" i="10"/>
  <c r="E8" i="10"/>
  <c r="D12" i="10"/>
  <c r="E12" i="10"/>
  <c r="D16" i="10"/>
  <c r="E16" i="10"/>
  <c r="Q47" i="10"/>
  <c r="V11" i="10"/>
  <c r="U11" i="10"/>
  <c r="Z11" i="10"/>
  <c r="Y11" i="10"/>
  <c r="U38" i="10"/>
  <c r="E16" i="14"/>
  <c r="E13" i="14"/>
  <c r="U20" i="14"/>
  <c r="L9" i="11"/>
  <c r="L10" i="11" s="1"/>
  <c r="S29" i="10"/>
  <c r="W29" i="10"/>
  <c r="R29" i="10"/>
  <c r="U29" i="10"/>
  <c r="Y29" i="10"/>
  <c r="V29" i="10"/>
  <c r="Z29" i="10"/>
  <c r="T29" i="10"/>
  <c r="X29" i="10"/>
  <c r="T20" i="10"/>
  <c r="T38" i="10"/>
  <c r="T56" i="10"/>
  <c r="R20" i="10"/>
  <c r="S20" i="10"/>
  <c r="R38" i="10"/>
  <c r="S38" i="10"/>
  <c r="W56" i="10"/>
  <c r="X11" i="10"/>
  <c r="T11" i="10"/>
  <c r="Z20" i="10"/>
  <c r="V20" i="10"/>
  <c r="Z38" i="10"/>
  <c r="V38" i="10"/>
  <c r="Z56" i="10"/>
  <c r="V56" i="10"/>
  <c r="X20" i="10"/>
  <c r="X38" i="10"/>
  <c r="X56" i="10"/>
  <c r="W20" i="10"/>
  <c r="W38" i="10"/>
  <c r="R56" i="10"/>
  <c r="S56" i="10"/>
  <c r="R11" i="10"/>
  <c r="W11" i="10"/>
  <c r="Y20" i="10"/>
  <c r="Y38" i="10"/>
  <c r="Y56" i="10"/>
  <c r="D17" i="10" l="1"/>
  <c r="E17" i="10"/>
  <c r="J7" i="10"/>
  <c r="E4" i="1" s="1"/>
  <c r="R47" i="10"/>
  <c r="J8" i="10" s="1"/>
  <c r="E5" i="1" s="1"/>
  <c r="T47" i="10"/>
  <c r="J10" i="10" s="1"/>
  <c r="E7" i="1" s="1"/>
  <c r="X47" i="10"/>
  <c r="J14" i="10" s="1"/>
  <c r="E11" i="1" s="1"/>
  <c r="W47" i="10"/>
  <c r="J13" i="10" s="1"/>
  <c r="E10" i="1" s="1"/>
  <c r="U47" i="10"/>
  <c r="J11" i="10" s="1"/>
  <c r="E8" i="1" s="1"/>
  <c r="L23" i="11"/>
  <c r="F6" i="11" s="1"/>
  <c r="L19" i="11"/>
  <c r="M19" i="11" s="1"/>
  <c r="S47" i="10"/>
  <c r="J9" i="10" s="1"/>
  <c r="E6" i="1" s="1"/>
  <c r="Z47" i="10"/>
  <c r="J16" i="10" s="1"/>
  <c r="E13" i="1" s="1"/>
  <c r="Y47" i="10"/>
  <c r="J15" i="10" s="1"/>
  <c r="E12" i="1" s="1"/>
  <c r="V47" i="10"/>
  <c r="J12" i="10" s="1"/>
  <c r="E9" i="1" s="1"/>
  <c r="O9" i="11"/>
  <c r="S9" i="11"/>
  <c r="U9" i="11"/>
  <c r="N9" i="11"/>
  <c r="N10" i="11" s="1"/>
  <c r="M9" i="11"/>
  <c r="M10" i="11" s="1"/>
  <c r="M13" i="11" s="1"/>
  <c r="P9" i="11"/>
  <c r="T9" i="11"/>
  <c r="Q9" i="11"/>
  <c r="R9" i="11"/>
  <c r="L13" i="11"/>
  <c r="E14" i="1" l="1"/>
  <c r="M23" i="11"/>
  <c r="F7" i="11" s="1"/>
  <c r="E6" i="11"/>
  <c r="I17" i="10"/>
  <c r="O10" i="11"/>
  <c r="N23" i="11"/>
  <c r="F8" i="11" s="1"/>
  <c r="N13" i="11"/>
  <c r="N19" i="11"/>
  <c r="E7" i="11"/>
  <c r="P10" i="11" l="1"/>
  <c r="O19" i="11"/>
  <c r="E8" i="11"/>
  <c r="O13" i="11"/>
  <c r="O23" i="11"/>
  <c r="F9" i="11" s="1"/>
  <c r="E9" i="11" l="1"/>
  <c r="P19" i="11"/>
  <c r="P23" i="11"/>
  <c r="F10" i="11" s="1"/>
  <c r="P13" i="11"/>
  <c r="Q10" i="11"/>
  <c r="R10" i="11" l="1"/>
  <c r="Q23" i="11"/>
  <c r="F11" i="11" s="1"/>
  <c r="Q13" i="11"/>
  <c r="E10" i="11"/>
  <c r="Q19" i="11"/>
  <c r="S10" i="11" l="1"/>
  <c r="E11" i="11"/>
  <c r="R19" i="11"/>
  <c r="R23" i="11"/>
  <c r="F12" i="11" s="1"/>
  <c r="R13" i="11"/>
  <c r="S19" i="11" l="1"/>
  <c r="E13" i="11"/>
  <c r="U10" i="11"/>
  <c r="T10" i="11"/>
  <c r="S13" i="11"/>
  <c r="S23" i="11"/>
  <c r="F13" i="11" s="1"/>
  <c r="U23" i="11" l="1"/>
  <c r="F15" i="11" s="1"/>
  <c r="U13" i="11"/>
  <c r="T23" i="11"/>
  <c r="F14" i="11" s="1"/>
  <c r="T13" i="11"/>
  <c r="T19" i="11"/>
  <c r="E14" i="11"/>
  <c r="E15" i="11" l="1"/>
  <c r="E12" i="11"/>
  <c r="U19" i="11"/>
  <c r="L6" i="8" l="1"/>
  <c r="M6" i="8" s="1"/>
  <c r="N6" i="8" s="1"/>
  <c r="O6" i="8" s="1"/>
  <c r="P6" i="8" s="1"/>
  <c r="Q6" i="8" s="1"/>
  <c r="R6" i="8" s="1"/>
  <c r="S6" i="8" s="1"/>
  <c r="T6" i="8" s="1"/>
  <c r="U6" i="8" s="1"/>
  <c r="L5" i="8"/>
  <c r="M5" i="8" s="1"/>
  <c r="N5" i="8" s="1"/>
  <c r="O5" i="8" s="1"/>
  <c r="P5" i="8" s="1"/>
  <c r="Q5" i="8" s="1"/>
  <c r="R5" i="8" s="1"/>
  <c r="S5" i="8" s="1"/>
  <c r="T5" i="8" s="1"/>
  <c r="U5" i="8" s="1"/>
  <c r="L4" i="8"/>
  <c r="M4" i="8" s="1"/>
  <c r="N4" i="8" s="1"/>
  <c r="V56" i="7"/>
  <c r="U55" i="7"/>
  <c r="Q20" i="7"/>
  <c r="V20" i="7" s="1"/>
  <c r="Q19" i="7"/>
  <c r="U19" i="7" s="1"/>
  <c r="Q11" i="7"/>
  <c r="S11" i="7" s="1"/>
  <c r="Q10" i="7"/>
  <c r="S10" i="7" s="1"/>
  <c r="S29" i="7"/>
  <c r="V28" i="7"/>
  <c r="K7" i="8"/>
  <c r="L7" i="8" s="1"/>
  <c r="Z54" i="7"/>
  <c r="Y54" i="7"/>
  <c r="X54" i="7"/>
  <c r="W54" i="7"/>
  <c r="V54" i="7"/>
  <c r="U54" i="7"/>
  <c r="T54" i="7"/>
  <c r="S54" i="7"/>
  <c r="R54" i="7"/>
  <c r="Z53" i="7"/>
  <c r="Y53" i="7"/>
  <c r="X53" i="7"/>
  <c r="W53" i="7"/>
  <c r="V53" i="7"/>
  <c r="U53" i="7"/>
  <c r="T53" i="7"/>
  <c r="S53" i="7"/>
  <c r="R53" i="7"/>
  <c r="Z52" i="7"/>
  <c r="Y52" i="7"/>
  <c r="X52" i="7"/>
  <c r="W52" i="7"/>
  <c r="V52" i="7"/>
  <c r="U52" i="7"/>
  <c r="T52" i="7"/>
  <c r="S52" i="7"/>
  <c r="R52" i="7"/>
  <c r="Z51" i="7"/>
  <c r="Y51" i="7"/>
  <c r="X51" i="7"/>
  <c r="W51" i="7"/>
  <c r="V51" i="7"/>
  <c r="U51" i="7"/>
  <c r="T51" i="7"/>
  <c r="S51" i="7"/>
  <c r="R51" i="7"/>
  <c r="Z50" i="7"/>
  <c r="Y50" i="7"/>
  <c r="X50" i="7"/>
  <c r="W50" i="7"/>
  <c r="V50" i="7"/>
  <c r="U50" i="7"/>
  <c r="T50" i="7"/>
  <c r="S50" i="7"/>
  <c r="R50" i="7"/>
  <c r="Z36" i="7"/>
  <c r="Y36" i="7"/>
  <c r="X36" i="7"/>
  <c r="W36" i="7"/>
  <c r="V36" i="7"/>
  <c r="U36" i="7"/>
  <c r="T36" i="7"/>
  <c r="S36" i="7"/>
  <c r="R36" i="7"/>
  <c r="Z35" i="7"/>
  <c r="Y35" i="7"/>
  <c r="X35" i="7"/>
  <c r="W35" i="7"/>
  <c r="V35" i="7"/>
  <c r="U35" i="7"/>
  <c r="T35" i="7"/>
  <c r="S35" i="7"/>
  <c r="R35" i="7"/>
  <c r="Z34" i="7"/>
  <c r="Y34" i="7"/>
  <c r="X34" i="7"/>
  <c r="W34" i="7"/>
  <c r="V34" i="7"/>
  <c r="U34" i="7"/>
  <c r="T34" i="7"/>
  <c r="S34" i="7"/>
  <c r="R34" i="7"/>
  <c r="Z33" i="7"/>
  <c r="Y33" i="7"/>
  <c r="X33" i="7"/>
  <c r="W33" i="7"/>
  <c r="V33" i="7"/>
  <c r="U33" i="7"/>
  <c r="T33" i="7"/>
  <c r="S33" i="7"/>
  <c r="R33" i="7"/>
  <c r="Z32" i="7"/>
  <c r="Y32" i="7"/>
  <c r="X32" i="7"/>
  <c r="W32" i="7"/>
  <c r="V32" i="7"/>
  <c r="U32" i="7"/>
  <c r="T32" i="7"/>
  <c r="S32" i="7"/>
  <c r="R32" i="7"/>
  <c r="Z27" i="7"/>
  <c r="Y27" i="7"/>
  <c r="X27" i="7"/>
  <c r="W27" i="7"/>
  <c r="V27" i="7"/>
  <c r="U27" i="7"/>
  <c r="T27" i="7"/>
  <c r="S27" i="7"/>
  <c r="R27" i="7"/>
  <c r="Z26" i="7"/>
  <c r="Y26" i="7"/>
  <c r="X26" i="7"/>
  <c r="W26" i="7"/>
  <c r="V26" i="7"/>
  <c r="U26" i="7"/>
  <c r="T26" i="7"/>
  <c r="S26" i="7"/>
  <c r="R26" i="7"/>
  <c r="Z25" i="7"/>
  <c r="Y25" i="7"/>
  <c r="X25" i="7"/>
  <c r="W25" i="7"/>
  <c r="V25" i="7"/>
  <c r="U25" i="7"/>
  <c r="T25" i="7"/>
  <c r="S25" i="7"/>
  <c r="R25" i="7"/>
  <c r="Z24" i="7"/>
  <c r="Y24" i="7"/>
  <c r="X24" i="7"/>
  <c r="W24" i="7"/>
  <c r="V24" i="7"/>
  <c r="U24" i="7"/>
  <c r="T24" i="7"/>
  <c r="S24" i="7"/>
  <c r="R24" i="7"/>
  <c r="Z23" i="7"/>
  <c r="Y23" i="7"/>
  <c r="X23" i="7"/>
  <c r="W23" i="7"/>
  <c r="V23" i="7"/>
  <c r="U23" i="7"/>
  <c r="T23" i="7"/>
  <c r="S23" i="7"/>
  <c r="R23" i="7"/>
  <c r="Z18" i="7"/>
  <c r="Y18" i="7"/>
  <c r="X18" i="7"/>
  <c r="W18" i="7"/>
  <c r="V18" i="7"/>
  <c r="U18" i="7"/>
  <c r="T18" i="7"/>
  <c r="S18" i="7"/>
  <c r="R18" i="7"/>
  <c r="Z17" i="7"/>
  <c r="Y17" i="7"/>
  <c r="X17" i="7"/>
  <c r="W17" i="7"/>
  <c r="V17" i="7"/>
  <c r="U17" i="7"/>
  <c r="T17" i="7"/>
  <c r="S17" i="7"/>
  <c r="R17" i="7"/>
  <c r="Z16" i="7"/>
  <c r="Y16" i="7"/>
  <c r="X16" i="7"/>
  <c r="W16" i="7"/>
  <c r="V16" i="7"/>
  <c r="U16" i="7"/>
  <c r="T16" i="7"/>
  <c r="S16" i="7"/>
  <c r="R16" i="7"/>
  <c r="Z15" i="7"/>
  <c r="Y15" i="7"/>
  <c r="X15" i="7"/>
  <c r="W15" i="7"/>
  <c r="V15" i="7"/>
  <c r="U15" i="7"/>
  <c r="T15" i="7"/>
  <c r="S15" i="7"/>
  <c r="R15" i="7"/>
  <c r="Z14" i="7"/>
  <c r="Y14" i="7"/>
  <c r="X14" i="7"/>
  <c r="W14" i="7"/>
  <c r="V14" i="7"/>
  <c r="U14" i="7"/>
  <c r="T14" i="7"/>
  <c r="S14" i="7"/>
  <c r="R14" i="7"/>
  <c r="Z9" i="7"/>
  <c r="Y9" i="7"/>
  <c r="X9" i="7"/>
  <c r="W9" i="7"/>
  <c r="V9" i="7"/>
  <c r="U9" i="7"/>
  <c r="T9" i="7"/>
  <c r="S9" i="7"/>
  <c r="R9" i="7"/>
  <c r="Z8" i="7"/>
  <c r="Y8" i="7"/>
  <c r="X8" i="7"/>
  <c r="W8" i="7"/>
  <c r="V8" i="7"/>
  <c r="U8" i="7"/>
  <c r="T8" i="7"/>
  <c r="S8" i="7"/>
  <c r="R8" i="7"/>
  <c r="Z7" i="7"/>
  <c r="Y7" i="7"/>
  <c r="X7" i="7"/>
  <c r="W7" i="7"/>
  <c r="V7" i="7"/>
  <c r="U7" i="7"/>
  <c r="T7" i="7"/>
  <c r="S7" i="7"/>
  <c r="R7" i="7"/>
  <c r="Z6" i="7"/>
  <c r="Y6" i="7"/>
  <c r="X6" i="7"/>
  <c r="W6" i="7"/>
  <c r="V6" i="7"/>
  <c r="U6" i="7"/>
  <c r="T6" i="7"/>
  <c r="S6" i="7"/>
  <c r="R6" i="7"/>
  <c r="Z5" i="7"/>
  <c r="Y5" i="7"/>
  <c r="X5" i="7"/>
  <c r="W5" i="7"/>
  <c r="V5" i="7"/>
  <c r="U5" i="7"/>
  <c r="T5" i="7"/>
  <c r="S5" i="7"/>
  <c r="R5" i="7"/>
  <c r="U20" i="7" l="1"/>
  <c r="X55" i="7"/>
  <c r="Q46" i="7"/>
  <c r="Q47" i="7"/>
  <c r="T55" i="7"/>
  <c r="Z10" i="7"/>
  <c r="V10" i="7"/>
  <c r="U10" i="7"/>
  <c r="X19" i="7"/>
  <c r="Y38" i="7"/>
  <c r="U56" i="7"/>
  <c r="T19" i="7"/>
  <c r="T20" i="7"/>
  <c r="Y10" i="7"/>
  <c r="T10" i="7"/>
  <c r="Y20" i="7"/>
  <c r="X37" i="7"/>
  <c r="U38" i="7"/>
  <c r="Y56" i="7"/>
  <c r="X38" i="7"/>
  <c r="T56" i="7"/>
  <c r="X10" i="7"/>
  <c r="X20" i="7"/>
  <c r="T37" i="7"/>
  <c r="T38" i="7"/>
  <c r="X56" i="7"/>
  <c r="T11" i="7"/>
  <c r="X11" i="7"/>
  <c r="U11" i="7"/>
  <c r="Y11" i="7"/>
  <c r="V11" i="7"/>
  <c r="Z11" i="7"/>
  <c r="R11" i="7"/>
  <c r="W29" i="7"/>
  <c r="S28" i="7"/>
  <c r="W28" i="7"/>
  <c r="R28" i="7"/>
  <c r="T28" i="7"/>
  <c r="X28" i="7"/>
  <c r="U28" i="7"/>
  <c r="Y28" i="7"/>
  <c r="L8" i="8"/>
  <c r="W11" i="7"/>
  <c r="Z28" i="7"/>
  <c r="T29" i="7"/>
  <c r="X29" i="7"/>
  <c r="U29" i="7"/>
  <c r="Y29" i="7"/>
  <c r="L9" i="8"/>
  <c r="V29" i="7"/>
  <c r="Z29" i="7"/>
  <c r="R29" i="7"/>
  <c r="R19" i="7"/>
  <c r="W19" i="7"/>
  <c r="S19" i="7"/>
  <c r="R37" i="7"/>
  <c r="W37" i="7"/>
  <c r="S37" i="7"/>
  <c r="R55" i="7"/>
  <c r="W55" i="7"/>
  <c r="S55" i="7"/>
  <c r="Z19" i="7"/>
  <c r="V19" i="7"/>
  <c r="R20" i="7"/>
  <c r="W20" i="7"/>
  <c r="S20" i="7"/>
  <c r="Z37" i="7"/>
  <c r="V37" i="7"/>
  <c r="R38" i="7"/>
  <c r="W38" i="7"/>
  <c r="S38" i="7"/>
  <c r="Z55" i="7"/>
  <c r="V55" i="7"/>
  <c r="R56" i="7"/>
  <c r="W56" i="7"/>
  <c r="S56" i="7"/>
  <c r="R10" i="7"/>
  <c r="W10" i="7"/>
  <c r="Y19" i="7"/>
  <c r="Z20" i="7"/>
  <c r="Y37" i="7"/>
  <c r="U37" i="7"/>
  <c r="Z38" i="7"/>
  <c r="V38" i="7"/>
  <c r="Y55" i="7"/>
  <c r="Z56" i="7"/>
  <c r="O4" i="8"/>
  <c r="M7" i="8"/>
  <c r="N7" i="8" s="1"/>
  <c r="O7" i="8" s="1"/>
  <c r="P7" i="8" s="1"/>
  <c r="Q7" i="8" s="1"/>
  <c r="R7" i="8" s="1"/>
  <c r="S7" i="8" s="1"/>
  <c r="T7" i="8" s="1"/>
  <c r="U7" i="8" s="1"/>
  <c r="L10" i="8" l="1"/>
  <c r="L19" i="8" s="1"/>
  <c r="T19" i="8" s="1"/>
  <c r="S47" i="7"/>
  <c r="W47" i="7"/>
  <c r="O9" i="8"/>
  <c r="S9" i="8"/>
  <c r="P9" i="8"/>
  <c r="T9" i="8"/>
  <c r="Q9" i="8"/>
  <c r="U9" i="8"/>
  <c r="N9" i="8"/>
  <c r="R9" i="8"/>
  <c r="M9" i="8"/>
  <c r="Y47" i="7"/>
  <c r="T47" i="7"/>
  <c r="U47" i="7"/>
  <c r="V47" i="7"/>
  <c r="X47" i="7"/>
  <c r="R47" i="7"/>
  <c r="F7" i="7"/>
  <c r="C7" i="7"/>
  <c r="G7" i="7"/>
  <c r="Z47" i="7"/>
  <c r="N8" i="8"/>
  <c r="R8" i="8"/>
  <c r="M8" i="8"/>
  <c r="O8" i="8"/>
  <c r="S8" i="8"/>
  <c r="P8" i="8"/>
  <c r="T8" i="8"/>
  <c r="Q8" i="8"/>
  <c r="U8" i="8"/>
  <c r="U46" i="7"/>
  <c r="Y46" i="7"/>
  <c r="S46" i="7"/>
  <c r="W46" i="7"/>
  <c r="R46" i="7"/>
  <c r="V46" i="7"/>
  <c r="Z46" i="7"/>
  <c r="T46" i="7"/>
  <c r="X46" i="7"/>
  <c r="L23" i="8"/>
  <c r="F6" i="8" s="1"/>
  <c r="L13" i="8"/>
  <c r="P4" i="8"/>
  <c r="M19" i="8" l="1"/>
  <c r="R19" i="8"/>
  <c r="N19" i="8"/>
  <c r="U19" i="8"/>
  <c r="Q19" i="8"/>
  <c r="O10" i="8"/>
  <c r="O23" i="8" s="1"/>
  <c r="F9" i="8" s="1"/>
  <c r="P19" i="8"/>
  <c r="S19" i="8"/>
  <c r="O19" i="8"/>
  <c r="N10" i="8"/>
  <c r="N23" i="8" s="1"/>
  <c r="F8" i="8" s="1"/>
  <c r="M10" i="8"/>
  <c r="M23" i="8" s="1"/>
  <c r="F7" i="8" s="1"/>
  <c r="I17" i="7"/>
  <c r="H17" i="7"/>
  <c r="E7" i="7"/>
  <c r="D7" i="7"/>
  <c r="X45" i="7"/>
  <c r="G14" i="7" s="1"/>
  <c r="R45" i="7"/>
  <c r="G8" i="7" s="1"/>
  <c r="U45" i="7"/>
  <c r="G11" i="7" s="1"/>
  <c r="V45" i="7"/>
  <c r="G12" i="7" s="1"/>
  <c r="Y45" i="7"/>
  <c r="G15" i="7" s="1"/>
  <c r="Z45" i="7"/>
  <c r="G16" i="7" s="1"/>
  <c r="S45" i="7"/>
  <c r="G9" i="7" s="1"/>
  <c r="W45" i="7"/>
  <c r="G13" i="7" s="1"/>
  <c r="T45" i="7"/>
  <c r="G10" i="7" s="1"/>
  <c r="X41" i="7"/>
  <c r="C14" i="7" s="1"/>
  <c r="Y41" i="7"/>
  <c r="C15" i="7" s="1"/>
  <c r="Z41" i="7"/>
  <c r="C16" i="7" s="1"/>
  <c r="T41" i="7"/>
  <c r="C10" i="7" s="1"/>
  <c r="R41" i="7"/>
  <c r="C8" i="7" s="1"/>
  <c r="S41" i="7"/>
  <c r="C9" i="7" s="1"/>
  <c r="V41" i="7"/>
  <c r="C12" i="7" s="1"/>
  <c r="U41" i="7"/>
  <c r="C11" i="7" s="1"/>
  <c r="W41" i="7"/>
  <c r="C13" i="7" s="1"/>
  <c r="X43" i="7"/>
  <c r="V43" i="7"/>
  <c r="U43" i="7"/>
  <c r="T43" i="7"/>
  <c r="Y43" i="7"/>
  <c r="Z43" i="7"/>
  <c r="S43" i="7"/>
  <c r="R43" i="7"/>
  <c r="W43" i="7"/>
  <c r="W44" i="7"/>
  <c r="F13" i="7" s="1"/>
  <c r="S44" i="7"/>
  <c r="F9" i="7" s="1"/>
  <c r="Z44" i="7"/>
  <c r="F16" i="7" s="1"/>
  <c r="U44" i="7"/>
  <c r="F11" i="7" s="1"/>
  <c r="Y44" i="7"/>
  <c r="F15" i="7" s="1"/>
  <c r="R44" i="7"/>
  <c r="F8" i="7" s="1"/>
  <c r="T44" i="7"/>
  <c r="F10" i="7" s="1"/>
  <c r="V44" i="7"/>
  <c r="F12" i="7" s="1"/>
  <c r="X44" i="7"/>
  <c r="F14" i="7" s="1"/>
  <c r="W42" i="7"/>
  <c r="S42" i="7"/>
  <c r="Z42" i="7"/>
  <c r="U42" i="7"/>
  <c r="T42" i="7"/>
  <c r="Y42" i="7"/>
  <c r="X42" i="7"/>
  <c r="R42" i="7"/>
  <c r="V42" i="7"/>
  <c r="P10" i="8"/>
  <c r="Q4" i="8"/>
  <c r="E6" i="8"/>
  <c r="J17" i="7" l="1"/>
  <c r="O13" i="8"/>
  <c r="J7" i="7"/>
  <c r="D4" i="1" s="1"/>
  <c r="N13" i="8"/>
  <c r="M13" i="8"/>
  <c r="C17" i="7"/>
  <c r="G17" i="7"/>
  <c r="F17" i="7"/>
  <c r="E8" i="7"/>
  <c r="D8" i="7"/>
  <c r="E11" i="7"/>
  <c r="D11" i="7"/>
  <c r="E14" i="7"/>
  <c r="D14" i="7"/>
  <c r="E16" i="7"/>
  <c r="D16" i="7"/>
  <c r="D15" i="7"/>
  <c r="E15" i="7"/>
  <c r="E9" i="7"/>
  <c r="D9" i="7"/>
  <c r="E12" i="7"/>
  <c r="D12" i="7"/>
  <c r="D10" i="7"/>
  <c r="E10" i="7"/>
  <c r="E13" i="7"/>
  <c r="D13" i="7"/>
  <c r="E7" i="8"/>
  <c r="P23" i="8"/>
  <c r="F10" i="8" s="1"/>
  <c r="P13" i="8"/>
  <c r="Q10" i="8"/>
  <c r="R4" i="8"/>
  <c r="J10" i="7" l="1"/>
  <c r="D7" i="1" s="1"/>
  <c r="J9" i="7"/>
  <c r="D6" i="1" s="1"/>
  <c r="J16" i="7"/>
  <c r="D13" i="1" s="1"/>
  <c r="J11" i="7"/>
  <c r="D8" i="1" s="1"/>
  <c r="J13" i="7"/>
  <c r="D10" i="1" s="1"/>
  <c r="J12" i="7"/>
  <c r="D9" i="1" s="1"/>
  <c r="D17" i="7"/>
  <c r="J15" i="7"/>
  <c r="D12" i="1" s="1"/>
  <c r="J14" i="7"/>
  <c r="D11" i="1" s="1"/>
  <c r="E17" i="7"/>
  <c r="D5" i="1"/>
  <c r="R10" i="8"/>
  <c r="S4" i="8"/>
  <c r="E8" i="8"/>
  <c r="Q23" i="8"/>
  <c r="F11" i="8" s="1"/>
  <c r="Q13" i="8"/>
  <c r="D14" i="1" l="1"/>
  <c r="E9" i="8"/>
  <c r="S10" i="8"/>
  <c r="T4" i="8"/>
  <c r="R23" i="8"/>
  <c r="F12" i="8" s="1"/>
  <c r="R13" i="8"/>
  <c r="S23" i="8" l="1"/>
  <c r="F13" i="8" s="1"/>
  <c r="S13" i="8"/>
  <c r="E10" i="8"/>
  <c r="T10" i="8"/>
  <c r="U4" i="8"/>
  <c r="U10" i="8" s="1"/>
  <c r="E11" i="8" l="1"/>
  <c r="U23" i="8"/>
  <c r="F15" i="8" s="1"/>
  <c r="U13" i="8"/>
  <c r="T23" i="8"/>
  <c r="F14" i="8" s="1"/>
  <c r="T13" i="8"/>
  <c r="E13" i="8" l="1"/>
  <c r="E14" i="8" l="1"/>
  <c r="E15" i="8" l="1"/>
  <c r="E12" i="8"/>
  <c r="R15" i="5" l="1"/>
  <c r="Z56" i="2"/>
  <c r="Q47" i="2"/>
  <c r="Q20" i="2"/>
  <c r="Z20" i="2" s="1"/>
  <c r="Q11" i="2"/>
  <c r="Z11" i="2" s="1"/>
  <c r="K7" i="4"/>
  <c r="Z55" i="2"/>
  <c r="Y55" i="2"/>
  <c r="X55" i="2"/>
  <c r="W55" i="2"/>
  <c r="V55" i="2"/>
  <c r="U55" i="2"/>
  <c r="T55" i="2"/>
  <c r="S55" i="2"/>
  <c r="R55" i="2"/>
  <c r="Z54" i="2"/>
  <c r="Y54" i="2"/>
  <c r="X54" i="2"/>
  <c r="W54" i="2"/>
  <c r="V54" i="2"/>
  <c r="U54" i="2"/>
  <c r="T54" i="2"/>
  <c r="S54" i="2"/>
  <c r="R54" i="2"/>
  <c r="Z53" i="2"/>
  <c r="Y53" i="2"/>
  <c r="X53" i="2"/>
  <c r="W53" i="2"/>
  <c r="V53" i="2"/>
  <c r="U53" i="2"/>
  <c r="T53" i="2"/>
  <c r="S53" i="2"/>
  <c r="R53" i="2"/>
  <c r="Z52" i="2"/>
  <c r="Y52" i="2"/>
  <c r="X52" i="2"/>
  <c r="W52" i="2"/>
  <c r="V52" i="2"/>
  <c r="U52" i="2"/>
  <c r="T52" i="2"/>
  <c r="S52" i="2"/>
  <c r="R52" i="2"/>
  <c r="Z51" i="2"/>
  <c r="Y51" i="2"/>
  <c r="X51" i="2"/>
  <c r="W51" i="2"/>
  <c r="V51" i="2"/>
  <c r="U51" i="2"/>
  <c r="T51" i="2"/>
  <c r="S51" i="2"/>
  <c r="R51" i="2"/>
  <c r="Z50" i="2"/>
  <c r="Y50" i="2"/>
  <c r="X50" i="2"/>
  <c r="W50" i="2"/>
  <c r="V50" i="2"/>
  <c r="U50" i="2"/>
  <c r="T50" i="2"/>
  <c r="S50" i="2"/>
  <c r="R50" i="2"/>
  <c r="Z46" i="2"/>
  <c r="Y46" i="2"/>
  <c r="X46" i="2"/>
  <c r="W46" i="2"/>
  <c r="V46" i="2"/>
  <c r="U46" i="2"/>
  <c r="T46" i="2"/>
  <c r="S46" i="2"/>
  <c r="R46" i="2"/>
  <c r="Z45" i="2"/>
  <c r="Y45" i="2"/>
  <c r="X45" i="2"/>
  <c r="W45" i="2"/>
  <c r="V45" i="2"/>
  <c r="U45" i="2"/>
  <c r="T45" i="2"/>
  <c r="S45" i="2"/>
  <c r="R45" i="2"/>
  <c r="Z44" i="2"/>
  <c r="Y44" i="2"/>
  <c r="X44" i="2"/>
  <c r="W44" i="2"/>
  <c r="V44" i="2"/>
  <c r="U44" i="2"/>
  <c r="T44" i="2"/>
  <c r="S44" i="2"/>
  <c r="R44" i="2"/>
  <c r="Z43" i="2"/>
  <c r="Y43" i="2"/>
  <c r="X43" i="2"/>
  <c r="W43" i="2"/>
  <c r="V43" i="2"/>
  <c r="U43" i="2"/>
  <c r="T43" i="2"/>
  <c r="S43" i="2"/>
  <c r="R43" i="2"/>
  <c r="Z42" i="2"/>
  <c r="Y42" i="2"/>
  <c r="X42" i="2"/>
  <c r="W42" i="2"/>
  <c r="V42" i="2"/>
  <c r="U42" i="2"/>
  <c r="T42" i="2"/>
  <c r="S42" i="2"/>
  <c r="R42" i="2"/>
  <c r="Z41" i="2"/>
  <c r="Y41" i="2"/>
  <c r="X41" i="2"/>
  <c r="W41" i="2"/>
  <c r="V41" i="2"/>
  <c r="U41" i="2"/>
  <c r="T41" i="2"/>
  <c r="S41" i="2"/>
  <c r="R41" i="2"/>
  <c r="Z37" i="2"/>
  <c r="Y37" i="2"/>
  <c r="X37" i="2"/>
  <c r="W37" i="2"/>
  <c r="V37" i="2"/>
  <c r="U37" i="2"/>
  <c r="T37" i="2"/>
  <c r="S37" i="2"/>
  <c r="R37" i="2"/>
  <c r="Z36" i="2"/>
  <c r="Y36" i="2"/>
  <c r="X36" i="2"/>
  <c r="W36" i="2"/>
  <c r="V36" i="2"/>
  <c r="U36" i="2"/>
  <c r="T36" i="2"/>
  <c r="S36" i="2"/>
  <c r="R36" i="2"/>
  <c r="Z35" i="2"/>
  <c r="Y35" i="2"/>
  <c r="X35" i="2"/>
  <c r="W35" i="2"/>
  <c r="V35" i="2"/>
  <c r="U35" i="2"/>
  <c r="T35" i="2"/>
  <c r="S35" i="2"/>
  <c r="R35" i="2"/>
  <c r="Z34" i="2"/>
  <c r="Y34" i="2"/>
  <c r="X34" i="2"/>
  <c r="W34" i="2"/>
  <c r="V34" i="2"/>
  <c r="U34" i="2"/>
  <c r="T34" i="2"/>
  <c r="S34" i="2"/>
  <c r="R34" i="2"/>
  <c r="Z33" i="2"/>
  <c r="Y33" i="2"/>
  <c r="X33" i="2"/>
  <c r="W33" i="2"/>
  <c r="V33" i="2"/>
  <c r="U33" i="2"/>
  <c r="T33" i="2"/>
  <c r="S33" i="2"/>
  <c r="R33" i="2"/>
  <c r="Z32" i="2"/>
  <c r="Y32" i="2"/>
  <c r="X32" i="2"/>
  <c r="W32" i="2"/>
  <c r="V32" i="2"/>
  <c r="U32" i="2"/>
  <c r="T32" i="2"/>
  <c r="S32" i="2"/>
  <c r="R32" i="2"/>
  <c r="Z28" i="2"/>
  <c r="Y28" i="2"/>
  <c r="X28" i="2"/>
  <c r="W28" i="2"/>
  <c r="V28" i="2"/>
  <c r="U28" i="2"/>
  <c r="T28" i="2"/>
  <c r="S28" i="2"/>
  <c r="R28" i="2"/>
  <c r="Z27" i="2"/>
  <c r="G16" i="2" s="1"/>
  <c r="Y27" i="2"/>
  <c r="G15" i="2" s="1"/>
  <c r="X27" i="2"/>
  <c r="G14" i="2" s="1"/>
  <c r="W27" i="2"/>
  <c r="G13" i="2" s="1"/>
  <c r="V27" i="2"/>
  <c r="G12" i="2" s="1"/>
  <c r="U27" i="2"/>
  <c r="G11" i="2" s="1"/>
  <c r="T27" i="2"/>
  <c r="G10" i="2" s="1"/>
  <c r="S27" i="2"/>
  <c r="G9" i="2" s="1"/>
  <c r="R27" i="2"/>
  <c r="G8" i="2" s="1"/>
  <c r="Z26" i="2"/>
  <c r="F16" i="2" s="1"/>
  <c r="Y26" i="2"/>
  <c r="F15" i="2" s="1"/>
  <c r="X26" i="2"/>
  <c r="F14" i="2" s="1"/>
  <c r="W26" i="2"/>
  <c r="F13" i="2" s="1"/>
  <c r="V26" i="2"/>
  <c r="F12" i="2" s="1"/>
  <c r="U26" i="2"/>
  <c r="F11" i="2" s="1"/>
  <c r="T26" i="2"/>
  <c r="F10" i="2" s="1"/>
  <c r="S26" i="2"/>
  <c r="F9" i="2" s="1"/>
  <c r="R26" i="2"/>
  <c r="F8" i="2" s="1"/>
  <c r="F17" i="2" s="1"/>
  <c r="Z25" i="2"/>
  <c r="Y25" i="2"/>
  <c r="X25" i="2"/>
  <c r="W25" i="2"/>
  <c r="V25" i="2"/>
  <c r="U25" i="2"/>
  <c r="T25" i="2"/>
  <c r="S25" i="2"/>
  <c r="R25" i="2"/>
  <c r="Z24" i="2"/>
  <c r="Y24" i="2"/>
  <c r="X24" i="2"/>
  <c r="W24" i="2"/>
  <c r="V24" i="2"/>
  <c r="U24" i="2"/>
  <c r="T24" i="2"/>
  <c r="S24" i="2"/>
  <c r="R24" i="2"/>
  <c r="Z23" i="2"/>
  <c r="C16" i="2" s="1"/>
  <c r="Y23" i="2"/>
  <c r="C15" i="2" s="1"/>
  <c r="X23" i="2"/>
  <c r="C14" i="2" s="1"/>
  <c r="W23" i="2"/>
  <c r="C13" i="2" s="1"/>
  <c r="V23" i="2"/>
  <c r="C12" i="2" s="1"/>
  <c r="U23" i="2"/>
  <c r="C11" i="2" s="1"/>
  <c r="T23" i="2"/>
  <c r="C10" i="2" s="1"/>
  <c r="S23" i="2"/>
  <c r="C9" i="2" s="1"/>
  <c r="R23" i="2"/>
  <c r="C8" i="2" s="1"/>
  <c r="Z19" i="2"/>
  <c r="Y19" i="2"/>
  <c r="X19" i="2"/>
  <c r="W19" i="2"/>
  <c r="V19" i="2"/>
  <c r="U19" i="2"/>
  <c r="T19" i="2"/>
  <c r="S19" i="2"/>
  <c r="R19" i="2"/>
  <c r="Z18" i="2"/>
  <c r="Y18" i="2"/>
  <c r="X18" i="2"/>
  <c r="W18" i="2"/>
  <c r="V18" i="2"/>
  <c r="U18" i="2"/>
  <c r="T18" i="2"/>
  <c r="S18" i="2"/>
  <c r="R18" i="2"/>
  <c r="Z17" i="2"/>
  <c r="Y17" i="2"/>
  <c r="X17" i="2"/>
  <c r="W17" i="2"/>
  <c r="V17" i="2"/>
  <c r="U17" i="2"/>
  <c r="T17" i="2"/>
  <c r="S17" i="2"/>
  <c r="R17" i="2"/>
  <c r="Z16" i="2"/>
  <c r="Y16" i="2"/>
  <c r="X16" i="2"/>
  <c r="W16" i="2"/>
  <c r="V16" i="2"/>
  <c r="U16" i="2"/>
  <c r="T16" i="2"/>
  <c r="S16" i="2"/>
  <c r="R16" i="2"/>
  <c r="Z15" i="2"/>
  <c r="Y15" i="2"/>
  <c r="X15" i="2"/>
  <c r="W15" i="2"/>
  <c r="V15" i="2"/>
  <c r="U15" i="2"/>
  <c r="T15" i="2"/>
  <c r="S15" i="2"/>
  <c r="R15" i="2"/>
  <c r="Z14" i="2"/>
  <c r="Y14" i="2"/>
  <c r="X14" i="2"/>
  <c r="W14" i="2"/>
  <c r="V14" i="2"/>
  <c r="U14" i="2"/>
  <c r="T14" i="2"/>
  <c r="S14" i="2"/>
  <c r="R14" i="2"/>
  <c r="Z10" i="2"/>
  <c r="Y10" i="2"/>
  <c r="X10" i="2"/>
  <c r="W10" i="2"/>
  <c r="V10" i="2"/>
  <c r="U10" i="2"/>
  <c r="T10" i="2"/>
  <c r="S10" i="2"/>
  <c r="R10" i="2"/>
  <c r="Z9" i="2"/>
  <c r="Y9" i="2"/>
  <c r="X9" i="2"/>
  <c r="W9" i="2"/>
  <c r="V9" i="2"/>
  <c r="U9" i="2"/>
  <c r="T9" i="2"/>
  <c r="S9" i="2"/>
  <c r="R9" i="2"/>
  <c r="Z8" i="2"/>
  <c r="Y8" i="2"/>
  <c r="X8" i="2"/>
  <c r="W8" i="2"/>
  <c r="V8" i="2"/>
  <c r="U8" i="2"/>
  <c r="T8" i="2"/>
  <c r="S8" i="2"/>
  <c r="R8" i="2"/>
  <c r="Z7" i="2"/>
  <c r="Y7" i="2"/>
  <c r="X7" i="2"/>
  <c r="W7" i="2"/>
  <c r="V7" i="2"/>
  <c r="U7" i="2"/>
  <c r="T7" i="2"/>
  <c r="S7" i="2"/>
  <c r="R7" i="2"/>
  <c r="Z6" i="2"/>
  <c r="Y6" i="2"/>
  <c r="X6" i="2"/>
  <c r="W6" i="2"/>
  <c r="V6" i="2"/>
  <c r="U6" i="2"/>
  <c r="T6" i="2"/>
  <c r="S6" i="2"/>
  <c r="R6" i="2"/>
  <c r="Z5" i="2"/>
  <c r="Y5" i="2"/>
  <c r="X5" i="2"/>
  <c r="W5" i="2"/>
  <c r="V5" i="2"/>
  <c r="U5" i="2"/>
  <c r="T5" i="2"/>
  <c r="S5" i="2"/>
  <c r="R5" i="2"/>
  <c r="G17" i="2" l="1"/>
  <c r="E9" i="2"/>
  <c r="D9" i="2"/>
  <c r="E13" i="2"/>
  <c r="D13" i="2"/>
  <c r="D10" i="2"/>
  <c r="E10" i="2"/>
  <c r="D14" i="2"/>
  <c r="E14" i="2"/>
  <c r="C17" i="2"/>
  <c r="E11" i="2"/>
  <c r="D11" i="2"/>
  <c r="D15" i="2"/>
  <c r="E15" i="2"/>
  <c r="E8" i="2"/>
  <c r="D8" i="2"/>
  <c r="E12" i="2"/>
  <c r="D12" i="2"/>
  <c r="E16" i="2"/>
  <c r="D16" i="2"/>
  <c r="J7" i="2"/>
  <c r="Z38" i="2"/>
  <c r="O14" i="4"/>
  <c r="L30" i="5"/>
  <c r="Z29" i="2"/>
  <c r="R29" i="2"/>
  <c r="L9" i="4"/>
  <c r="L10" i="4" s="1"/>
  <c r="L13" i="4" s="1"/>
  <c r="L14" i="4"/>
  <c r="N14" i="4"/>
  <c r="R14" i="4"/>
  <c r="Q14" i="4"/>
  <c r="M14" i="4"/>
  <c r="T14" i="4"/>
  <c r="S14" i="4"/>
  <c r="S11" i="2"/>
  <c r="W11" i="2"/>
  <c r="S20" i="2"/>
  <c r="W20" i="2"/>
  <c r="S29" i="2"/>
  <c r="W29" i="2"/>
  <c r="S38" i="2"/>
  <c r="W38" i="2"/>
  <c r="S56" i="2"/>
  <c r="W56" i="2"/>
  <c r="T11" i="2"/>
  <c r="X11" i="2"/>
  <c r="T20" i="2"/>
  <c r="X20" i="2"/>
  <c r="T29" i="2"/>
  <c r="X29" i="2"/>
  <c r="T38" i="2"/>
  <c r="X38" i="2"/>
  <c r="T56" i="2"/>
  <c r="X56" i="2"/>
  <c r="U11" i="2"/>
  <c r="Y11" i="2"/>
  <c r="U20" i="2"/>
  <c r="Y20" i="2"/>
  <c r="U29" i="2"/>
  <c r="Y29" i="2"/>
  <c r="U38" i="2"/>
  <c r="Y38" i="2"/>
  <c r="U56" i="2"/>
  <c r="Y56" i="2"/>
  <c r="R11" i="2"/>
  <c r="V11" i="2"/>
  <c r="R20" i="2"/>
  <c r="V20" i="2"/>
  <c r="V29" i="2"/>
  <c r="R38" i="2"/>
  <c r="V38" i="2"/>
  <c r="R56" i="2"/>
  <c r="V56" i="2"/>
  <c r="D17" i="2" l="1"/>
  <c r="E17" i="2"/>
  <c r="C4" i="1"/>
  <c r="O14" i="20"/>
  <c r="O16" i="20" s="1"/>
  <c r="C9" i="20" s="1"/>
  <c r="H9" i="20" s="1"/>
  <c r="H21" i="1" s="1"/>
  <c r="H35" i="1" s="1"/>
  <c r="S14" i="20"/>
  <c r="S16" i="20" s="1"/>
  <c r="C11" i="20" s="1"/>
  <c r="H11" i="20" s="1"/>
  <c r="H23" i="1" s="1"/>
  <c r="H37" i="1" s="1"/>
  <c r="M14" i="20"/>
  <c r="M16" i="20" s="1"/>
  <c r="C7" i="20" s="1"/>
  <c r="H7" i="20" s="1"/>
  <c r="H19" i="1" s="1"/>
  <c r="H33" i="1" s="1"/>
  <c r="Q14" i="20"/>
  <c r="Q16" i="20" s="1"/>
  <c r="U14" i="20"/>
  <c r="U16" i="20" s="1"/>
  <c r="N14" i="20"/>
  <c r="N16" i="20" s="1"/>
  <c r="C8" i="20" s="1"/>
  <c r="H8" i="20" s="1"/>
  <c r="H20" i="1" s="1"/>
  <c r="H34" i="1" s="1"/>
  <c r="P14" i="20"/>
  <c r="P16" i="20" s="1"/>
  <c r="C10" i="20" s="1"/>
  <c r="H10" i="20" s="1"/>
  <c r="H22" i="1" s="1"/>
  <c r="H36" i="1" s="1"/>
  <c r="T14" i="20"/>
  <c r="T16" i="20" s="1"/>
  <c r="L14" i="20"/>
  <c r="L16" i="20" s="1"/>
  <c r="C6" i="20" s="1"/>
  <c r="H6" i="20" s="1"/>
  <c r="H18" i="1" s="1"/>
  <c r="R14" i="20"/>
  <c r="R16" i="20" s="1"/>
  <c r="N14" i="17"/>
  <c r="N16" i="17" s="1"/>
  <c r="C8" i="17" s="1"/>
  <c r="H8" i="17" s="1"/>
  <c r="G20" i="1" s="1"/>
  <c r="G34" i="1" s="1"/>
  <c r="R14" i="17"/>
  <c r="R16" i="17" s="1"/>
  <c r="L14" i="17"/>
  <c r="L16" i="17" s="1"/>
  <c r="C6" i="17" s="1"/>
  <c r="H6" i="17" s="1"/>
  <c r="G18" i="1" s="1"/>
  <c r="O14" i="17"/>
  <c r="O16" i="17" s="1"/>
  <c r="C9" i="17" s="1"/>
  <c r="H9" i="17" s="1"/>
  <c r="G21" i="1" s="1"/>
  <c r="G35" i="1" s="1"/>
  <c r="S14" i="17"/>
  <c r="S16" i="17" s="1"/>
  <c r="C11" i="17" s="1"/>
  <c r="H11" i="17" s="1"/>
  <c r="G23" i="1" s="1"/>
  <c r="G37" i="1" s="1"/>
  <c r="P14" i="17"/>
  <c r="P16" i="17" s="1"/>
  <c r="C10" i="17" s="1"/>
  <c r="H10" i="17" s="1"/>
  <c r="G22" i="1" s="1"/>
  <c r="G36" i="1" s="1"/>
  <c r="T14" i="17"/>
  <c r="T16" i="17" s="1"/>
  <c r="M14" i="17"/>
  <c r="M16" i="17" s="1"/>
  <c r="C7" i="17" s="1"/>
  <c r="H7" i="17" s="1"/>
  <c r="G19" i="1" s="1"/>
  <c r="G33" i="1" s="1"/>
  <c r="Q14" i="17"/>
  <c r="Q16" i="17" s="1"/>
  <c r="U14" i="17"/>
  <c r="U16" i="17" s="1"/>
  <c r="M15" i="14"/>
  <c r="M17" i="14" s="1"/>
  <c r="H8" i="14" s="1"/>
  <c r="F19" i="1" s="1"/>
  <c r="F33" i="1" s="1"/>
  <c r="Q15" i="14"/>
  <c r="Q17" i="14" s="1"/>
  <c r="U15" i="14"/>
  <c r="U17" i="14" s="1"/>
  <c r="N15" i="14"/>
  <c r="N17" i="14" s="1"/>
  <c r="C9" i="14" s="1"/>
  <c r="H9" i="14" s="1"/>
  <c r="F20" i="1" s="1"/>
  <c r="F34" i="1" s="1"/>
  <c r="R15" i="14"/>
  <c r="R17" i="14" s="1"/>
  <c r="L15" i="14"/>
  <c r="C7" i="14" s="1"/>
  <c r="H7" i="14" s="1"/>
  <c r="F18" i="1" s="1"/>
  <c r="O15" i="14"/>
  <c r="O17" i="14" s="1"/>
  <c r="C10" i="14" s="1"/>
  <c r="H10" i="14" s="1"/>
  <c r="F21" i="1" s="1"/>
  <c r="F35" i="1" s="1"/>
  <c r="S15" i="14"/>
  <c r="S17" i="14" s="1"/>
  <c r="C12" i="14" s="1"/>
  <c r="H12" i="14" s="1"/>
  <c r="F23" i="1" s="1"/>
  <c r="F37" i="1" s="1"/>
  <c r="P15" i="14"/>
  <c r="P17" i="14" s="1"/>
  <c r="C11" i="14" s="1"/>
  <c r="H11" i="14" s="1"/>
  <c r="F22" i="1" s="1"/>
  <c r="F36" i="1" s="1"/>
  <c r="T15" i="14"/>
  <c r="T17" i="14" s="1"/>
  <c r="S14" i="11"/>
  <c r="S16" i="11" s="1"/>
  <c r="C11" i="11" s="1"/>
  <c r="N14" i="11"/>
  <c r="N16" i="11" s="1"/>
  <c r="C8" i="11" s="1"/>
  <c r="H8" i="11" s="1"/>
  <c r="E20" i="1" s="1"/>
  <c r="E34" i="1" s="1"/>
  <c r="R14" i="11"/>
  <c r="R16" i="11" s="1"/>
  <c r="T14" i="11"/>
  <c r="T16" i="11" s="1"/>
  <c r="O14" i="11"/>
  <c r="O16" i="11" s="1"/>
  <c r="C9" i="11" s="1"/>
  <c r="H9" i="11" s="1"/>
  <c r="E21" i="1" s="1"/>
  <c r="E35" i="1" s="1"/>
  <c r="L14" i="11"/>
  <c r="L16" i="11" s="1"/>
  <c r="C6" i="11" s="1"/>
  <c r="H6" i="11" s="1"/>
  <c r="E18" i="1" s="1"/>
  <c r="U14" i="11"/>
  <c r="U16" i="11" s="1"/>
  <c r="P14" i="11"/>
  <c r="P16" i="11" s="1"/>
  <c r="C10" i="11" s="1"/>
  <c r="H10" i="11" s="1"/>
  <c r="E22" i="1" s="1"/>
  <c r="E36" i="1" s="1"/>
  <c r="M14" i="11"/>
  <c r="M16" i="11" s="1"/>
  <c r="C7" i="11" s="1"/>
  <c r="H7" i="11" s="1"/>
  <c r="E19" i="1" s="1"/>
  <c r="E33" i="1" s="1"/>
  <c r="Q14" i="11"/>
  <c r="Q16" i="11" s="1"/>
  <c r="P14" i="8"/>
  <c r="P16" i="8" s="1"/>
  <c r="C10" i="8" s="1"/>
  <c r="H10" i="8" s="1"/>
  <c r="D22" i="1" s="1"/>
  <c r="D36" i="1" s="1"/>
  <c r="T14" i="8"/>
  <c r="T16" i="8" s="1"/>
  <c r="M14" i="8"/>
  <c r="M16" i="8" s="1"/>
  <c r="C7" i="8" s="1"/>
  <c r="H7" i="8" s="1"/>
  <c r="D19" i="1" s="1"/>
  <c r="D33" i="1" s="1"/>
  <c r="Q14" i="8"/>
  <c r="Q16" i="8" s="1"/>
  <c r="U14" i="8"/>
  <c r="U16" i="8" s="1"/>
  <c r="N14" i="8"/>
  <c r="N16" i="8" s="1"/>
  <c r="C8" i="8" s="1"/>
  <c r="H8" i="8" s="1"/>
  <c r="D20" i="1" s="1"/>
  <c r="D34" i="1" s="1"/>
  <c r="R14" i="8"/>
  <c r="R16" i="8" s="1"/>
  <c r="L14" i="8"/>
  <c r="L16" i="8" s="1"/>
  <c r="C6" i="8" s="1"/>
  <c r="H6" i="8" s="1"/>
  <c r="D18" i="1" s="1"/>
  <c r="O14" i="8"/>
  <c r="O16" i="8" s="1"/>
  <c r="C9" i="8" s="1"/>
  <c r="H9" i="8" s="1"/>
  <c r="D21" i="1" s="1"/>
  <c r="D35" i="1" s="1"/>
  <c r="S14" i="8"/>
  <c r="S16" i="8" s="1"/>
  <c r="C11" i="8" s="1"/>
  <c r="H11" i="8" s="1"/>
  <c r="D23" i="1" s="1"/>
  <c r="D37" i="1" s="1"/>
  <c r="P14" i="4"/>
  <c r="U14" i="4"/>
  <c r="M9" i="4"/>
  <c r="L23" i="4"/>
  <c r="F6" i="4" s="1"/>
  <c r="L19" i="4"/>
  <c r="L16" i="4"/>
  <c r="Z47" i="2"/>
  <c r="V47" i="2"/>
  <c r="R47" i="2"/>
  <c r="Y47" i="2"/>
  <c r="U47" i="2"/>
  <c r="X47" i="2"/>
  <c r="T47" i="2"/>
  <c r="W47" i="2"/>
  <c r="S47" i="2"/>
  <c r="H32" i="1" l="1"/>
  <c r="G32" i="1"/>
  <c r="F32" i="1"/>
  <c r="E32" i="1"/>
  <c r="D32" i="1"/>
  <c r="I4" i="1"/>
  <c r="J15" i="2"/>
  <c r="J14" i="2"/>
  <c r="J12" i="2"/>
  <c r="J13" i="2"/>
  <c r="J10" i="2"/>
  <c r="J9" i="2"/>
  <c r="J11" i="2"/>
  <c r="J16" i="2"/>
  <c r="C13" i="8"/>
  <c r="C15" i="8"/>
  <c r="H15" i="8" s="1"/>
  <c r="D27" i="1" s="1"/>
  <c r="D41" i="1" s="1"/>
  <c r="C13" i="11"/>
  <c r="C15" i="11"/>
  <c r="H15" i="11" s="1"/>
  <c r="E27" i="1" s="1"/>
  <c r="E41" i="1" s="1"/>
  <c r="H11" i="11"/>
  <c r="E23" i="1" s="1"/>
  <c r="E37" i="1" s="1"/>
  <c r="C16" i="14"/>
  <c r="H16" i="14" s="1"/>
  <c r="F27" i="1" s="1"/>
  <c r="F41" i="1" s="1"/>
  <c r="C14" i="14"/>
  <c r="H14" i="14" s="1"/>
  <c r="F25" i="1" s="1"/>
  <c r="F39" i="1" s="1"/>
  <c r="C12" i="8"/>
  <c r="H12" i="8" s="1"/>
  <c r="D24" i="1" s="1"/>
  <c r="D38" i="1" s="1"/>
  <c r="C14" i="8"/>
  <c r="H14" i="8" s="1"/>
  <c r="D26" i="1" s="1"/>
  <c r="D40" i="1" s="1"/>
  <c r="C12" i="11"/>
  <c r="H12" i="11" s="1"/>
  <c r="E24" i="1" s="1"/>
  <c r="E38" i="1" s="1"/>
  <c r="C14" i="11"/>
  <c r="C13" i="14"/>
  <c r="H13" i="14" s="1"/>
  <c r="F24" i="1" s="1"/>
  <c r="F38" i="1" s="1"/>
  <c r="C15" i="14"/>
  <c r="H15" i="14" s="1"/>
  <c r="F26" i="1" s="1"/>
  <c r="F40" i="1" s="1"/>
  <c r="C14" i="17"/>
  <c r="H14" i="17" s="1"/>
  <c r="G26" i="1" s="1"/>
  <c r="G40" i="1" s="1"/>
  <c r="C12" i="17"/>
  <c r="H12" i="17" s="1"/>
  <c r="G24" i="1" s="1"/>
  <c r="G38" i="1" s="1"/>
  <c r="C15" i="20"/>
  <c r="H15" i="20" s="1"/>
  <c r="H27" i="1" s="1"/>
  <c r="H41" i="1" s="1"/>
  <c r="C13" i="20"/>
  <c r="H13" i="20" s="1"/>
  <c r="H25" i="1" s="1"/>
  <c r="H39" i="1" s="1"/>
  <c r="C15" i="17"/>
  <c r="H15" i="17" s="1"/>
  <c r="G27" i="1" s="1"/>
  <c r="G41" i="1" s="1"/>
  <c r="C13" i="17"/>
  <c r="H13" i="17" s="1"/>
  <c r="G25" i="1" s="1"/>
  <c r="G39" i="1" s="1"/>
  <c r="C14" i="20"/>
  <c r="H14" i="20" s="1"/>
  <c r="H26" i="1" s="1"/>
  <c r="H40" i="1" s="1"/>
  <c r="C12" i="20"/>
  <c r="H12" i="20" s="1"/>
  <c r="H24" i="1" s="1"/>
  <c r="H38" i="1" s="1"/>
  <c r="J8" i="2"/>
  <c r="C5" i="1" s="1"/>
  <c r="N9" i="4"/>
  <c r="M10" i="4"/>
  <c r="Q19" i="4"/>
  <c r="N19" i="4"/>
  <c r="O19" i="4"/>
  <c r="S19" i="4"/>
  <c r="P19" i="4"/>
  <c r="T19" i="4"/>
  <c r="U19" i="4"/>
  <c r="R19" i="4"/>
  <c r="M19" i="4"/>
  <c r="E7" i="4" s="1"/>
  <c r="E6" i="4"/>
  <c r="H42" i="1" l="1"/>
  <c r="H28" i="1"/>
  <c r="G42" i="1"/>
  <c r="G28" i="1"/>
  <c r="F28" i="1"/>
  <c r="F42" i="1"/>
  <c r="C7" i="1"/>
  <c r="I7" i="1" s="1"/>
  <c r="C12" i="1"/>
  <c r="I12" i="1" s="1"/>
  <c r="C13" i="1"/>
  <c r="C10" i="1"/>
  <c r="C8" i="1"/>
  <c r="C9" i="1"/>
  <c r="I9" i="1" s="1"/>
  <c r="C6" i="1"/>
  <c r="C11" i="1"/>
  <c r="I11" i="1" s="1"/>
  <c r="I17" i="2"/>
  <c r="J17" i="2" s="1"/>
  <c r="H13" i="11"/>
  <c r="E25" i="1" s="1"/>
  <c r="E39" i="1" s="1"/>
  <c r="H14" i="11"/>
  <c r="E26" i="1" s="1"/>
  <c r="E40" i="1" s="1"/>
  <c r="H13" i="8"/>
  <c r="D25" i="1" s="1"/>
  <c r="D39" i="1" s="1"/>
  <c r="D42" i="1" s="1"/>
  <c r="I5" i="1"/>
  <c r="O9" i="4"/>
  <c r="N10" i="4"/>
  <c r="M13" i="4"/>
  <c r="M16" i="4" s="1"/>
  <c r="C7" i="4" s="1"/>
  <c r="M23" i="4"/>
  <c r="F7" i="4" s="1"/>
  <c r="E8" i="4"/>
  <c r="E42" i="1" l="1"/>
  <c r="E28" i="1"/>
  <c r="D28" i="1"/>
  <c r="C14" i="1"/>
  <c r="I10" i="1"/>
  <c r="I6" i="1"/>
  <c r="C18" i="1"/>
  <c r="I8" i="1"/>
  <c r="I13" i="1"/>
  <c r="H7" i="4"/>
  <c r="N23" i="4"/>
  <c r="F8" i="4" s="1"/>
  <c r="N13" i="4"/>
  <c r="N16" i="4" s="1"/>
  <c r="C8" i="4" s="1"/>
  <c r="O10" i="4"/>
  <c r="P9" i="4"/>
  <c r="E9" i="4"/>
  <c r="I14" i="1" l="1"/>
  <c r="C19" i="1"/>
  <c r="C33" i="1" s="1"/>
  <c r="I33" i="1" s="1"/>
  <c r="C32" i="1"/>
  <c r="I18" i="1"/>
  <c r="H8" i="4"/>
  <c r="O23" i="4"/>
  <c r="F9" i="4" s="1"/>
  <c r="O13" i="4"/>
  <c r="O16" i="4" s="1"/>
  <c r="C9" i="4" s="1"/>
  <c r="P10" i="4"/>
  <c r="Q9" i="4"/>
  <c r="E10" i="4"/>
  <c r="I32" i="1" l="1"/>
  <c r="C20" i="1"/>
  <c r="I19" i="1"/>
  <c r="H9" i="4"/>
  <c r="Q10" i="4"/>
  <c r="R9" i="4"/>
  <c r="P23" i="4"/>
  <c r="F10" i="4" s="1"/>
  <c r="P13" i="4"/>
  <c r="P16" i="4" s="1"/>
  <c r="C10" i="4" s="1"/>
  <c r="E11" i="4"/>
  <c r="C34" i="1" l="1"/>
  <c r="I20" i="1"/>
  <c r="C21" i="1"/>
  <c r="C35" i="1" s="1"/>
  <c r="I35" i="1" s="1"/>
  <c r="H10" i="4"/>
  <c r="S9" i="4"/>
  <c r="R10" i="4"/>
  <c r="Q23" i="4"/>
  <c r="F11" i="4" s="1"/>
  <c r="Q13" i="4"/>
  <c r="Q16" i="4" s="1"/>
  <c r="E13" i="4"/>
  <c r="I34" i="1" l="1"/>
  <c r="C22" i="1"/>
  <c r="C36" i="1" s="1"/>
  <c r="I36" i="1" s="1"/>
  <c r="I21" i="1"/>
  <c r="T9" i="4"/>
  <c r="S10" i="4"/>
  <c r="R13" i="4"/>
  <c r="R16" i="4" s="1"/>
  <c r="R23" i="4"/>
  <c r="F12" i="4" s="1"/>
  <c r="E14" i="4"/>
  <c r="I22" i="1" l="1"/>
  <c r="U9" i="4"/>
  <c r="U10" i="4" s="1"/>
  <c r="T10" i="4"/>
  <c r="S23" i="4"/>
  <c r="F13" i="4" s="1"/>
  <c r="S13" i="4"/>
  <c r="S16" i="4" s="1"/>
  <c r="C11" i="4" s="1"/>
  <c r="E15" i="4"/>
  <c r="E12" i="4"/>
  <c r="H11" i="4" l="1"/>
  <c r="T23" i="4"/>
  <c r="F14" i="4" s="1"/>
  <c r="T13" i="4"/>
  <c r="T16" i="4" s="1"/>
  <c r="U23" i="4"/>
  <c r="F15" i="4" s="1"/>
  <c r="U13" i="4"/>
  <c r="U16" i="4" s="1"/>
  <c r="C23" i="1" l="1"/>
  <c r="C15" i="4"/>
  <c r="C13" i="4"/>
  <c r="C14" i="4"/>
  <c r="C12" i="4"/>
  <c r="C37" i="1" l="1"/>
  <c r="I23" i="1"/>
  <c r="H12" i="4"/>
  <c r="C24" i="1" s="1"/>
  <c r="C38" i="1" s="1"/>
  <c r="I38" i="1" s="1"/>
  <c r="H14" i="4"/>
  <c r="C26" i="1" s="1"/>
  <c r="C40" i="1" s="1"/>
  <c r="I40" i="1" s="1"/>
  <c r="H13" i="4"/>
  <c r="C25" i="1" s="1"/>
  <c r="C39" i="1" s="1"/>
  <c r="I39" i="1" s="1"/>
  <c r="H15" i="4"/>
  <c r="C27" i="1" s="1"/>
  <c r="C41" i="1" s="1"/>
  <c r="I41" i="1" s="1"/>
  <c r="I37" i="1" l="1"/>
  <c r="I42" i="1" s="1"/>
  <c r="C42" i="1"/>
  <c r="C28" i="1"/>
  <c r="I27" i="1"/>
  <c r="I25" i="1"/>
  <c r="I26" i="1"/>
  <c r="I24" i="1"/>
  <c r="I28" i="1" l="1"/>
  <c r="D47" i="1" l="1"/>
  <c r="D49" i="1"/>
  <c r="D50" i="1"/>
  <c r="D51" i="1"/>
  <c r="D52" i="1"/>
  <c r="D53" i="1"/>
  <c r="D54" i="1"/>
  <c r="D55" i="1"/>
  <c r="D46" i="1"/>
  <c r="C47" i="1"/>
  <c r="C51" i="1"/>
  <c r="C55" i="1"/>
  <c r="F55" i="1" l="1"/>
  <c r="C46" i="1"/>
  <c r="F51" i="1"/>
  <c r="F47" i="1"/>
  <c r="D48" i="1"/>
  <c r="D56" i="1" s="1"/>
  <c r="C54" i="1"/>
  <c r="F54" i="1" s="1"/>
  <c r="C50" i="1"/>
  <c r="F50" i="1" s="1"/>
  <c r="C49" i="1"/>
  <c r="F49" i="1" s="1"/>
  <c r="C53" i="1"/>
  <c r="F53" i="1" s="1"/>
  <c r="C52" i="1"/>
  <c r="F52" i="1" s="1"/>
  <c r="C48" i="1"/>
  <c r="F46" i="1" l="1"/>
  <c r="C56" i="1"/>
  <c r="F48" i="1"/>
  <c r="F5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6E158FA6-F9E8-4D0C-BEF8-B64724D34B23}">
      <text>
        <r>
          <rPr>
            <b/>
            <sz val="9"/>
            <color indexed="81"/>
            <rFont val="Segoe UI"/>
            <family val="2"/>
          </rPr>
          <t>Lucas Faustino:</t>
        </r>
        <r>
          <rPr>
            <sz val="9"/>
            <color indexed="81"/>
            <rFont val="Segoe UI"/>
            <family val="2"/>
          </rPr>
          <t xml:space="preserve">
Equation 2</t>
        </r>
      </text>
    </comment>
    <comment ref="P2" authorId="0" shapeId="0" xr:uid="{49AE3379-5593-494F-94BA-7E918CD43F2D}">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DD2F04A8-E3D3-4C3A-9370-D4E3F946FBCA}">
      <text>
        <r>
          <rPr>
            <sz val="9"/>
            <color indexed="81"/>
            <rFont val="Tahoma"/>
            <family val="2"/>
          </rPr>
          <t>According to methodology AMS.III.D, v.21</t>
        </r>
      </text>
    </comment>
    <comment ref="M5" authorId="2" shapeId="0" xr:uid="{8E085A56-9D7B-49AF-98BF-9EDAB43714A4}">
      <text>
        <r>
          <rPr>
            <sz val="10"/>
            <color indexed="81"/>
            <rFont val="Tahoma"/>
            <family val="2"/>
          </rPr>
          <t>According to methodology AMS.III.D, v.21</t>
        </r>
      </text>
    </comment>
    <comment ref="M6" authorId="1" shapeId="0" xr:uid="{75664984-74DC-4352-85E1-1B925E2799A7}">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E047C869-5DAC-4699-88B6-58D0F28554EE}">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6C06CD29-1F98-4634-AC5F-9F43C8772E65}">
      <text>
        <r>
          <rPr>
            <sz val="9"/>
            <color indexed="81"/>
            <rFont val="Tahoma"/>
            <family val="2"/>
          </rPr>
          <t>According to VCS PD, all waste was sent to the baseline treatment system (anaerobic lagoons) prior to the project initiation.</t>
        </r>
      </text>
    </comment>
    <comment ref="L10" authorId="2" shapeId="0" xr:uid="{CCF9D28B-31A3-4DDB-B825-03A77A05C75C}">
      <text>
        <r>
          <rPr>
            <sz val="8"/>
            <color indexed="81"/>
            <rFont val="Tahoma"/>
            <family val="2"/>
          </rPr>
          <t>According to Tables 10.13A, 10.16A and 10.A5 - Chapter 10 of 2019 Refinement to the 2006 IPCC Guidelines for National Greenhouse Gas Inventories.</t>
        </r>
      </text>
    </comment>
    <comment ref="L14" authorId="1" shapeId="0" xr:uid="{567186E6-10F6-445E-8E3F-7C2E1F09D67C}">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ACAD9D92-6494-4266-B557-85CA8BF7BC2E}">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C9BF2F6F-9B9D-4AAC-9B9C-8A4B7E048C42}">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0038E288-C5D9-4548-B0DB-9C125E46A488}">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74F444E7-19C8-405B-B117-4F6D2A183379}">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AD20D8BC-B2A0-4DE3-9FDE-3093F1DA602F}">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6A5EC5DC-2386-4AD1-BE20-3416BEF4BAF9}">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s>
  <commentList>
    <comment ref="B2" authorId="0" shapeId="0" xr:uid="{1146D025-D8F0-4C52-A2BB-69513635A4E1}">
      <text>
        <r>
          <rPr>
            <b/>
            <sz val="9"/>
            <color indexed="81"/>
            <rFont val="Segoe UI"/>
            <family val="2"/>
          </rPr>
          <t>Lucas Faustino:</t>
        </r>
        <r>
          <rPr>
            <sz val="9"/>
            <color indexed="81"/>
            <rFont val="Segoe UI"/>
            <family val="2"/>
          </rPr>
          <t xml:space="preserve">
Equation 6.</t>
        </r>
      </text>
    </comment>
    <comment ref="J2" authorId="1" shapeId="0" xr:uid="{3BB600D1-C197-4AF4-B8D6-E2CDD5F43201}">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J11" authorId="1" shapeId="0" xr:uid="{0C45478D-781A-492B-998E-6885B6F8830A}">
      <text>
        <r>
          <rPr>
            <sz val="9"/>
            <color indexed="81"/>
            <rFont val="Tahoma"/>
            <family val="2"/>
          </rPr>
          <t>Equation 7.</t>
        </r>
      </text>
    </comment>
    <comment ref="J13" authorId="0" shapeId="0" xr:uid="{9697880B-F8C2-4BFC-9D96-AE1E824B84F3}">
      <text>
        <r>
          <rPr>
            <b/>
            <sz val="9"/>
            <color indexed="81"/>
            <rFont val="Segoe UI"/>
            <family val="2"/>
          </rPr>
          <t>Lucas Faustino:</t>
        </r>
        <r>
          <rPr>
            <sz val="9"/>
            <color indexed="81"/>
            <rFont val="Segoe UI"/>
            <family val="2"/>
          </rPr>
          <t xml:space="preserve">
Equation 7.</t>
        </r>
      </text>
    </comment>
    <comment ref="J17" authorId="1" shapeId="0" xr:uid="{27964886-BF45-48E9-8936-454A41A994C7}">
      <text>
        <r>
          <rPr>
            <sz val="9"/>
            <color indexed="81"/>
            <rFont val="Tahoma"/>
            <family val="2"/>
          </rPr>
          <t>Equation 10.</t>
        </r>
      </text>
    </comment>
    <comment ref="J20" authorId="0" shapeId="0" xr:uid="{918B88C3-0927-435F-A207-191AFD584599}">
      <text>
        <r>
          <rPr>
            <sz val="9"/>
            <color indexed="81"/>
            <rFont val="Segoe UI"/>
            <family val="2"/>
          </rPr>
          <t>Equation 11.</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9FC335B3-8F06-402B-BD96-C0963A392BEC}">
      <text>
        <r>
          <rPr>
            <b/>
            <sz val="9"/>
            <color indexed="81"/>
            <rFont val="Segoe UI"/>
            <family val="2"/>
          </rPr>
          <t>Lucas Faustino:</t>
        </r>
        <r>
          <rPr>
            <sz val="9"/>
            <color indexed="81"/>
            <rFont val="Segoe UI"/>
            <family val="2"/>
          </rPr>
          <t xml:space="preserve">
Equation 2</t>
        </r>
      </text>
    </comment>
    <comment ref="P2" authorId="0" shapeId="0" xr:uid="{75C1DA4F-6A7E-4B6A-BFFF-3D697EDB4F94}">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C19EB7FB-945A-46B4-BAAC-2B9CEAF241CC}">
      <text>
        <r>
          <rPr>
            <sz val="9"/>
            <color indexed="81"/>
            <rFont val="Tahoma"/>
            <family val="2"/>
          </rPr>
          <t>According to methodology AMS.III.D, v.21</t>
        </r>
      </text>
    </comment>
    <comment ref="M5" authorId="2" shapeId="0" xr:uid="{70B312F1-DD7E-4B6B-86F9-98419386771F}">
      <text>
        <r>
          <rPr>
            <sz val="10"/>
            <color indexed="81"/>
            <rFont val="Tahoma"/>
            <family val="2"/>
          </rPr>
          <t>According to methodology AMS.III.D, v.21</t>
        </r>
      </text>
    </comment>
    <comment ref="M6" authorId="1" shapeId="0" xr:uid="{190C0239-9267-4E0C-94CD-32D7E239411E}">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8DC6EFB3-58B1-4094-8987-FE1E65EA2D0C}">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183A8E42-1682-4BEF-8FE5-7144C2A0BDCB}">
      <text>
        <r>
          <rPr>
            <sz val="9"/>
            <color indexed="81"/>
            <rFont val="Tahoma"/>
            <family val="2"/>
          </rPr>
          <t>According to VCS PD, all waste was sent to the baseline treatment system (anaerobic lagoons) prior to the project initiation.</t>
        </r>
      </text>
    </comment>
    <comment ref="L10" authorId="2" shapeId="0" xr:uid="{78D664D6-549D-4595-8C34-3D44A6FDE5E2}">
      <text>
        <r>
          <rPr>
            <sz val="8"/>
            <color indexed="81"/>
            <rFont val="Tahoma"/>
            <family val="2"/>
          </rPr>
          <t>According to Tables 10.13A, 10.16A and 10.A5 - Chapter 10 of 2019 Refinement to the 2006 IPCC Guidelines for National Greenhouse Gas Inventories.</t>
        </r>
      </text>
    </comment>
    <comment ref="L14" authorId="1" shapeId="0" xr:uid="{5DC5571E-C310-4040-B13F-92E4EB37F82F}">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54057634-BBC7-48AC-985C-46EC6DFC1E49}">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D767F71F-6FAA-4B57-9E74-12B71BCCA56A}">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53811CBE-C47D-4931-B980-93D0D7B46194}">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9883D1E4-06BF-41C5-A13C-AE738B0ED993}">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76C0D297-5B78-4D3F-AC95-B8FE626F0F7D}">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8D30CE84-9336-4D70-B217-AA3C4A6F0F50}">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s>
  <commentList>
    <comment ref="B2" authorId="0" shapeId="0" xr:uid="{621820EF-6B29-4114-A7CD-03812011F7AF}">
      <text>
        <r>
          <rPr>
            <b/>
            <sz val="9"/>
            <color indexed="81"/>
            <rFont val="Segoe UI"/>
            <family val="2"/>
          </rPr>
          <t>Lucas Faustino:</t>
        </r>
        <r>
          <rPr>
            <sz val="9"/>
            <color indexed="81"/>
            <rFont val="Segoe UI"/>
            <family val="2"/>
          </rPr>
          <t xml:space="preserve">
Equation 6.</t>
        </r>
      </text>
    </comment>
    <comment ref="J2" authorId="1" shapeId="0" xr:uid="{E99FCA0E-1E90-4157-98C6-75A082E6974B}">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J11" authorId="1" shapeId="0" xr:uid="{56E66E3C-5CF7-463E-830E-4DB1EDD59BE3}">
      <text>
        <r>
          <rPr>
            <sz val="9"/>
            <color indexed="81"/>
            <rFont val="Tahoma"/>
            <family val="2"/>
          </rPr>
          <t>Equation 7.</t>
        </r>
      </text>
    </comment>
    <comment ref="J13" authorId="0" shapeId="0" xr:uid="{0FC802FF-9DA6-44EF-B919-0053193340D0}">
      <text>
        <r>
          <rPr>
            <b/>
            <sz val="9"/>
            <color indexed="81"/>
            <rFont val="Segoe UI"/>
            <family val="2"/>
          </rPr>
          <t>Lucas Faustino:</t>
        </r>
        <r>
          <rPr>
            <sz val="9"/>
            <color indexed="81"/>
            <rFont val="Segoe UI"/>
            <family val="2"/>
          </rPr>
          <t xml:space="preserve">
Equation 7.</t>
        </r>
      </text>
    </comment>
    <comment ref="J17" authorId="1" shapeId="0" xr:uid="{51F8225C-CB35-4622-8D74-6E323C300623}">
      <text>
        <r>
          <rPr>
            <sz val="9"/>
            <color indexed="81"/>
            <rFont val="Tahoma"/>
            <family val="2"/>
          </rPr>
          <t>Equation 10.</t>
        </r>
      </text>
    </comment>
    <comment ref="J20" authorId="0" shapeId="0" xr:uid="{CEA42E40-676A-4A5C-8EBC-929A89D5F6DE}">
      <text>
        <r>
          <rPr>
            <sz val="9"/>
            <color indexed="81"/>
            <rFont val="Segoe UI"/>
            <family val="2"/>
          </rPr>
          <t xml:space="preserve">Equation 11.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Lucas Faustino</author>
  </authors>
  <commentList>
    <comment ref="I30" authorId="0" shapeId="0" xr:uid="{2B8520F9-1A0A-4545-A30A-B4858A2FBCB8}">
      <text>
        <r>
          <rPr>
            <b/>
            <sz val="9"/>
            <color indexed="81"/>
            <rFont val="Segoe UI"/>
            <family val="2"/>
          </rPr>
          <t>Lucas Faustino:</t>
        </r>
        <r>
          <rPr>
            <sz val="9"/>
            <color indexed="81"/>
            <rFont val="Segoe UI"/>
            <family val="2"/>
          </rPr>
          <t xml:space="preserve">
Emission factor for electricity generation for source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s>
  <commentList>
    <comment ref="B2" authorId="0" shapeId="0" xr:uid="{93E34B29-CF45-48C4-97E2-8B782944CBD8}">
      <text>
        <r>
          <rPr>
            <b/>
            <sz val="9"/>
            <color indexed="81"/>
            <rFont val="Segoe UI"/>
            <family val="2"/>
          </rPr>
          <t>Lucas Faustino:</t>
        </r>
        <r>
          <rPr>
            <sz val="9"/>
            <color indexed="81"/>
            <rFont val="Segoe UI"/>
            <family val="2"/>
          </rPr>
          <t xml:space="preserve">
Equation 6.</t>
        </r>
      </text>
    </comment>
    <comment ref="J2" authorId="1" shapeId="0" xr:uid="{4680B8E3-AB9B-44D0-B6C3-87848CE96756}">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K7" authorId="0" shapeId="0" xr:uid="{9BBC61F0-F47B-474C-B9EA-68BC1FDA1440}">
      <text>
        <r>
          <rPr>
            <b/>
            <sz val="9"/>
            <color indexed="81"/>
            <rFont val="Segoe UI"/>
            <family val="2"/>
          </rPr>
          <t>Lucas Faustino:</t>
        </r>
        <r>
          <rPr>
            <sz val="9"/>
            <color indexed="81"/>
            <rFont val="Segoe UI"/>
            <family val="2"/>
          </rPr>
          <t xml:space="preserve">
The daily production of waste for piglets was considered equal to that of nursery. This approach is conservative, as it probably leads to higher project emissions.</t>
        </r>
      </text>
    </comment>
    <comment ref="J11" authorId="1" shapeId="0" xr:uid="{4889AD46-AD0E-4F2D-BF77-059D4078C876}">
      <text>
        <r>
          <rPr>
            <sz val="9"/>
            <color indexed="81"/>
            <rFont val="Tahoma"/>
            <family val="2"/>
          </rPr>
          <t>Equation 7.</t>
        </r>
      </text>
    </comment>
    <comment ref="J13" authorId="0" shapeId="0" xr:uid="{B9C84747-B667-44EC-BCC1-B1ED8BF01691}">
      <text>
        <r>
          <rPr>
            <b/>
            <sz val="9"/>
            <color indexed="81"/>
            <rFont val="Segoe UI"/>
            <family val="2"/>
          </rPr>
          <t>Lucas Faustino:</t>
        </r>
        <r>
          <rPr>
            <sz val="9"/>
            <color indexed="81"/>
            <rFont val="Segoe UI"/>
            <family val="2"/>
          </rPr>
          <t xml:space="preserve">
Equation 7.</t>
        </r>
      </text>
    </comment>
    <comment ref="J17" authorId="1" shapeId="0" xr:uid="{F8E079F0-8BE7-401D-AF0E-101590D1055A}">
      <text>
        <r>
          <rPr>
            <sz val="9"/>
            <color indexed="81"/>
            <rFont val="Tahoma"/>
            <family val="2"/>
          </rPr>
          <t>Equation 10.</t>
        </r>
      </text>
    </comment>
    <comment ref="J20" authorId="0" shapeId="0" xr:uid="{FA217DF2-B75F-47F1-A939-29691B33DE57}">
      <text>
        <r>
          <rPr>
            <sz val="9"/>
            <color indexed="81"/>
            <rFont val="Segoe UI"/>
            <family val="2"/>
          </rPr>
          <t>Equation 11.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B5225953-D951-4259-8960-6B1AA013BB33}">
      <text>
        <r>
          <rPr>
            <b/>
            <sz val="9"/>
            <color indexed="81"/>
            <rFont val="Segoe UI"/>
            <family val="2"/>
          </rPr>
          <t>Lucas Faustino:</t>
        </r>
        <r>
          <rPr>
            <sz val="9"/>
            <color indexed="81"/>
            <rFont val="Segoe UI"/>
            <family val="2"/>
          </rPr>
          <t xml:space="preserve">
Equation 2</t>
        </r>
      </text>
    </comment>
    <comment ref="P2" authorId="0" shapeId="0" xr:uid="{EEF3B7C8-6FA4-4A7F-8E77-5184E6D0BDD2}">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D3145D58-40E5-425A-9C20-9EB304F3B46A}">
      <text>
        <r>
          <rPr>
            <sz val="9"/>
            <color indexed="81"/>
            <rFont val="Tahoma"/>
            <family val="2"/>
          </rPr>
          <t>According to methodology AMS.III.D, v.21</t>
        </r>
      </text>
    </comment>
    <comment ref="M5" authorId="2" shapeId="0" xr:uid="{8B07F117-F49C-4B48-A715-74D3D0FA0724}">
      <text>
        <r>
          <rPr>
            <sz val="10"/>
            <color indexed="81"/>
            <rFont val="Tahoma"/>
            <family val="2"/>
          </rPr>
          <t>According to methodology AMS.III.D, v.21</t>
        </r>
      </text>
    </comment>
    <comment ref="M6" authorId="1" shapeId="0" xr:uid="{206AB956-727A-44B7-B793-3C834EDB4017}">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462AE5B5-561F-4749-A88A-087D823207CF}">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2F8D6083-9A09-4851-917F-22FF92E9698C}">
      <text>
        <r>
          <rPr>
            <sz val="9"/>
            <color indexed="81"/>
            <rFont val="Tahoma"/>
            <family val="2"/>
          </rPr>
          <t>According to VCS PD, all waste was sent to the baseline treatment system (anaerobic lagoons) prior to the project initiation.</t>
        </r>
      </text>
    </comment>
    <comment ref="L10" authorId="2" shapeId="0" xr:uid="{89BDC8ED-7C9F-4CF8-861E-977FDD42251A}">
      <text>
        <r>
          <rPr>
            <sz val="8"/>
            <color indexed="81"/>
            <rFont val="Tahoma"/>
            <family val="2"/>
          </rPr>
          <t>According to Tables 10.13A, 10.16A and 10.A5 - Chapter 10 of 2019 Refinement to the 2006 IPCC Guidelines for National Greenhouse Gas Inventories.</t>
        </r>
      </text>
    </comment>
    <comment ref="L14" authorId="1" shapeId="0" xr:uid="{C64EE721-CA04-42EE-BAE6-F9D569F8E479}">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27F59E98-FC21-4476-BF2B-C233397DD6C3}">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F0069741-CEA4-4D8A-BA3C-34AE71DF8C81}">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A4800A16-9955-4A87-9492-F1C553E2A2D6}">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A7310773-1178-405C-A57B-7928FC281211}">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DF0397B2-3B93-45DF-BBE7-EB14518F94E5}">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89B930A1-0BB6-46A5-AD97-CB3D951F85F4}">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Lenovo Ideapad</author>
  </authors>
  <commentList>
    <comment ref="B2" authorId="0" shapeId="0" xr:uid="{720EBB19-279F-40F3-9D88-BAC61EA091A9}">
      <text>
        <r>
          <rPr>
            <b/>
            <sz val="9"/>
            <color indexed="81"/>
            <rFont val="Segoe UI"/>
            <family val="2"/>
          </rPr>
          <t>Lucas Faustino:</t>
        </r>
        <r>
          <rPr>
            <sz val="9"/>
            <color indexed="81"/>
            <rFont val="Segoe UI"/>
            <family val="2"/>
          </rPr>
          <t xml:space="preserve">
Equation 6.</t>
        </r>
      </text>
    </comment>
    <comment ref="J2" authorId="1" shapeId="0" xr:uid="{7931D006-EEC9-4EEB-A1AC-02D11BB59F83}">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K3" authorId="2" shapeId="0" xr:uid="{F9CBF49E-7A02-4616-B5E9-1FA75A106A6A}">
      <text>
        <r>
          <rPr>
            <b/>
            <sz val="9"/>
            <color indexed="81"/>
            <rFont val="Segoe UI"/>
            <charset val="1"/>
          </rPr>
          <t>Lenovo Ideapad:</t>
        </r>
        <r>
          <rPr>
            <sz val="9"/>
            <color indexed="81"/>
            <rFont val="Segoe UI"/>
            <charset val="1"/>
          </rPr>
          <t xml:space="preserve">
Source:
OLIVEIRA, P.A.V. Produção e Manejo de Dejetos de Suínos, available at: &lt;http://www.cnpsa.embrapa.br/pnma/pdf_doc/8-PauloArmando_Producao.pdf&gt;.
Values described on the third column of Table 1.</t>
        </r>
      </text>
    </comment>
    <comment ref="J11" authorId="1" shapeId="0" xr:uid="{A6A71F02-7074-426E-9D24-A58CECFF5970}">
      <text>
        <r>
          <rPr>
            <sz val="9"/>
            <color indexed="81"/>
            <rFont val="Tahoma"/>
            <family val="2"/>
          </rPr>
          <t>Equation 7.</t>
        </r>
      </text>
    </comment>
    <comment ref="J13" authorId="0" shapeId="0" xr:uid="{432FF8BA-6268-409D-AC7A-20E3AFBE1D17}">
      <text>
        <r>
          <rPr>
            <b/>
            <sz val="9"/>
            <color indexed="81"/>
            <rFont val="Segoe UI"/>
            <family val="2"/>
          </rPr>
          <t>Lucas Faustino:</t>
        </r>
        <r>
          <rPr>
            <sz val="9"/>
            <color indexed="81"/>
            <rFont val="Segoe UI"/>
            <family val="2"/>
          </rPr>
          <t xml:space="preserve">
Equation 7.</t>
        </r>
      </text>
    </comment>
    <comment ref="J17" authorId="1" shapeId="0" xr:uid="{ABE3B98E-952C-4CF3-8550-332B4B2F68DE}">
      <text>
        <r>
          <rPr>
            <sz val="9"/>
            <color indexed="81"/>
            <rFont val="Tahoma"/>
            <family val="2"/>
          </rPr>
          <t>Equation 10.</t>
        </r>
      </text>
    </comment>
    <comment ref="J20" authorId="0" shapeId="0" xr:uid="{35993ACF-EC53-4B1B-BAFB-6D7B5E79609C}">
      <text>
        <r>
          <rPr>
            <sz val="9"/>
            <color indexed="81"/>
            <rFont val="Segoe UI"/>
            <family val="2"/>
          </rPr>
          <t>Equation 11.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F4918557-D283-4A95-BB04-8C68F8037A81}">
      <text>
        <r>
          <rPr>
            <b/>
            <sz val="9"/>
            <color indexed="81"/>
            <rFont val="Segoe UI"/>
            <family val="2"/>
          </rPr>
          <t>Lucas Faustino:</t>
        </r>
        <r>
          <rPr>
            <sz val="9"/>
            <color indexed="81"/>
            <rFont val="Segoe UI"/>
            <family val="2"/>
          </rPr>
          <t xml:space="preserve">
Equation 2</t>
        </r>
      </text>
    </comment>
    <comment ref="P2" authorId="0" shapeId="0" xr:uid="{F472BBC4-EC50-4B6F-B865-EC509F2B6631}">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ADD5204C-AD6A-40F5-BE0B-A38010724D22}">
      <text>
        <r>
          <rPr>
            <sz val="9"/>
            <color indexed="81"/>
            <rFont val="Tahoma"/>
            <family val="2"/>
          </rPr>
          <t>According to methodology AMS.III.D, v.21</t>
        </r>
      </text>
    </comment>
    <comment ref="M5" authorId="2" shapeId="0" xr:uid="{1B1B4B6C-C1C0-425E-A538-C30840EAC68D}">
      <text>
        <r>
          <rPr>
            <sz val="10"/>
            <color indexed="81"/>
            <rFont val="Tahoma"/>
            <family val="2"/>
          </rPr>
          <t>According to methodology AMS.III.D, v.21</t>
        </r>
      </text>
    </comment>
    <comment ref="M6" authorId="1" shapeId="0" xr:uid="{F09E596B-E748-4AF9-9340-4106011B131A}">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14B6785B-DF10-4A2F-A452-4157F9B7E98A}">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E088F8E5-D575-4F36-B5C3-4A14F0CB1611}">
      <text>
        <r>
          <rPr>
            <sz val="9"/>
            <color indexed="81"/>
            <rFont val="Tahoma"/>
            <family val="2"/>
          </rPr>
          <t>According to VCS PD, all waste was sent to the baseline treatment system (anaerobic lagoons) prior to the project initiation.</t>
        </r>
      </text>
    </comment>
    <comment ref="L10" authorId="2" shapeId="0" xr:uid="{90130F59-C699-4F07-ADBB-0FC4FF046259}">
      <text>
        <r>
          <rPr>
            <sz val="8"/>
            <color indexed="81"/>
            <rFont val="Tahoma"/>
            <family val="2"/>
          </rPr>
          <t>According to Tables 10.13A, 10.16A and 10.A5 - Chapter 10 of 2019 Refinement to the 2006 IPCC Guidelines for National Greenhouse Gas Inventories.</t>
        </r>
      </text>
    </comment>
    <comment ref="L14" authorId="1" shapeId="0" xr:uid="{05A291A5-B083-4A99-B024-4434DFFC74FF}">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92DA92F7-6F94-42A4-AE52-7AE178EA48EF}">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A17EFE4F-DD2A-4BE9-B0BD-8E7B527EC3CA}">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3AB3E988-8D2C-4A94-8D20-648CA30FBDC7}">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19E0837B-551D-4B8C-B3D0-555CB93C60E1}">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B44A3E59-3D57-4CD6-96BA-556F6B373579}">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0191BA9C-CD78-4539-9514-4B1B557DB144}">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s>
  <commentList>
    <comment ref="B2" authorId="0" shapeId="0" xr:uid="{25B345E5-5152-4D3B-A72D-2A6B5FB788E4}">
      <text>
        <r>
          <rPr>
            <b/>
            <sz val="9"/>
            <color indexed="81"/>
            <rFont val="Segoe UI"/>
            <family val="2"/>
          </rPr>
          <t>Lucas Faustino:</t>
        </r>
        <r>
          <rPr>
            <sz val="9"/>
            <color indexed="81"/>
            <rFont val="Segoe UI"/>
            <family val="2"/>
          </rPr>
          <t xml:space="preserve">
Equation 6.</t>
        </r>
      </text>
    </comment>
    <comment ref="J2" authorId="1" shapeId="0" xr:uid="{12ACC9B4-8A62-4807-8A67-B00329C8FE87}">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J11" authorId="1" shapeId="0" xr:uid="{75E1168D-6E75-44BD-A91A-021322E42F80}">
      <text>
        <r>
          <rPr>
            <sz val="9"/>
            <color indexed="81"/>
            <rFont val="Tahoma"/>
            <family val="2"/>
          </rPr>
          <t>Equation 7.</t>
        </r>
      </text>
    </comment>
    <comment ref="J13" authorId="0" shapeId="0" xr:uid="{C507E307-A1AE-4585-9EE4-D3C0B79411E0}">
      <text>
        <r>
          <rPr>
            <b/>
            <sz val="9"/>
            <color indexed="81"/>
            <rFont val="Segoe UI"/>
            <family val="2"/>
          </rPr>
          <t>Lucas Faustino:</t>
        </r>
        <r>
          <rPr>
            <sz val="9"/>
            <color indexed="81"/>
            <rFont val="Segoe UI"/>
            <family val="2"/>
          </rPr>
          <t xml:space="preserve">
Equation 7.</t>
        </r>
      </text>
    </comment>
    <comment ref="J17" authorId="1" shapeId="0" xr:uid="{BF7B2BE4-B106-4CE4-A2AB-0BF05B51B54D}">
      <text>
        <r>
          <rPr>
            <sz val="9"/>
            <color indexed="81"/>
            <rFont val="Tahoma"/>
            <family val="2"/>
          </rPr>
          <t>Equation 10.</t>
        </r>
      </text>
    </comment>
    <comment ref="J20" authorId="0" shapeId="0" xr:uid="{FF14B865-AFB2-424B-9488-5BBD2D3F6E80}">
      <text>
        <r>
          <rPr>
            <sz val="9"/>
            <color indexed="81"/>
            <rFont val="Segoe UI"/>
            <family val="2"/>
          </rPr>
          <t>Equation 11.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84225FF6-C8E4-44F7-B3DA-C5A6C1DCA18D}">
      <text>
        <r>
          <rPr>
            <b/>
            <sz val="9"/>
            <color indexed="81"/>
            <rFont val="Segoe UI"/>
            <family val="2"/>
          </rPr>
          <t>Lucas Faustino:</t>
        </r>
        <r>
          <rPr>
            <sz val="9"/>
            <color indexed="81"/>
            <rFont val="Segoe UI"/>
            <family val="2"/>
          </rPr>
          <t xml:space="preserve">
Equation 2</t>
        </r>
      </text>
    </comment>
    <comment ref="P2" authorId="0" shapeId="0" xr:uid="{4237D04D-9908-4603-9AA0-C98F4A7B9806}">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5E165DA3-C95D-4AAF-B3DE-D6280CE7AABC}">
      <text>
        <r>
          <rPr>
            <sz val="9"/>
            <color indexed="81"/>
            <rFont val="Tahoma"/>
            <family val="2"/>
          </rPr>
          <t>According to methodology AMS.III.D, v.21</t>
        </r>
      </text>
    </comment>
    <comment ref="M5" authorId="2" shapeId="0" xr:uid="{EEDCC375-BD5F-4FB0-A0E7-97819201F980}">
      <text>
        <r>
          <rPr>
            <sz val="10"/>
            <color indexed="81"/>
            <rFont val="Tahoma"/>
            <family val="2"/>
          </rPr>
          <t>According to methodology AMS.III.D, v.21</t>
        </r>
      </text>
    </comment>
    <comment ref="M6" authorId="1" shapeId="0" xr:uid="{A3A4A339-42B2-4BA0-8758-D9357FFFB76E}">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1D18E399-EBC1-49F8-A300-B0E3257AFF45}">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225747A2-965B-42F6-866F-2F1E488E3F89}">
      <text>
        <r>
          <rPr>
            <sz val="9"/>
            <color indexed="81"/>
            <rFont val="Tahoma"/>
            <family val="2"/>
          </rPr>
          <t>According to VCS PD, all waste was sent to the baseline treatment system (anaerobic lagoons) prior to the project initiation.</t>
        </r>
      </text>
    </comment>
    <comment ref="L10" authorId="2" shapeId="0" xr:uid="{B65E4B61-6F23-401E-A3FD-C18A9B087DCE}">
      <text>
        <r>
          <rPr>
            <sz val="8"/>
            <color indexed="81"/>
            <rFont val="Tahoma"/>
            <family val="2"/>
          </rPr>
          <t>According to Tables 10.13A, 10.16A and 10.A5 - Chapter 10 of 2019 Refinement to the 2006 IPCC Guidelines for National Greenhouse Gas Inventories.</t>
        </r>
      </text>
    </comment>
    <comment ref="L14" authorId="1" shapeId="0" xr:uid="{1C00C504-1D2F-474C-B4CD-36896F29F2C3}">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7F86F1F4-9961-4312-BF73-05F656340639}">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8FD1B879-22C5-4747-9A6E-40E683F2F469}">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F7E58661-9BDE-4A46-B83F-7C82CAC85283}">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74054B4E-0FD2-44FC-B4C3-DF64A0D123F6}">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D126D0B9-6BF1-418A-BD1F-4EAE722493CE}">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161CD59D-61EB-404C-92C9-9A285DCA8B04}">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s>
  <commentList>
    <comment ref="B2" authorId="0" shapeId="0" xr:uid="{987921B9-C4A5-4705-81B0-905C218DECEC}">
      <text>
        <r>
          <rPr>
            <b/>
            <sz val="9"/>
            <color indexed="81"/>
            <rFont val="Segoe UI"/>
            <family val="2"/>
          </rPr>
          <t>Lucas Faustino:</t>
        </r>
        <r>
          <rPr>
            <sz val="9"/>
            <color indexed="81"/>
            <rFont val="Segoe UI"/>
            <family val="2"/>
          </rPr>
          <t xml:space="preserve">
Equation 6.</t>
        </r>
      </text>
    </comment>
    <comment ref="J2" authorId="1" shapeId="0" xr:uid="{1DB34087-1AE1-41C9-ADFD-6F5710BBECE7}">
      <text>
        <r>
          <rPr>
            <sz val="9"/>
            <color indexed="81"/>
            <rFont val="Tahoma"/>
            <family val="2"/>
          </rPr>
          <t xml:space="preserve">As described in VCS PD, the proposed project activity will not produce emissions referring to the consumption of fossil fuels, as there will be no fossil fuel consumption by the equipments installed as part of the project activity.
</t>
        </r>
      </text>
    </comment>
    <comment ref="J12" authorId="1" shapeId="0" xr:uid="{8359BFCB-8102-4485-B0F7-12C023DBC747}">
      <text>
        <r>
          <rPr>
            <sz val="9"/>
            <color indexed="81"/>
            <rFont val="Tahoma"/>
            <family val="2"/>
          </rPr>
          <t>Equation 7.</t>
        </r>
      </text>
    </comment>
    <comment ref="J14" authorId="0" shapeId="0" xr:uid="{04D452F9-1976-4EC8-9DEB-47661C48212D}">
      <text>
        <r>
          <rPr>
            <b/>
            <sz val="9"/>
            <color indexed="81"/>
            <rFont val="Segoe UI"/>
            <family val="2"/>
          </rPr>
          <t>Lucas Faustino:</t>
        </r>
        <r>
          <rPr>
            <sz val="9"/>
            <color indexed="81"/>
            <rFont val="Segoe UI"/>
            <family val="2"/>
          </rPr>
          <t xml:space="preserve">
Equation 7.</t>
        </r>
      </text>
    </comment>
    <comment ref="J18" authorId="1" shapeId="0" xr:uid="{488769A8-F5EA-456B-AF98-B10A9E4CBFE5}">
      <text>
        <r>
          <rPr>
            <sz val="9"/>
            <color indexed="81"/>
            <rFont val="Tahoma"/>
            <family val="2"/>
          </rPr>
          <t>Equation 10.</t>
        </r>
      </text>
    </comment>
    <comment ref="J21" authorId="0" shapeId="0" xr:uid="{73D866A4-1A7A-4458-A619-A5A67589AD68}">
      <text>
        <r>
          <rPr>
            <sz val="9"/>
            <color indexed="81"/>
            <rFont val="Segoe UI"/>
            <family val="2"/>
          </rPr>
          <t xml:space="preserve">Equation 11.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Lucas Faustino</author>
    <author>Marcelo Haddad</author>
    <author>Thiago</author>
  </authors>
  <commentList>
    <comment ref="B2" authorId="0" shapeId="0" xr:uid="{3C2C7F0C-2013-402C-9996-AE030E1BD6BD}">
      <text>
        <r>
          <rPr>
            <b/>
            <sz val="9"/>
            <color indexed="81"/>
            <rFont val="Segoe UI"/>
            <family val="2"/>
          </rPr>
          <t>Lucas Faustino:</t>
        </r>
        <r>
          <rPr>
            <sz val="9"/>
            <color indexed="81"/>
            <rFont val="Segoe UI"/>
            <family val="2"/>
          </rPr>
          <t xml:space="preserve">
Equation 2</t>
        </r>
      </text>
    </comment>
    <comment ref="P2" authorId="0" shapeId="0" xr:uid="{472B53B5-F22C-41BA-AAED-BCB42A58C249}">
      <text>
        <r>
          <rPr>
            <b/>
            <sz val="9"/>
            <color indexed="81"/>
            <rFont val="Segoe UI"/>
            <family val="2"/>
          </rPr>
          <t>Lucas Faustino:</t>
        </r>
        <r>
          <rPr>
            <sz val="9"/>
            <color indexed="81"/>
            <rFont val="Segoe UI"/>
            <family val="2"/>
          </rPr>
          <t xml:space="preserve">
Animal data for the ex-ante estimation were taken from the most recent monitoring report available for each farm.  It was considered that these values would remain constant during the crediting period. However, these parameters shall be monitored, as per provisions of the VCS PD.</t>
        </r>
      </text>
    </comment>
    <comment ref="M4" authorId="1" shapeId="0" xr:uid="{77338229-BCA9-4D29-BE37-2983A8BC3E57}">
      <text>
        <r>
          <rPr>
            <sz val="9"/>
            <color indexed="81"/>
            <rFont val="Tahoma"/>
            <family val="2"/>
          </rPr>
          <t>According to methodology AMS.III.D, v.21</t>
        </r>
      </text>
    </comment>
    <comment ref="M5" authorId="2" shapeId="0" xr:uid="{BFCBDAAA-264C-43E8-A7C7-D9E4B2DC3AB6}">
      <text>
        <r>
          <rPr>
            <sz val="10"/>
            <color indexed="81"/>
            <rFont val="Tahoma"/>
            <family val="2"/>
          </rPr>
          <t>According to methodology AMS.III.D, v.21</t>
        </r>
      </text>
    </comment>
    <comment ref="M6" authorId="1" shapeId="0" xr:uid="{2FBA1F47-82EC-4064-B826-9A3FAE38F177}">
      <text>
        <r>
          <rPr>
            <sz val="9"/>
            <color indexed="81"/>
            <rFont val="Tahoma"/>
            <family val="2"/>
          </rPr>
          <t>According to Tables 10.17 -  Chapter 10 of 2019 Refinement to the 2006 IPCC Guidelines for National Greenhouse Gas Inventories.
Uncovered anaerobic lagoons on Warm Temp. Moist Climate Zone: 73%</t>
        </r>
      </text>
    </comment>
    <comment ref="M7" authorId="1" shapeId="0" xr:uid="{B3947DBC-F241-42B6-B760-B99A14F6B2B4}">
      <text>
        <r>
          <rPr>
            <sz val="9"/>
            <color indexed="81"/>
            <rFont val="Tahoma"/>
            <family val="2"/>
          </rPr>
          <t>According to the VCS Standard v4.3., "for GHG emission reductions occurring on or before 31 December 2020, all ex-ante estimates and ex-post calculations may be converted to CO2e using either the GWP values from the IPCC Fourth Assessment Report (AR4) or those from AR5".
Therefore, the GWP adopted is from AR5, as values are also available at Table 2 of the same VCS Standard document. 
Available at: 
https://verra.org/wp-content/uploads/2022/06/VCS-Standard_v4.3.pdf
Section 3.14.4, pages 35-36</t>
        </r>
      </text>
    </comment>
    <comment ref="M8" authorId="1" shapeId="0" xr:uid="{92FFEF93-C329-4E36-86A8-4845A55C7200}">
      <text>
        <r>
          <rPr>
            <sz val="9"/>
            <color indexed="81"/>
            <rFont val="Tahoma"/>
            <family val="2"/>
          </rPr>
          <t>According to VCS PD, all waste was sent to the baseline treatment system (anaerobic lagoons) prior to the project initiation.</t>
        </r>
      </text>
    </comment>
    <comment ref="L10" authorId="2" shapeId="0" xr:uid="{85707C34-EB12-4082-A7CD-F47C7C6D074F}">
      <text>
        <r>
          <rPr>
            <sz val="8"/>
            <color indexed="81"/>
            <rFont val="Tahoma"/>
            <family val="2"/>
          </rPr>
          <t>According to Tables 10.13A, 10.16A and 10.A5 - Chapter 10 of 2019 Refinement to the 2006 IPCC Guidelines for National Greenhouse Gas Inventories.</t>
        </r>
      </text>
    </comment>
    <comment ref="L14" authorId="1" shapeId="0" xr:uid="{75F8A6AE-2566-4535-B7FF-FE38C9730582}">
      <text>
        <r>
          <rPr>
            <sz val="9"/>
            <color indexed="81"/>
            <rFont val="Tahoma"/>
            <family val="2"/>
          </rPr>
          <t xml:space="preserve">Table 10.13A - default values for volatile solid excretion rate (kg vs (1000 kg animal mass)-1 day-1) - Swine - Latin America - High PS - Breeding Swine  - 2019 refinement to the 2006 IPCC guidelines for national greenhouse gas inventories.
IPCC default volatile solid excretion rates presented in table 10.13a, adjusted according to equation 10.22A.
</t>
        </r>
      </text>
    </comment>
    <comment ref="L16" authorId="1" shapeId="0" xr:uid="{D51D55E7-E81C-455E-B572-EFCE009DFAC2}">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18" authorId="1" shapeId="0" xr:uid="{503AEA3B-F4D3-469D-B140-943C04959836}">
      <text>
        <r>
          <rPr>
            <sz val="9"/>
            <color indexed="81"/>
            <rFont val="Tahoma"/>
            <family val="2"/>
          </rPr>
          <t xml:space="preserve">TABLE 10A.5 - 2019 Refinement to the 2006 IPCC Guidelines for National Greenhouse Gas Inventories.
DEFAULT VALUES FOR LIVE WEIGHTS FOR ANIMAL CATEGORIES - Swine - Latin America - High PS - Breeding Swine
</t>
        </r>
      </text>
    </comment>
    <comment ref="L22" authorId="1" shapeId="0" xr:uid="{EA798929-AD57-4304-8A2D-C38E41C90687}">
      <text>
        <r>
          <rPr>
            <sz val="9"/>
            <color indexed="81"/>
            <rFont val="Tahoma"/>
            <family val="2"/>
          </rPr>
          <t xml:space="preserve">Table 10.13A - default values for volatile solid excretion rate (kg vs (1000 kg animal mass)-1 day-1) - Swine - Latin America - High PS - Market Swine  - 2019 refinement to the 2006 IPCC guidelines for national greenhouse gas inventories.
IPCC default volatile solid excretion rates presented in table 10.13a, adjusted according to equation 10.22A.
</t>
        </r>
      </text>
    </comment>
    <comment ref="L24" authorId="1" shapeId="0" xr:uid="{765A1FEF-6AC9-4C7D-9FB5-6DBB421A8946}">
      <text>
        <r>
          <rPr>
            <sz val="9"/>
            <color indexed="81"/>
            <rFont val="Tahoma"/>
            <family val="2"/>
          </rPr>
          <t>TABLE 10.16A - 2019 Refinement to the 2006 IPCC Guidelines for National Greenhouse Gas Inventories.
DEFAULT VALUES FOR MAXIMUM METHANE PRODUCING CAPACITY (B0) (M3 CH4 KG-1 VS) - Swine - Other Regions - High PS.</t>
        </r>
      </text>
    </comment>
    <comment ref="L26" authorId="1" shapeId="0" xr:uid="{9AF63A92-1145-4445-ACE1-6E9A1B5E8053}">
      <text>
        <r>
          <rPr>
            <sz val="9"/>
            <color indexed="81"/>
            <rFont val="Tahoma"/>
            <family val="2"/>
          </rPr>
          <t xml:space="preserve">TABLE 10A.5 - 2019 Refinement to the 2006 IPCC Guidelines for National Greenhouse Gas Inventories.
DEFAULT VALUES FOR LIVE WEIGHTS FOR ANIMAL CATEGORIES - Market Swine - Latin America - High PS 
</t>
        </r>
      </text>
    </comment>
    <comment ref="P39" authorId="1" shapeId="0" xr:uid="{8A88CB10-0A49-44A5-91C8-DDC0432D2534}">
      <text>
        <r>
          <rPr>
            <sz val="9"/>
            <color indexed="81"/>
            <rFont val="Tahoma"/>
            <family val="2"/>
          </rPr>
          <t xml:space="preserve">VSLT,y is adjusted according to the average animal weight of project activity:
</t>
        </r>
        <r>
          <rPr>
            <b/>
            <sz val="9"/>
            <color indexed="81"/>
            <rFont val="Tahoma"/>
            <family val="2"/>
          </rPr>
          <t>VSLT,y = (Wsite/Wdefault) * VSdefault * nd,y</t>
        </r>
        <r>
          <rPr>
            <sz val="9"/>
            <color indexed="81"/>
            <rFont val="Tahoma"/>
            <family val="2"/>
          </rPr>
          <t xml:space="preserve">
Equation 3.</t>
        </r>
      </text>
    </comment>
  </commentList>
</comments>
</file>

<file path=xl/sharedStrings.xml><?xml version="1.0" encoding="utf-8"?>
<sst xmlns="http://schemas.openxmlformats.org/spreadsheetml/2006/main" count="1193" uniqueCount="145">
  <si>
    <t>Total</t>
  </si>
  <si>
    <t xml:space="preserve">Total </t>
  </si>
  <si>
    <t>Year</t>
  </si>
  <si>
    <t xml:space="preserve">Baseline Emissions </t>
  </si>
  <si>
    <r>
      <t>Estimated baseline emissions or removals (tCO</t>
    </r>
    <r>
      <rPr>
        <b/>
        <vertAlign val="subscript"/>
        <sz val="10.5"/>
        <color rgb="FFFFFFFF"/>
        <rFont val="Libre Franklin"/>
      </rPr>
      <t>2</t>
    </r>
    <r>
      <rPr>
        <b/>
        <sz val="10.5"/>
        <color rgb="FFFFFFFF"/>
        <rFont val="Libre Franklin"/>
      </rPr>
      <t>e)</t>
    </r>
  </si>
  <si>
    <r>
      <t>Estimated project emissions or removals (tCO</t>
    </r>
    <r>
      <rPr>
        <b/>
        <vertAlign val="subscript"/>
        <sz val="10.5"/>
        <color rgb="FFFFFFFF"/>
        <rFont val="Libre Franklin"/>
      </rPr>
      <t>2</t>
    </r>
    <r>
      <rPr>
        <b/>
        <sz val="10.5"/>
        <color rgb="FFFFFFFF"/>
        <rFont val="Libre Franklin"/>
      </rPr>
      <t>e)</t>
    </r>
  </si>
  <si>
    <r>
      <t>Estimated leakage emissions (tCO</t>
    </r>
    <r>
      <rPr>
        <b/>
        <vertAlign val="subscript"/>
        <sz val="10.5"/>
        <color rgb="FFFFFFFF"/>
        <rFont val="Libre Franklin"/>
      </rPr>
      <t>2</t>
    </r>
    <r>
      <rPr>
        <b/>
        <sz val="10.5"/>
        <color rgb="FFFFFFFF"/>
        <rFont val="Libre Franklin"/>
      </rPr>
      <t>e)</t>
    </r>
  </si>
  <si>
    <r>
      <t>Estimated net GHG emission reductions or removals (tCO</t>
    </r>
    <r>
      <rPr>
        <b/>
        <vertAlign val="subscript"/>
        <sz val="10.5"/>
        <color rgb="FFFFFFFF"/>
        <rFont val="Libre Franklin"/>
      </rPr>
      <t>2</t>
    </r>
    <r>
      <rPr>
        <b/>
        <sz val="10.5"/>
        <color rgb="FFFFFFFF"/>
        <rFont val="Libre Franklin"/>
      </rPr>
      <t>e)</t>
    </r>
  </si>
  <si>
    <t>Fazenda Baccin</t>
  </si>
  <si>
    <t>Fazenda Granja Silva</t>
  </si>
  <si>
    <t xml:space="preserve">Project Emissions </t>
  </si>
  <si>
    <t xml:space="preserve">Emissions Reductions </t>
  </si>
  <si>
    <t>Baseline Emissions</t>
  </si>
  <si>
    <t>Values applied</t>
  </si>
  <si>
    <t>Animal Data</t>
  </si>
  <si>
    <t>Data</t>
  </si>
  <si>
    <t>Value</t>
  </si>
  <si>
    <t>Unit</t>
  </si>
  <si>
    <r>
      <t>Animals produced annualy (N</t>
    </r>
    <r>
      <rPr>
        <b/>
        <vertAlign val="subscript"/>
        <sz val="10.5"/>
        <color indexed="9"/>
        <rFont val="Franklin Gothic Book"/>
        <family val="2"/>
      </rPr>
      <t>P,y</t>
    </r>
    <r>
      <rPr>
        <b/>
        <sz val="10.5"/>
        <color indexed="9"/>
        <rFont val="Franklin Gothic Book"/>
        <family val="2"/>
      </rPr>
      <t>)</t>
    </r>
  </si>
  <si>
    <r>
      <t>Model Correction Factor (UF</t>
    </r>
    <r>
      <rPr>
        <shadow/>
        <vertAlign val="subscript"/>
        <sz val="10.5"/>
        <rFont val="Franklin Gothic Book"/>
        <family val="2"/>
      </rPr>
      <t>b</t>
    </r>
    <r>
      <rPr>
        <shadow/>
        <sz val="10.5"/>
        <rFont val="Franklin Gothic Book"/>
        <family val="2"/>
      </rPr>
      <t>)</t>
    </r>
  </si>
  <si>
    <t>Fraction</t>
  </si>
  <si>
    <t>Type of animal</t>
  </si>
  <si>
    <r>
      <t>Baseline Emissions per Animal type, in tCO</t>
    </r>
    <r>
      <rPr>
        <b/>
        <vertAlign val="subscript"/>
        <sz val="10.5"/>
        <color indexed="9"/>
        <rFont val="Franklin Gothic Book"/>
        <family val="2"/>
      </rPr>
      <t>2</t>
    </r>
    <r>
      <rPr>
        <b/>
        <sz val="10.5"/>
        <color indexed="9"/>
        <rFont val="Franklin Gothic Book"/>
        <family val="2"/>
      </rPr>
      <t>e</t>
    </r>
  </si>
  <si>
    <r>
      <t>CH</t>
    </r>
    <r>
      <rPr>
        <vertAlign val="subscript"/>
        <sz val="10.5"/>
        <rFont val="Franklin Gothic Book"/>
        <family val="2"/>
      </rPr>
      <t>4</t>
    </r>
    <r>
      <rPr>
        <sz val="10.5"/>
        <rFont val="Franklin Gothic Book"/>
        <family val="2"/>
      </rPr>
      <t xml:space="preserve"> density at room temperature (D</t>
    </r>
    <r>
      <rPr>
        <vertAlign val="subscript"/>
        <sz val="10.5"/>
        <rFont val="Franklin Gothic Book"/>
        <family val="2"/>
      </rPr>
      <t>CH4</t>
    </r>
    <r>
      <rPr>
        <sz val="10.5"/>
        <rFont val="Franklin Gothic Book"/>
        <family val="2"/>
      </rPr>
      <t>)</t>
    </r>
  </si>
  <si>
    <r>
      <t>ton/m</t>
    </r>
    <r>
      <rPr>
        <vertAlign val="superscript"/>
        <sz val="10.5"/>
        <rFont val="Franklin Gothic Book"/>
        <family val="2"/>
      </rPr>
      <t>3</t>
    </r>
  </si>
  <si>
    <t>Gilts</t>
  </si>
  <si>
    <t>Sows in gestation</t>
  </si>
  <si>
    <t xml:space="preserve">Sows </t>
  </si>
  <si>
    <t xml:space="preserve">Boars </t>
  </si>
  <si>
    <t>Piglets</t>
  </si>
  <si>
    <t xml:space="preserve">Nursery </t>
  </si>
  <si>
    <t>Finishers</t>
  </si>
  <si>
    <t>Annual methane conversion factor for the baseline animal manure management system (MCF)</t>
  </si>
  <si>
    <r>
      <t>GWP CH</t>
    </r>
    <r>
      <rPr>
        <vertAlign val="subscript"/>
        <sz val="10.5"/>
        <rFont val="Franklin Gothic Book"/>
        <family val="2"/>
      </rPr>
      <t>4</t>
    </r>
  </si>
  <si>
    <t>N/A</t>
  </si>
  <si>
    <t>Fraction of manure handled in baseline animal manure management system (MS%)</t>
  </si>
  <si>
    <r>
      <t>Average number of days animal is alive in the farm (N</t>
    </r>
    <r>
      <rPr>
        <b/>
        <vertAlign val="subscript"/>
        <sz val="10.5"/>
        <color indexed="9"/>
        <rFont val="Franklin Gothic Book"/>
        <family val="2"/>
      </rPr>
      <t>da,y</t>
    </r>
    <r>
      <rPr>
        <b/>
        <sz val="10.5"/>
        <color indexed="9"/>
        <rFont val="Franklin Gothic Book"/>
        <family val="2"/>
      </rPr>
      <t>)</t>
    </r>
  </si>
  <si>
    <r>
      <t>VS</t>
    </r>
    <r>
      <rPr>
        <b/>
        <vertAlign val="subscript"/>
        <sz val="10.5"/>
        <color indexed="9"/>
        <rFont val="Franklin Gothic Book"/>
        <family val="2"/>
      </rPr>
      <t>default</t>
    </r>
  </si>
  <si>
    <t>Kg/animal/day</t>
  </si>
  <si>
    <t>Sows</t>
  </si>
  <si>
    <t>Latin America</t>
  </si>
  <si>
    <t>Boars</t>
  </si>
  <si>
    <r>
      <t>B</t>
    </r>
    <r>
      <rPr>
        <b/>
        <vertAlign val="subscript"/>
        <sz val="10.5"/>
        <color indexed="9"/>
        <rFont val="Franklin Gothic Book"/>
        <family val="2"/>
      </rPr>
      <t>o,LT</t>
    </r>
  </si>
  <si>
    <r>
      <t>m³CH</t>
    </r>
    <r>
      <rPr>
        <vertAlign val="subscript"/>
        <sz val="10.5"/>
        <rFont val="Franklin Gothic Book"/>
        <family val="2"/>
      </rPr>
      <t>4</t>
    </r>
    <r>
      <rPr>
        <sz val="10.5"/>
        <rFont val="Franklin Gothic Book"/>
        <family val="2"/>
      </rPr>
      <t>/kg dm</t>
    </r>
  </si>
  <si>
    <t>Nursery</t>
  </si>
  <si>
    <r>
      <t>Annual average number of animals (N</t>
    </r>
    <r>
      <rPr>
        <b/>
        <vertAlign val="subscript"/>
        <sz val="10.5"/>
        <color indexed="9"/>
        <rFont val="Franklin Gothic Book"/>
        <family val="2"/>
      </rPr>
      <t>LT,y</t>
    </r>
    <r>
      <rPr>
        <b/>
        <sz val="10.5"/>
        <color indexed="9"/>
        <rFont val="Franklin Gothic Book"/>
        <family val="2"/>
      </rPr>
      <t>)</t>
    </r>
  </si>
  <si>
    <r>
      <t>Default Weight (W</t>
    </r>
    <r>
      <rPr>
        <b/>
        <vertAlign val="subscript"/>
        <sz val="10.5"/>
        <color indexed="9"/>
        <rFont val="Franklin Gothic Book"/>
        <family val="2"/>
      </rPr>
      <t>default</t>
    </r>
    <r>
      <rPr>
        <b/>
        <sz val="10.5"/>
        <color indexed="9"/>
        <rFont val="Franklin Gothic Book"/>
        <family val="2"/>
      </rPr>
      <t>)</t>
    </r>
  </si>
  <si>
    <t>Kg</t>
  </si>
  <si>
    <r>
      <t>Animal Weight (W</t>
    </r>
    <r>
      <rPr>
        <b/>
        <vertAlign val="subscript"/>
        <sz val="10.5"/>
        <color indexed="9"/>
        <rFont val="Franklin Gothic Book"/>
        <family val="2"/>
      </rPr>
      <t>site</t>
    </r>
    <r>
      <rPr>
        <b/>
        <sz val="10.5"/>
        <color indexed="9"/>
        <rFont val="Franklin Gothic Book"/>
        <family val="2"/>
      </rPr>
      <t>), in kg/animal</t>
    </r>
  </si>
  <si>
    <t xml:space="preserve">Gilts </t>
  </si>
  <si>
    <t xml:space="preserve">Piglets </t>
  </si>
  <si>
    <r>
      <t>Volatile solids for animals entering the animal manure management system (on a dry matter weight basis), in kg/animal/year (VS</t>
    </r>
    <r>
      <rPr>
        <b/>
        <vertAlign val="subscript"/>
        <sz val="10.5"/>
        <color indexed="9"/>
        <rFont val="Franklin Gothic Book"/>
        <family val="2"/>
      </rPr>
      <t>LT,y</t>
    </r>
    <r>
      <rPr>
        <b/>
        <sz val="10.5"/>
        <color indexed="9"/>
        <rFont val="Franklin Gothic Book"/>
        <family val="2"/>
      </rPr>
      <t>)</t>
    </r>
  </si>
  <si>
    <r>
      <t>Number of days where animal manure management system is operational (nd</t>
    </r>
    <r>
      <rPr>
        <b/>
        <vertAlign val="subscript"/>
        <sz val="10.5"/>
        <color indexed="9"/>
        <rFont val="Franklin Gothic Book"/>
        <family val="2"/>
      </rPr>
      <t>y</t>
    </r>
    <r>
      <rPr>
        <b/>
        <sz val="10.5"/>
        <color indexed="9"/>
        <rFont val="Franklin Gothic Book"/>
        <family val="2"/>
      </rPr>
      <t>)</t>
    </r>
  </si>
  <si>
    <r>
      <t>Project Emissions (PE</t>
    </r>
    <r>
      <rPr>
        <b/>
        <vertAlign val="subscript"/>
        <sz val="10.5"/>
        <color indexed="9"/>
        <rFont val="Franklin Gothic Book"/>
        <family val="2"/>
      </rPr>
      <t>y</t>
    </r>
    <r>
      <rPr>
        <b/>
        <sz val="10.5"/>
        <color indexed="9"/>
        <rFont val="Franklin Gothic Book"/>
        <family val="2"/>
      </rPr>
      <t>)</t>
    </r>
  </si>
  <si>
    <r>
      <t>Quantity of manure treated in the year y (Qy</t>
    </r>
    <r>
      <rPr>
        <b/>
        <sz val="10.5"/>
        <color indexed="9"/>
        <rFont val="Franklin Gothic Book"/>
        <family val="2"/>
      </rPr>
      <t>)</t>
    </r>
  </si>
  <si>
    <t>Average daily production of swine manure (manure and urine, in kg)</t>
  </si>
  <si>
    <r>
      <t>Project Emission Source, in tCO</t>
    </r>
    <r>
      <rPr>
        <b/>
        <vertAlign val="subscript"/>
        <sz val="10.5"/>
        <color indexed="9"/>
        <rFont val="Franklin Gothic Book"/>
        <family val="2"/>
      </rPr>
      <t>2</t>
    </r>
    <r>
      <rPr>
        <b/>
        <sz val="10.5"/>
        <color indexed="9"/>
        <rFont val="Franklin Gothic Book"/>
        <family val="2"/>
      </rPr>
      <t>e</t>
    </r>
  </si>
  <si>
    <r>
      <t>PE</t>
    </r>
    <r>
      <rPr>
        <b/>
        <vertAlign val="subscript"/>
        <sz val="10.5"/>
        <color indexed="9"/>
        <rFont val="Franklin Gothic Book"/>
        <family val="2"/>
      </rPr>
      <t>EC,y</t>
    </r>
  </si>
  <si>
    <r>
      <t>PE</t>
    </r>
    <r>
      <rPr>
        <b/>
        <vertAlign val="subscript"/>
        <sz val="10.5"/>
        <color indexed="9"/>
        <rFont val="Franklin Gothic Book"/>
        <family val="2"/>
      </rPr>
      <t>FC,y</t>
    </r>
  </si>
  <si>
    <r>
      <t>PE</t>
    </r>
    <r>
      <rPr>
        <b/>
        <vertAlign val="subscript"/>
        <sz val="10.5"/>
        <color indexed="9"/>
        <rFont val="Franklin Gothic Book"/>
        <family val="2"/>
      </rPr>
      <t>CH4,y</t>
    </r>
  </si>
  <si>
    <r>
      <t>PE</t>
    </r>
    <r>
      <rPr>
        <b/>
        <vertAlign val="subscript"/>
        <sz val="10.5"/>
        <color indexed="9"/>
        <rFont val="Franklin Gothic Book"/>
        <family val="2"/>
      </rPr>
      <t>N2O,y</t>
    </r>
  </si>
  <si>
    <r>
      <t>PE</t>
    </r>
    <r>
      <rPr>
        <b/>
        <vertAlign val="subscript"/>
        <sz val="10.5"/>
        <color indexed="9"/>
        <rFont val="Franklin Gothic Book"/>
        <family val="2"/>
      </rPr>
      <t>RO,y</t>
    </r>
  </si>
  <si>
    <r>
      <t>PE</t>
    </r>
    <r>
      <rPr>
        <b/>
        <vertAlign val="subscript"/>
        <sz val="10.5"/>
        <color indexed="9"/>
        <rFont val="Franklin Gothic Book"/>
        <family val="2"/>
      </rPr>
      <t>y</t>
    </r>
  </si>
  <si>
    <t>Quantity of manure treated in the year y (Qy)</t>
  </si>
  <si>
    <t>tonne</t>
  </si>
  <si>
    <r>
      <t>Emissions from electricity consumption (PE</t>
    </r>
    <r>
      <rPr>
        <b/>
        <vertAlign val="subscript"/>
        <sz val="10.5"/>
        <color indexed="9"/>
        <rFont val="Franklin Gothic Book"/>
        <family val="2"/>
      </rPr>
      <t>EC</t>
    </r>
    <r>
      <rPr>
        <b/>
        <vertAlign val="subscript"/>
        <sz val="10.5"/>
        <color indexed="9"/>
        <rFont val="Franklin Gothic Book"/>
        <family val="2"/>
      </rPr>
      <t>,y</t>
    </r>
    <r>
      <rPr>
        <b/>
        <sz val="10.5"/>
        <color indexed="9"/>
        <rFont val="Franklin Gothic Book"/>
        <family val="2"/>
      </rPr>
      <t>)</t>
    </r>
  </si>
  <si>
    <r>
      <t>SEC</t>
    </r>
    <r>
      <rPr>
        <vertAlign val="subscript"/>
        <sz val="10.5"/>
        <rFont val="Franklin Gothic Book"/>
        <family val="2"/>
      </rPr>
      <t>comp,default</t>
    </r>
  </si>
  <si>
    <t xml:space="preserve">(MWh/t) </t>
  </si>
  <si>
    <r>
      <t>EC</t>
    </r>
    <r>
      <rPr>
        <vertAlign val="subscript"/>
        <sz val="10.5"/>
        <rFont val="Franklin Gothic Book"/>
        <family val="2"/>
      </rPr>
      <t>PJ,j,y</t>
    </r>
    <r>
      <rPr>
        <sz val="10.5"/>
        <rFont val="Franklin Gothic Book"/>
        <family val="2"/>
      </rPr>
      <t xml:space="preserve"> </t>
    </r>
  </si>
  <si>
    <t>(MWh/yr)</t>
  </si>
  <si>
    <r>
      <t>EF</t>
    </r>
    <r>
      <rPr>
        <vertAlign val="subscript"/>
        <sz val="10.5"/>
        <rFont val="Franklin Gothic Book"/>
        <family val="2"/>
      </rPr>
      <t>EF,j,y</t>
    </r>
    <r>
      <rPr>
        <sz val="10.5"/>
        <rFont val="Franklin Gothic Book"/>
        <family val="2"/>
      </rPr>
      <t xml:space="preserve"> </t>
    </r>
  </si>
  <si>
    <r>
      <t>(tCO</t>
    </r>
    <r>
      <rPr>
        <vertAlign val="subscript"/>
        <sz val="10.5"/>
        <rFont val="Franklin Gothic Book"/>
        <family val="2"/>
      </rPr>
      <t>2</t>
    </r>
    <r>
      <rPr>
        <sz val="10.5"/>
        <rFont val="Franklin Gothic Book"/>
        <family val="2"/>
      </rPr>
      <t>/MWh)</t>
    </r>
  </si>
  <si>
    <r>
      <t>TDL</t>
    </r>
    <r>
      <rPr>
        <vertAlign val="subscript"/>
        <sz val="10.5"/>
        <rFont val="Franklin Gothic Book"/>
        <family val="2"/>
      </rPr>
      <t>j,y</t>
    </r>
    <r>
      <rPr>
        <sz val="10.5"/>
        <rFont val="Franklin Gothic Book"/>
        <family val="2"/>
      </rPr>
      <t xml:space="preserve"> </t>
    </r>
  </si>
  <si>
    <t>(%)</t>
  </si>
  <si>
    <r>
      <t>tCO</t>
    </r>
    <r>
      <rPr>
        <vertAlign val="subscript"/>
        <sz val="10.5"/>
        <rFont val="Franklin Gothic Book"/>
        <family val="2"/>
      </rPr>
      <t>2</t>
    </r>
  </si>
  <si>
    <r>
      <t>Project emissions of methane from the composting process  (PE</t>
    </r>
    <r>
      <rPr>
        <b/>
        <vertAlign val="subscript"/>
        <sz val="10.5"/>
        <color indexed="9"/>
        <rFont val="Franklin Gothic Book"/>
        <family val="2"/>
      </rPr>
      <t>CH4,y</t>
    </r>
    <r>
      <rPr>
        <b/>
        <sz val="10.5"/>
        <color indexed="9"/>
        <rFont val="Franklin Gothic Book"/>
        <family val="2"/>
      </rPr>
      <t>)</t>
    </r>
  </si>
  <si>
    <r>
      <t>EF</t>
    </r>
    <r>
      <rPr>
        <vertAlign val="subscript"/>
        <sz val="10.5"/>
        <color indexed="8"/>
        <rFont val="Libre Franklin"/>
      </rPr>
      <t>CH4,default</t>
    </r>
  </si>
  <si>
    <r>
      <t>t CH</t>
    </r>
    <r>
      <rPr>
        <vertAlign val="subscript"/>
        <sz val="10.5"/>
        <color indexed="8"/>
        <rFont val="Libre Franklin"/>
      </rPr>
      <t>4</t>
    </r>
    <r>
      <rPr>
        <sz val="10.5"/>
        <color indexed="8"/>
        <rFont val="Libre Franklin"/>
      </rPr>
      <t>/t</t>
    </r>
  </si>
  <si>
    <r>
      <t>PE</t>
    </r>
    <r>
      <rPr>
        <vertAlign val="subscript"/>
        <sz val="10.5"/>
        <color indexed="8"/>
        <rFont val="Franklin Gothic Book"/>
        <family val="2"/>
      </rPr>
      <t>CH</t>
    </r>
    <r>
      <rPr>
        <strike/>
        <vertAlign val="subscript"/>
        <sz val="10.5"/>
        <color indexed="8"/>
        <rFont val="Franklin Gothic Book"/>
        <family val="2"/>
      </rPr>
      <t>4</t>
    </r>
    <r>
      <rPr>
        <vertAlign val="subscript"/>
        <sz val="10.5"/>
        <color indexed="8"/>
        <rFont val="Franklin Gothic Book"/>
        <family val="2"/>
      </rPr>
      <t>,y</t>
    </r>
  </si>
  <si>
    <r>
      <t>(tCO</t>
    </r>
    <r>
      <rPr>
        <sz val="6.5"/>
        <color indexed="8"/>
        <rFont val="Arial"/>
        <family val="2"/>
      </rPr>
      <t>2</t>
    </r>
    <r>
      <rPr>
        <sz val="10"/>
        <color indexed="8"/>
        <rFont val="Arial"/>
        <family val="2"/>
      </rPr>
      <t xml:space="preserve">e/yr) </t>
    </r>
  </si>
  <si>
    <r>
      <t>Project emissions of nitrous oxide from the composting process (PE</t>
    </r>
    <r>
      <rPr>
        <b/>
        <vertAlign val="subscript"/>
        <sz val="10.5"/>
        <color indexed="9"/>
        <rFont val="Franklin Gothic Book"/>
        <family val="2"/>
      </rPr>
      <t>N2O,y</t>
    </r>
    <r>
      <rPr>
        <b/>
        <sz val="10.5"/>
        <color indexed="9"/>
        <rFont val="Franklin Gothic Book"/>
        <family val="2"/>
      </rPr>
      <t>)</t>
    </r>
  </si>
  <si>
    <r>
      <t>EF</t>
    </r>
    <r>
      <rPr>
        <i/>
        <vertAlign val="subscript"/>
        <sz val="10.5"/>
        <rFont val="Franklin Gothic Book"/>
        <family val="2"/>
      </rPr>
      <t>N2O</t>
    </r>
  </si>
  <si>
    <r>
      <t>t N</t>
    </r>
    <r>
      <rPr>
        <vertAlign val="subscript"/>
        <sz val="10.5"/>
        <color indexed="8"/>
        <rFont val="Libre Franklin"/>
      </rPr>
      <t>2</t>
    </r>
    <r>
      <rPr>
        <sz val="10.5"/>
        <color indexed="8"/>
        <rFont val="Libre Franklin"/>
      </rPr>
      <t>O/t</t>
    </r>
  </si>
  <si>
    <r>
      <t>GWP N</t>
    </r>
    <r>
      <rPr>
        <vertAlign val="subscript"/>
        <sz val="10.5"/>
        <color indexed="8"/>
        <rFont val="Franklin Gothic Book"/>
        <family val="2"/>
      </rPr>
      <t>2</t>
    </r>
    <r>
      <rPr>
        <sz val="10.5"/>
        <color indexed="8"/>
        <rFont val="Franklin Gothic Book"/>
        <family val="2"/>
      </rPr>
      <t>O</t>
    </r>
  </si>
  <si>
    <r>
      <t>tCO</t>
    </r>
    <r>
      <rPr>
        <vertAlign val="subscript"/>
        <sz val="10.5"/>
        <color indexed="8"/>
        <rFont val="Libre Franklin"/>
      </rPr>
      <t>2</t>
    </r>
    <r>
      <rPr>
        <sz val="10.5"/>
        <color indexed="8"/>
        <rFont val="Libre Franklin"/>
      </rPr>
      <t>e/tN</t>
    </r>
    <r>
      <rPr>
        <vertAlign val="subscript"/>
        <sz val="10.5"/>
        <color indexed="8"/>
        <rFont val="Libre Franklin"/>
      </rPr>
      <t>2</t>
    </r>
    <r>
      <rPr>
        <sz val="10.5"/>
        <color indexed="8"/>
        <rFont val="Libre Franklin"/>
      </rPr>
      <t>O</t>
    </r>
  </si>
  <si>
    <r>
      <t>PE</t>
    </r>
    <r>
      <rPr>
        <vertAlign val="subscript"/>
        <sz val="10.5"/>
        <rFont val="Franklin Gothic Book"/>
        <family val="2"/>
      </rPr>
      <t xml:space="preserve">N2O,y </t>
    </r>
  </si>
  <si>
    <t>Ministério da Ciência, Tecnologia e Inovações</t>
  </si>
  <si>
    <t xml:space="preserve">Fonte: </t>
  </si>
  <si>
    <t>https://www.gov.br/mcti/pt-br/acompanhe-o-mcti/sirene/dados-e-ferramentas/fatores-de-emissao#:~:text=Fatores%20de%20emiss%C3%A3o%20MDL%2FSIN,-Info&amp;text=Ele%20calcula%20a%20m%C3%A9dia%20das,que%20estejam%20funcionando%20na%20margem</t>
  </si>
  <si>
    <t>Acesso:</t>
  </si>
  <si>
    <t>BUILD MARGIN</t>
  </si>
  <si>
    <t>OPERATION MARGIN</t>
  </si>
  <si>
    <t>January</t>
  </si>
  <si>
    <t>February</t>
  </si>
  <si>
    <t>March</t>
  </si>
  <si>
    <t>April</t>
  </si>
  <si>
    <t>May</t>
  </si>
  <si>
    <t>June</t>
  </si>
  <si>
    <t>July</t>
  </si>
  <si>
    <t>August</t>
  </si>
  <si>
    <t xml:space="preserve">September </t>
  </si>
  <si>
    <t xml:space="preserve">October </t>
  </si>
  <si>
    <t xml:space="preserve">November </t>
  </si>
  <si>
    <t>December</t>
  </si>
  <si>
    <t>Average</t>
  </si>
  <si>
    <t>Combined margin 2021</t>
  </si>
  <si>
    <t>Monitoring Report:</t>
  </si>
  <si>
    <t>From 01/07/2015 to 30/04/2019</t>
  </si>
  <si>
    <r>
      <t>Animals produced annualy (N</t>
    </r>
    <r>
      <rPr>
        <vertAlign val="subscript"/>
        <sz val="10.5"/>
        <rFont val="Franklin Gothic Book"/>
        <family val="2"/>
      </rPr>
      <t>P,y</t>
    </r>
    <r>
      <rPr>
        <sz val="10.5"/>
        <rFont val="Franklin Gothic Book"/>
        <family val="2"/>
      </rPr>
      <t>)</t>
    </r>
  </si>
  <si>
    <r>
      <t>Average number of days animal is alive in the farm (N</t>
    </r>
    <r>
      <rPr>
        <vertAlign val="subscript"/>
        <sz val="10.5"/>
        <rFont val="Franklin Gothic Book"/>
        <family val="2"/>
      </rPr>
      <t>da,y</t>
    </r>
    <r>
      <rPr>
        <sz val="10.5"/>
        <rFont val="Franklin Gothic Book"/>
        <family val="2"/>
      </rPr>
      <t>)</t>
    </r>
  </si>
  <si>
    <r>
      <t>Annual average number of animals (N</t>
    </r>
    <r>
      <rPr>
        <vertAlign val="subscript"/>
        <sz val="10.5"/>
        <rFont val="Franklin Gothic Book"/>
        <family val="2"/>
      </rPr>
      <t>LT,y</t>
    </r>
    <r>
      <rPr>
        <sz val="10.5"/>
        <rFont val="Franklin Gothic Book"/>
        <family val="2"/>
      </rPr>
      <t>)</t>
    </r>
  </si>
  <si>
    <r>
      <t>Animal Weight (W</t>
    </r>
    <r>
      <rPr>
        <vertAlign val="subscript"/>
        <sz val="10.5"/>
        <rFont val="Franklin Gothic Book"/>
        <family val="2"/>
      </rPr>
      <t>site</t>
    </r>
    <r>
      <rPr>
        <sz val="10.5"/>
        <rFont val="Franklin Gothic Book"/>
        <family val="2"/>
      </rPr>
      <t>), in kg/animal</t>
    </r>
  </si>
  <si>
    <r>
      <t>Number of days where animal manure management system is operational (nd</t>
    </r>
    <r>
      <rPr>
        <vertAlign val="subscript"/>
        <sz val="10.5"/>
        <rFont val="Franklin Gothic Book"/>
        <family val="2"/>
      </rPr>
      <t>y</t>
    </r>
    <r>
      <rPr>
        <sz val="10.5"/>
        <rFont val="Franklin Gothic Book"/>
        <family val="2"/>
      </rPr>
      <t>)</t>
    </r>
  </si>
  <si>
    <t>PEEC,y</t>
  </si>
  <si>
    <t>Month</t>
  </si>
  <si>
    <t>Average emission factor (tCO2/MWh) - ANUAL</t>
  </si>
  <si>
    <t>Average emission factor (tCO2/MWh) - MENSAL</t>
  </si>
  <si>
    <t>(PEEC,y)</t>
  </si>
  <si>
    <t xml:space="preserve">Nursery Monitoring Report: </t>
  </si>
  <si>
    <t xml:space="preserve">Finishers Monitoring Report: </t>
  </si>
  <si>
    <t>2019 Refinement to the 2006 IPCC Guidelines for National Greenhouse Gas Inventories</t>
  </si>
  <si>
    <t xml:space="preserve">Gilts Monitoring Report: </t>
  </si>
  <si>
    <t xml:space="preserve"> Sows in gestation Monitoring Report: </t>
  </si>
  <si>
    <t xml:space="preserve">Boars Monitoring Report: </t>
  </si>
  <si>
    <t xml:space="preserve"> Piglets Monitoring Report: </t>
  </si>
  <si>
    <t>Finishers Monitoring Report:</t>
  </si>
  <si>
    <t>Fazenda Ramela</t>
  </si>
  <si>
    <t>Fazenda Altenor</t>
  </si>
  <si>
    <t>Sítio Santa Lucia</t>
  </si>
  <si>
    <t>Fazenda Colônia Suspiro</t>
  </si>
  <si>
    <t>Breeding Swine</t>
  </si>
  <si>
    <t>Market Swine</t>
  </si>
  <si>
    <r>
      <t>Animals produced annualy (N</t>
    </r>
    <r>
      <rPr>
        <b/>
        <vertAlign val="subscript"/>
        <sz val="10"/>
        <color indexed="9"/>
        <rFont val="Franklin Gothic Book"/>
        <family val="2"/>
      </rPr>
      <t>P,y</t>
    </r>
    <r>
      <rPr>
        <b/>
        <sz val="10"/>
        <color indexed="9"/>
        <rFont val="Franklin Gothic Book"/>
        <family val="2"/>
      </rPr>
      <t>)</t>
    </r>
  </si>
  <si>
    <r>
      <t>Average number of days animal is alive in the farm (N</t>
    </r>
    <r>
      <rPr>
        <b/>
        <vertAlign val="subscript"/>
        <sz val="10"/>
        <color indexed="9"/>
        <rFont val="Franklin Gothic Book"/>
        <family val="2"/>
      </rPr>
      <t>da,y</t>
    </r>
    <r>
      <rPr>
        <b/>
        <sz val="10"/>
        <color indexed="9"/>
        <rFont val="Franklin Gothic Book"/>
        <family val="2"/>
      </rPr>
      <t>)</t>
    </r>
  </si>
  <si>
    <r>
      <t>Animal Weight (W</t>
    </r>
    <r>
      <rPr>
        <b/>
        <vertAlign val="subscript"/>
        <sz val="10"/>
        <color indexed="9"/>
        <rFont val="Franklin Gothic Book"/>
        <family val="2"/>
      </rPr>
      <t>site</t>
    </r>
    <r>
      <rPr>
        <b/>
        <sz val="10"/>
        <color indexed="9"/>
        <rFont val="Franklin Gothic Book"/>
        <family val="2"/>
      </rPr>
      <t>), in kg/animal</t>
    </r>
  </si>
  <si>
    <r>
      <t>Number of days where animal manure management system is operational (nd</t>
    </r>
    <r>
      <rPr>
        <b/>
        <vertAlign val="subscript"/>
        <sz val="10"/>
        <color indexed="9"/>
        <rFont val="Franklin Gothic Book"/>
        <family val="2"/>
      </rPr>
      <t>y</t>
    </r>
    <r>
      <rPr>
        <b/>
        <sz val="10"/>
        <color indexed="9"/>
        <rFont val="Franklin Gothic Book"/>
        <family val="2"/>
      </rPr>
      <t>)</t>
    </r>
  </si>
  <si>
    <t>Weighted Average</t>
  </si>
  <si>
    <t>Animal Data Fazenda Altenor - Last MR Verified
(3rd MR: From 01/07/2015 to 30/04/2019)</t>
  </si>
  <si>
    <t>Days in operation/year</t>
  </si>
  <si>
    <t>Animal Data Sitio Santa Lucia - Last MR Verified
(3rd MR: From 01/07/2015 to 30/04/2019)</t>
  </si>
  <si>
    <t>Animal Data Fazenda Baccin - Last MR Verified
(3rd MR: From 01/07/2015 to 30/04/2019)</t>
  </si>
  <si>
    <t>Animal Data Granja Silva - Last MR Verified
(3rd MR: From 01/07/2015 to 30/04/2019)</t>
  </si>
  <si>
    <t xml:space="preserve">Sows Monitoring Report: </t>
  </si>
  <si>
    <t>Animal Data Fazenda Colonia Suspiro  - Last MR Verified
(3rd MR: From 01/07/2015 to 30/04/2019)</t>
  </si>
  <si>
    <t>Animal Data Fazenda Ramela  - Last MR Verified
(3rd MR: From 01/07/2015 to 30/04/2019)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</si>
</sst>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
    <numFmt numFmtId="166" formatCode="0.0000"/>
    <numFmt numFmtId="167" formatCode="#,##0.000"/>
    <numFmt numFmtId="168" formatCode="#,##0.0000"/>
    <numFmt numFmtId="169" formatCode="0.0"/>
    <numFmt numFmtId="170" formatCode="0.00000"/>
    <numFmt numFmtId="171" formatCode="#,##0.0"/>
  </numFmts>
  <fonts count="46" x14ac:knownFonts="1">
    <font>
      <sz val="10"/>
      <name val="Arial"/>
      <family val="2"/>
    </font>
    <font>
      <sz val="11"/>
      <color theme="1"/>
      <name val="Calibri"/>
      <family val="2"/>
      <scheme val="minor"/>
    </font>
    <font>
      <sz val="11"/>
      <color theme="1"/>
      <name val="Calibri"/>
      <family val="2"/>
      <scheme val="minor"/>
    </font>
    <font>
      <sz val="10.5"/>
      <name val="Franklin Gothic Book"/>
      <family val="2"/>
    </font>
    <font>
      <b/>
      <sz val="10.5"/>
      <color theme="0"/>
      <name val="Franklin Gothic Book"/>
      <family val="2"/>
    </font>
    <font>
      <b/>
      <sz val="10.5"/>
      <color rgb="FFFFFFFF"/>
      <name val="Libre Franklin"/>
    </font>
    <font>
      <b/>
      <vertAlign val="subscript"/>
      <sz val="10.5"/>
      <color rgb="FFFFFFFF"/>
      <name val="Libre Franklin"/>
    </font>
    <font>
      <sz val="10"/>
      <name val="Arial"/>
      <family val="2"/>
    </font>
    <font>
      <sz val="10"/>
      <name val="Arial"/>
    </font>
    <font>
      <sz val="10.5"/>
      <color theme="0" tint="-0.499984740745262"/>
      <name val="Franklin Gothic Book"/>
      <family val="2"/>
    </font>
    <font>
      <b/>
      <shadow/>
      <sz val="10.5"/>
      <color theme="0"/>
      <name val="Franklin Gothic Book"/>
      <family val="2"/>
    </font>
    <font>
      <b/>
      <vertAlign val="subscript"/>
      <sz val="10.5"/>
      <color indexed="9"/>
      <name val="Franklin Gothic Book"/>
      <family val="2"/>
    </font>
    <font>
      <b/>
      <sz val="10.5"/>
      <color indexed="9"/>
      <name val="Franklin Gothic Book"/>
      <family val="2"/>
    </font>
    <font>
      <shadow/>
      <sz val="10.5"/>
      <name val="Franklin Gothic Book"/>
      <family val="2"/>
    </font>
    <font>
      <shadow/>
      <vertAlign val="subscript"/>
      <sz val="10.5"/>
      <name val="Franklin Gothic Book"/>
      <family val="2"/>
    </font>
    <font>
      <vertAlign val="subscript"/>
      <sz val="10.5"/>
      <name val="Franklin Gothic Book"/>
      <family val="2"/>
    </font>
    <font>
      <vertAlign val="superscript"/>
      <sz val="10.5"/>
      <name val="Franklin Gothic Book"/>
      <family val="2"/>
    </font>
    <font>
      <sz val="10.5"/>
      <color indexed="8"/>
      <name val="Franklin Gothic Book"/>
      <family val="2"/>
    </font>
    <font>
      <b/>
      <sz val="10.5"/>
      <name val="Franklin Gothic Book"/>
      <family val="2"/>
    </font>
    <font>
      <b/>
      <sz val="9"/>
      <color indexed="81"/>
      <name val="Segoe UI"/>
      <family val="2"/>
    </font>
    <font>
      <sz val="9"/>
      <color indexed="81"/>
      <name val="Segoe UI"/>
      <family val="2"/>
    </font>
    <font>
      <sz val="9"/>
      <color indexed="81"/>
      <name val="Tahoma"/>
      <family val="2"/>
    </font>
    <font>
      <sz val="10"/>
      <color indexed="81"/>
      <name val="Tahoma"/>
      <family val="2"/>
    </font>
    <font>
      <sz val="8"/>
      <color indexed="81"/>
      <name val="Tahoma"/>
      <family val="2"/>
    </font>
    <font>
      <b/>
      <sz val="9"/>
      <color indexed="81"/>
      <name val="Tahoma"/>
      <family val="2"/>
    </font>
    <font>
      <b/>
      <sz val="10.5"/>
      <color indexed="8"/>
      <name val="Franklin Gothic Book"/>
      <family val="2"/>
    </font>
    <font>
      <vertAlign val="subscript"/>
      <sz val="10.5"/>
      <color indexed="8"/>
      <name val="Libre Franklin"/>
    </font>
    <font>
      <sz val="10.5"/>
      <color indexed="8"/>
      <name val="Libre Franklin"/>
    </font>
    <font>
      <vertAlign val="subscript"/>
      <sz val="10.5"/>
      <color indexed="8"/>
      <name val="Franklin Gothic Book"/>
      <family val="2"/>
    </font>
    <font>
      <strike/>
      <vertAlign val="subscript"/>
      <sz val="10.5"/>
      <color indexed="8"/>
      <name val="Franklin Gothic Book"/>
      <family val="2"/>
    </font>
    <font>
      <sz val="6.5"/>
      <color indexed="8"/>
      <name val="Arial"/>
      <family val="2"/>
    </font>
    <font>
      <sz val="10"/>
      <color indexed="8"/>
      <name val="Arial"/>
      <family val="2"/>
    </font>
    <font>
      <i/>
      <vertAlign val="subscript"/>
      <sz val="10.5"/>
      <name val="Franklin Gothic Book"/>
      <family val="2"/>
    </font>
    <font>
      <b/>
      <sz val="12"/>
      <color theme="1"/>
      <name val="Arial"/>
      <family val="2"/>
    </font>
    <font>
      <u/>
      <sz val="10"/>
      <color indexed="17"/>
      <name val="Arial"/>
      <family val="2"/>
    </font>
    <font>
      <sz val="11"/>
      <name val="Calibri"/>
      <family val="2"/>
      <scheme val="minor"/>
    </font>
    <font>
      <sz val="9"/>
      <color indexed="81"/>
      <name val="Segoe UI"/>
      <charset val="1"/>
    </font>
    <font>
      <b/>
      <sz val="9"/>
      <color indexed="81"/>
      <name val="Segoe UI"/>
      <charset val="1"/>
    </font>
    <font>
      <sz val="11"/>
      <color theme="1"/>
      <name val="Franklin Gothic Book"/>
      <family val="2"/>
    </font>
    <font>
      <sz val="10"/>
      <name val="Franklin Gothic Book"/>
      <family val="2"/>
    </font>
    <font>
      <b/>
      <sz val="10"/>
      <color theme="0"/>
      <name val="Franklin Gothic Book"/>
      <family val="2"/>
    </font>
    <font>
      <b/>
      <vertAlign val="subscript"/>
      <sz val="10"/>
      <color indexed="9"/>
      <name val="Franklin Gothic Book"/>
      <family val="2"/>
    </font>
    <font>
      <b/>
      <sz val="10"/>
      <color indexed="9"/>
      <name val="Franklin Gothic Book"/>
      <family val="2"/>
    </font>
    <font>
      <b/>
      <shadow/>
      <sz val="10"/>
      <name val="Franklin Gothic Book"/>
      <family val="2"/>
    </font>
    <font>
      <b/>
      <sz val="10"/>
      <name val="Franklin Gothic Book"/>
      <family val="2"/>
    </font>
    <font>
      <sz val="10"/>
      <color indexed="8"/>
      <name val="Franklin Gothic Book"/>
      <family val="2"/>
    </font>
  </fonts>
  <fills count="6">
    <fill>
      <patternFill patternType="none"/>
    </fill>
    <fill>
      <patternFill patternType="gray125"/>
    </fill>
    <fill>
      <patternFill patternType="solid">
        <fgColor rgb="FFF2F2F2"/>
        <bgColor indexed="64"/>
      </patternFill>
    </fill>
    <fill>
      <patternFill patternType="solid">
        <fgColor rgb="FF2B3957"/>
        <bgColor indexed="64"/>
      </patternFill>
    </fill>
    <fill>
      <patternFill patternType="solid">
        <fgColor indexed="9"/>
        <bgColor indexed="64"/>
      </patternFill>
    </fill>
    <fill>
      <patternFill patternType="solid">
        <fgColor theme="0"/>
        <bgColor indexed="64"/>
      </patternFill>
    </fill>
  </fills>
  <borders count="5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8" fillId="0" borderId="0"/>
    <xf numFmtId="164" fontId="7" fillId="0" borderId="0" applyFont="0" applyFill="0" applyBorder="0" applyAlignment="0" applyProtection="0"/>
    <xf numFmtId="0" fontId="2" fillId="0" borderId="0"/>
    <xf numFmtId="0" fontId="34" fillId="0" borderId="0" applyNumberFormat="0" applyFill="0" applyBorder="0" applyAlignment="0" applyProtection="0">
      <alignment vertical="top"/>
      <protection locked="0"/>
    </xf>
    <xf numFmtId="0" fontId="7" fillId="0" borderId="0"/>
    <xf numFmtId="0" fontId="1" fillId="0" borderId="0"/>
    <xf numFmtId="9" fontId="7" fillId="0" borderId="0" applyFont="0" applyFill="0" applyBorder="0" applyAlignment="0" applyProtection="0"/>
  </cellStyleXfs>
  <cellXfs count="190">
    <xf numFmtId="0" fontId="0" fillId="0" borderId="0" xfId="0"/>
    <xf numFmtId="0" fontId="3" fillId="0" borderId="1" xfId="0" applyFont="1" applyBorder="1" applyAlignment="1">
      <alignment vertical="center"/>
    </xf>
    <xf numFmtId="3" fontId="3" fillId="0" borderId="1" xfId="0" applyNumberFormat="1" applyFont="1" applyBorder="1" applyAlignment="1">
      <alignment vertical="center"/>
    </xf>
    <xf numFmtId="3"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1" applyFont="1" applyBorder="1" applyAlignment="1">
      <alignment horizontal="center" wrapText="1"/>
    </xf>
    <xf numFmtId="0" fontId="3" fillId="4" borderId="1" xfId="1" applyFont="1" applyFill="1" applyBorder="1" applyAlignment="1">
      <alignment wrapText="1"/>
    </xf>
    <xf numFmtId="0" fontId="3" fillId="4" borderId="1" xfId="1" applyFont="1" applyFill="1" applyBorder="1" applyAlignment="1">
      <alignment horizontal="center" wrapText="1"/>
    </xf>
    <xf numFmtId="0" fontId="3" fillId="0" borderId="1" xfId="1" applyFont="1" applyBorder="1" applyAlignment="1">
      <alignment wrapText="1"/>
    </xf>
    <xf numFmtId="0" fontId="3" fillId="0" borderId="1" xfId="1" applyFont="1" applyBorder="1" applyAlignment="1">
      <alignment horizontal="center" vertical="center" wrapText="1"/>
    </xf>
    <xf numFmtId="0" fontId="4" fillId="3" borderId="1" xfId="1" applyFont="1" applyFill="1" applyBorder="1" applyAlignment="1">
      <alignment horizontal="center" vertical="center" wrapText="1"/>
    </xf>
    <xf numFmtId="0" fontId="3" fillId="5" borderId="1" xfId="1" applyFont="1" applyFill="1" applyBorder="1" applyAlignment="1">
      <alignment horizontal="center" vertical="center"/>
    </xf>
    <xf numFmtId="0" fontId="10" fillId="3" borderId="1" xfId="1" applyFont="1" applyFill="1" applyBorder="1" applyAlignment="1">
      <alignment horizontal="center" vertical="center" wrapText="1"/>
    </xf>
    <xf numFmtId="0" fontId="1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2" borderId="1" xfId="1" applyFont="1" applyFill="1" applyBorder="1" applyAlignment="1" applyProtection="1">
      <alignment horizontal="center" vertical="center" wrapText="1"/>
      <protection locked="0"/>
    </xf>
    <xf numFmtId="0" fontId="17" fillId="2" borderId="1" xfId="1" applyFont="1" applyFill="1" applyBorder="1" applyAlignment="1">
      <alignment horizontal="center" vertical="center"/>
    </xf>
    <xf numFmtId="3" fontId="3" fillId="2" borderId="1" xfId="1" applyNumberFormat="1" applyFont="1" applyFill="1" applyBorder="1" applyAlignment="1">
      <alignment horizontal="center" vertical="center"/>
    </xf>
    <xf numFmtId="0" fontId="4" fillId="3" borderId="1" xfId="1" applyFont="1" applyFill="1" applyBorder="1" applyAlignment="1">
      <alignment horizontal="center" vertical="center"/>
    </xf>
    <xf numFmtId="0" fontId="3" fillId="2" borderId="1" xfId="1" applyFont="1" applyFill="1" applyBorder="1" applyAlignment="1">
      <alignment horizontal="center" vertical="center"/>
    </xf>
    <xf numFmtId="3" fontId="3" fillId="2" borderId="1" xfId="1" applyNumberFormat="1" applyFont="1" applyFill="1" applyBorder="1" applyAlignment="1">
      <alignment horizontal="center" vertical="center" wrapText="1"/>
    </xf>
    <xf numFmtId="3" fontId="3" fillId="2" borderId="1" xfId="2" applyNumberFormat="1" applyFont="1" applyFill="1" applyBorder="1" applyAlignment="1">
      <alignment horizontal="center" vertical="center" wrapText="1"/>
    </xf>
    <xf numFmtId="0" fontId="3" fillId="0" borderId="1" xfId="1" applyFont="1" applyBorder="1" applyAlignment="1">
      <alignment horizontal="center" wrapText="1"/>
    </xf>
    <xf numFmtId="0" fontId="18" fillId="2" borderId="1" xfId="1" applyFont="1" applyFill="1" applyBorder="1" applyAlignment="1">
      <alignment horizontal="center" vertical="center"/>
    </xf>
    <xf numFmtId="0" fontId="3" fillId="0" borderId="1" xfId="1" applyFont="1" applyBorder="1" applyAlignment="1">
      <alignment horizontal="center" vertical="center"/>
    </xf>
    <xf numFmtId="0" fontId="3" fillId="0" borderId="1" xfId="1" applyFont="1" applyBorder="1"/>
    <xf numFmtId="1" fontId="3" fillId="2" borderId="1" xfId="1" applyNumberFormat="1" applyFont="1" applyFill="1" applyBorder="1" applyAlignment="1">
      <alignment horizontal="center" vertical="center"/>
    </xf>
    <xf numFmtId="0" fontId="17" fillId="2" borderId="1" xfId="1" applyFont="1" applyFill="1" applyBorder="1" applyAlignment="1">
      <alignment vertical="center" wrapText="1"/>
    </xf>
    <xf numFmtId="0" fontId="17" fillId="2" borderId="1" xfId="1" applyFont="1" applyFill="1" applyBorder="1" applyAlignment="1">
      <alignment horizontal="center" vertical="center" wrapText="1"/>
    </xf>
    <xf numFmtId="0" fontId="3" fillId="0" borderId="0" xfId="1" applyFont="1" applyAlignment="1">
      <alignment horizontal="center" vertical="center"/>
    </xf>
    <xf numFmtId="0" fontId="8" fillId="0" borderId="0" xfId="1"/>
    <xf numFmtId="4" fontId="3" fillId="2" borderId="1" xfId="1" applyNumberFormat="1" applyFont="1" applyFill="1" applyBorder="1" applyAlignment="1">
      <alignment horizontal="center" vertical="center"/>
    </xf>
    <xf numFmtId="0" fontId="3" fillId="2" borderId="0" xfId="1" applyFont="1" applyFill="1" applyAlignment="1">
      <alignment horizontal="center" vertical="center"/>
    </xf>
    <xf numFmtId="165" fontId="3" fillId="2" borderId="0" xfId="1" applyNumberFormat="1" applyFont="1" applyFill="1" applyAlignment="1">
      <alignment horizontal="center" vertical="center"/>
    </xf>
    <xf numFmtId="0" fontId="3" fillId="0" borderId="0" xfId="1" applyFont="1"/>
    <xf numFmtId="0" fontId="25" fillId="2" borderId="1" xfId="1" applyFont="1" applyFill="1" applyBorder="1" applyAlignment="1">
      <alignment horizontal="center" vertical="center"/>
    </xf>
    <xf numFmtId="2" fontId="3" fillId="2" borderId="0" xfId="1" applyNumberFormat="1" applyFont="1" applyFill="1" applyAlignment="1">
      <alignment horizontal="center" vertical="center"/>
    </xf>
    <xf numFmtId="10" fontId="3" fillId="0" borderId="0" xfId="1" applyNumberFormat="1" applyFont="1" applyAlignment="1">
      <alignment horizontal="center" vertical="center"/>
    </xf>
    <xf numFmtId="0" fontId="33" fillId="0" borderId="0" xfId="3" applyFont="1"/>
    <xf numFmtId="0" fontId="2" fillId="0" borderId="0" xfId="3"/>
    <xf numFmtId="0" fontId="34" fillId="0" borderId="0" xfId="4" applyAlignment="1" applyProtection="1"/>
    <xf numFmtId="14" fontId="2" fillId="0" borderId="0" xfId="3" applyNumberFormat="1"/>
    <xf numFmtId="0" fontId="8" fillId="5" borderId="9" xfId="1" applyFill="1" applyBorder="1" applyAlignment="1">
      <alignment horizontal="center" vertical="center"/>
    </xf>
    <xf numFmtId="0" fontId="8" fillId="5" borderId="10" xfId="1" applyFill="1" applyBorder="1" applyAlignment="1">
      <alignment horizontal="center" vertical="center"/>
    </xf>
    <xf numFmtId="0" fontId="8" fillId="5" borderId="11" xfId="1" applyFill="1" applyBorder="1" applyAlignment="1">
      <alignment horizontal="center" vertical="center"/>
    </xf>
    <xf numFmtId="0" fontId="8" fillId="5" borderId="12" xfId="1" applyFill="1" applyBorder="1" applyAlignment="1">
      <alignment horizontal="center" vertical="center"/>
    </xf>
    <xf numFmtId="0" fontId="8" fillId="5" borderId="8" xfId="1" applyFill="1" applyBorder="1" applyAlignment="1">
      <alignment horizontal="center" vertical="center"/>
    </xf>
    <xf numFmtId="0" fontId="7" fillId="5" borderId="0" xfId="1" applyFont="1" applyFill="1"/>
    <xf numFmtId="0" fontId="8" fillId="5" borderId="0" xfId="1" applyFill="1"/>
    <xf numFmtId="0" fontId="8" fillId="5" borderId="0" xfId="1" applyFill="1" applyAlignment="1">
      <alignment horizontal="center" vertical="center"/>
    </xf>
    <xf numFmtId="0" fontId="8" fillId="5" borderId="16" xfId="1" applyFill="1" applyBorder="1" applyAlignment="1">
      <alignment horizontal="center" vertical="center"/>
    </xf>
    <xf numFmtId="0" fontId="8" fillId="5" borderId="14" xfId="1" applyFill="1" applyBorder="1" applyAlignment="1">
      <alignment horizontal="center" vertical="center"/>
    </xf>
    <xf numFmtId="0" fontId="8" fillId="5" borderId="15" xfId="1" applyFill="1" applyBorder="1" applyAlignment="1">
      <alignment horizontal="center" vertical="center"/>
    </xf>
    <xf numFmtId="0" fontId="8" fillId="0" borderId="0" xfId="1" applyAlignment="1">
      <alignment wrapText="1"/>
    </xf>
    <xf numFmtId="3" fontId="7" fillId="0" borderId="0" xfId="1" applyNumberFormat="1" applyFont="1" applyAlignment="1">
      <alignment horizontal="center"/>
    </xf>
    <xf numFmtId="0" fontId="2" fillId="0" borderId="0" xfId="3" applyAlignment="1">
      <alignment wrapText="1"/>
    </xf>
    <xf numFmtId="3" fontId="35" fillId="0" borderId="0" xfId="3" applyNumberFormat="1" applyFont="1" applyAlignment="1">
      <alignment horizontal="center"/>
    </xf>
    <xf numFmtId="167" fontId="3" fillId="2" borderId="1" xfId="1" applyNumberFormat="1" applyFont="1" applyFill="1" applyBorder="1" applyAlignment="1">
      <alignment horizontal="center" vertical="center"/>
    </xf>
    <xf numFmtId="168" fontId="3" fillId="2" borderId="1" xfId="1" applyNumberFormat="1" applyFont="1" applyFill="1" applyBorder="1" applyAlignment="1">
      <alignment horizontal="center" vertical="center"/>
    </xf>
    <xf numFmtId="166" fontId="3" fillId="2" borderId="1" xfId="1" applyNumberFormat="1" applyFont="1" applyFill="1" applyBorder="1" applyAlignment="1">
      <alignment horizontal="center" vertical="center" wrapText="1"/>
    </xf>
    <xf numFmtId="0" fontId="1" fillId="0" borderId="0" xfId="6"/>
    <xf numFmtId="0" fontId="1" fillId="0" borderId="0" xfId="6" applyAlignment="1">
      <alignment wrapText="1"/>
    </xf>
    <xf numFmtId="3" fontId="35" fillId="0" borderId="0" xfId="6" applyNumberFormat="1" applyFont="1" applyAlignment="1">
      <alignment horizontal="center"/>
    </xf>
    <xf numFmtId="1" fontId="3" fillId="0" borderId="1" xfId="1" applyNumberFormat="1" applyFont="1" applyBorder="1"/>
    <xf numFmtId="3" fontId="3" fillId="0" borderId="1" xfId="1" applyNumberFormat="1" applyFont="1" applyBorder="1" applyAlignment="1">
      <alignment wrapText="1"/>
    </xf>
    <xf numFmtId="9" fontId="3" fillId="2" borderId="1" xfId="7" applyFont="1" applyFill="1" applyBorder="1" applyAlignment="1">
      <alignment horizontal="center" vertical="center"/>
    </xf>
    <xf numFmtId="170" fontId="3" fillId="0" borderId="1" xfId="1" applyNumberFormat="1" applyFont="1" applyBorder="1"/>
    <xf numFmtId="169" fontId="3" fillId="0" borderId="1" xfId="0" applyNumberFormat="1" applyFont="1" applyBorder="1" applyAlignment="1">
      <alignment vertical="center"/>
    </xf>
    <xf numFmtId="1" fontId="3" fillId="2" borderId="1" xfId="1" applyNumberFormat="1" applyFont="1" applyFill="1" applyBorder="1" applyAlignment="1">
      <alignment horizontal="center" vertical="center" wrapText="1"/>
    </xf>
    <xf numFmtId="0" fontId="3" fillId="2" borderId="20" xfId="1" applyFont="1" applyFill="1" applyBorder="1" applyAlignment="1">
      <alignment horizontal="center" vertical="center" wrapText="1"/>
    </xf>
    <xf numFmtId="2" fontId="3" fillId="2" borderId="20" xfId="1" applyNumberFormat="1" applyFont="1" applyFill="1" applyBorder="1" applyAlignment="1">
      <alignment horizontal="center" vertical="center" wrapText="1"/>
    </xf>
    <xf numFmtId="0" fontId="38" fillId="0" borderId="0" xfId="3" applyFont="1"/>
    <xf numFmtId="0" fontId="39" fillId="0" borderId="0" xfId="0" applyFont="1"/>
    <xf numFmtId="0" fontId="43" fillId="0" borderId="32"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35" xfId="0" applyFont="1" applyBorder="1" applyAlignment="1">
      <alignment horizontal="center" vertical="center" wrapText="1"/>
    </xf>
    <xf numFmtId="0" fontId="45" fillId="0" borderId="32" xfId="0" applyFont="1" applyBorder="1" applyAlignment="1">
      <alignment horizontal="center" vertical="center"/>
    </xf>
    <xf numFmtId="3" fontId="39" fillId="0" borderId="33" xfId="0" applyNumberFormat="1" applyFont="1" applyBorder="1" applyAlignment="1">
      <alignment horizontal="center" vertical="center"/>
    </xf>
    <xf numFmtId="3" fontId="39" fillId="0" borderId="37" xfId="0" applyNumberFormat="1" applyFont="1" applyBorder="1" applyAlignment="1">
      <alignment horizontal="center" vertical="center"/>
    </xf>
    <xf numFmtId="1" fontId="39" fillId="0" borderId="33" xfId="0" applyNumberFormat="1" applyFont="1" applyBorder="1" applyAlignment="1">
      <alignment horizontal="center" vertical="center"/>
    </xf>
    <xf numFmtId="3" fontId="39" fillId="0" borderId="38" xfId="0" applyNumberFormat="1" applyFont="1" applyBorder="1" applyAlignment="1">
      <alignment horizontal="center" vertical="center" wrapText="1"/>
    </xf>
    <xf numFmtId="3" fontId="39" fillId="0" borderId="44" xfId="0" applyNumberFormat="1" applyFont="1" applyBorder="1" applyAlignment="1">
      <alignment horizontal="center" vertical="center"/>
    </xf>
    <xf numFmtId="3" fontId="39" fillId="0" borderId="45" xfId="0" applyNumberFormat="1" applyFont="1" applyBorder="1" applyAlignment="1">
      <alignment horizontal="center" vertical="center"/>
    </xf>
    <xf numFmtId="3" fontId="39" fillId="0" borderId="46" xfId="0" applyNumberFormat="1" applyFont="1" applyBorder="1" applyAlignment="1">
      <alignment horizontal="center" vertical="center" wrapText="1"/>
    </xf>
    <xf numFmtId="171" fontId="3" fillId="2" borderId="1" xfId="1" applyNumberFormat="1" applyFont="1" applyFill="1" applyBorder="1" applyAlignment="1">
      <alignment horizontal="center" vertical="center" wrapText="1"/>
    </xf>
    <xf numFmtId="0" fontId="45" fillId="0" borderId="43" xfId="0" applyFont="1" applyBorder="1" applyAlignment="1">
      <alignment horizontal="center" vertical="center" wrapText="1"/>
    </xf>
    <xf numFmtId="0" fontId="45" fillId="0" borderId="36" xfId="0" applyFont="1" applyBorder="1" applyAlignment="1">
      <alignment horizontal="center" vertical="center" wrapText="1"/>
    </xf>
    <xf numFmtId="3" fontId="44" fillId="0" borderId="35" xfId="0" applyNumberFormat="1" applyFont="1" applyBorder="1" applyAlignment="1">
      <alignment horizontal="center" vertical="center" wrapText="1"/>
    </xf>
    <xf numFmtId="171" fontId="44" fillId="0" borderId="35" xfId="0" applyNumberFormat="1" applyFont="1" applyBorder="1" applyAlignment="1">
      <alignment horizontal="center" vertical="center" wrapText="1"/>
    </xf>
    <xf numFmtId="3" fontId="39" fillId="0" borderId="42" xfId="0" applyNumberFormat="1" applyFont="1" applyBorder="1" applyAlignment="1">
      <alignment horizontal="center" vertical="center"/>
    </xf>
    <xf numFmtId="1" fontId="3" fillId="2" borderId="1" xfId="5" applyNumberFormat="1" applyFont="1" applyFill="1" applyBorder="1" applyAlignment="1">
      <alignment horizontal="center" vertical="center"/>
    </xf>
    <xf numFmtId="0" fontId="4" fillId="3" borderId="17"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39" fillId="0" borderId="33" xfId="0" applyFont="1" applyBorder="1" applyAlignment="1">
      <alignment horizontal="center" vertical="center" wrapText="1"/>
    </xf>
    <xf numFmtId="0" fontId="39" fillId="0" borderId="34" xfId="0" applyFont="1" applyBorder="1" applyAlignment="1">
      <alignment horizontal="center" vertical="center" wrapText="1"/>
    </xf>
    <xf numFmtId="0" fontId="45" fillId="0" borderId="47" xfId="0" applyFont="1" applyBorder="1" applyAlignment="1">
      <alignment horizontal="center" vertical="center"/>
    </xf>
    <xf numFmtId="3" fontId="39" fillId="0" borderId="48" xfId="0" applyNumberFormat="1" applyFont="1" applyBorder="1" applyAlignment="1">
      <alignment horizontal="center" vertical="center"/>
    </xf>
    <xf numFmtId="3" fontId="44" fillId="0" borderId="35" xfId="0" applyNumberFormat="1" applyFont="1" applyBorder="1" applyAlignment="1">
      <alignment horizontal="center" vertical="center"/>
    </xf>
    <xf numFmtId="0" fontId="45" fillId="0" borderId="49" xfId="0" applyFont="1" applyBorder="1" applyAlignment="1">
      <alignment horizontal="center" vertical="center" wrapText="1"/>
    </xf>
    <xf numFmtId="3" fontId="39" fillId="0" borderId="38" xfId="0" applyNumberFormat="1" applyFont="1" applyBorder="1" applyAlignment="1">
      <alignment horizontal="center" vertical="center"/>
    </xf>
    <xf numFmtId="0" fontId="45" fillId="0" borderId="28" xfId="0" applyFont="1" applyBorder="1" applyAlignment="1">
      <alignment horizontal="center" vertical="center"/>
    </xf>
    <xf numFmtId="3" fontId="39" fillId="0" borderId="29" xfId="0" applyNumberFormat="1" applyFont="1" applyBorder="1" applyAlignment="1">
      <alignment horizontal="center" vertical="center"/>
    </xf>
    <xf numFmtId="3" fontId="44" fillId="0" borderId="31" xfId="0" applyNumberFormat="1" applyFont="1" applyBorder="1" applyAlignment="1">
      <alignment horizontal="center" vertical="center"/>
    </xf>
    <xf numFmtId="3" fontId="44" fillId="0" borderId="46" xfId="0" applyNumberFormat="1" applyFont="1" applyBorder="1" applyAlignment="1">
      <alignment horizontal="center" vertical="center"/>
    </xf>
    <xf numFmtId="0" fontId="43" fillId="0" borderId="50" xfId="0" applyFont="1" applyBorder="1" applyAlignment="1">
      <alignment horizontal="center" vertical="center" wrapText="1"/>
    </xf>
    <xf numFmtId="0" fontId="44" fillId="0" borderId="51" xfId="0" applyFont="1" applyBorder="1" applyAlignment="1">
      <alignment horizontal="center" vertical="center" wrapText="1"/>
    </xf>
    <xf numFmtId="0" fontId="44" fillId="0" borderId="52" xfId="0" applyFont="1" applyBorder="1" applyAlignment="1">
      <alignment horizontal="center" vertical="center" wrapText="1"/>
    </xf>
    <xf numFmtId="0" fontId="44" fillId="0" borderId="53" xfId="0" applyFont="1" applyBorder="1" applyAlignment="1">
      <alignment horizontal="center" vertical="center" wrapText="1"/>
    </xf>
    <xf numFmtId="0" fontId="43" fillId="0" borderId="54" xfId="0" applyFont="1" applyBorder="1" applyAlignment="1">
      <alignment horizontal="center" vertical="center" wrapText="1"/>
    </xf>
    <xf numFmtId="0" fontId="44" fillId="0" borderId="55" xfId="0" applyFont="1" applyBorder="1" applyAlignment="1">
      <alignment horizontal="center" vertical="center" wrapText="1"/>
    </xf>
    <xf numFmtId="0" fontId="44" fillId="0" borderId="56" xfId="0" applyFont="1" applyBorder="1" applyAlignment="1">
      <alignment horizontal="center" vertical="center" wrapText="1"/>
    </xf>
    <xf numFmtId="3" fontId="39" fillId="0" borderId="57" xfId="0" applyNumberFormat="1" applyFont="1" applyBorder="1" applyAlignment="1">
      <alignment horizontal="center" vertical="center"/>
    </xf>
    <xf numFmtId="3" fontId="39" fillId="0" borderId="58" xfId="0" applyNumberFormat="1" applyFont="1" applyBorder="1" applyAlignment="1">
      <alignment horizontal="center" vertical="center"/>
    </xf>
    <xf numFmtId="0" fontId="45" fillId="0" borderId="32" xfId="0" applyFont="1" applyBorder="1" applyAlignment="1">
      <alignment horizontal="center" vertical="center" wrapText="1"/>
    </xf>
    <xf numFmtId="3" fontId="39" fillId="0" borderId="35" xfId="0" applyNumberFormat="1" applyFont="1" applyBorder="1" applyAlignment="1">
      <alignment horizontal="center" vertical="center"/>
    </xf>
    <xf numFmtId="0" fontId="44" fillId="0" borderId="38" xfId="0" applyFont="1" applyBorder="1" applyAlignment="1">
      <alignment horizontal="center" vertical="center" wrapText="1"/>
    </xf>
    <xf numFmtId="0" fontId="43" fillId="0" borderId="36"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42" xfId="0" applyFont="1" applyBorder="1" applyAlignment="1">
      <alignment horizontal="center" vertical="center" wrapText="1"/>
    </xf>
    <xf numFmtId="171" fontId="44" fillId="0" borderId="46" xfId="0" applyNumberFormat="1" applyFont="1" applyBorder="1" applyAlignment="1">
      <alignment horizontal="center" vertical="center"/>
    </xf>
    <xf numFmtId="171" fontId="44" fillId="0" borderId="35" xfId="0" applyNumberFormat="1" applyFont="1" applyBorder="1" applyAlignment="1">
      <alignment horizontal="center" vertical="center"/>
    </xf>
    <xf numFmtId="169" fontId="3" fillId="2" borderId="1" xfId="1" applyNumberFormat="1" applyFont="1" applyFill="1" applyBorder="1" applyAlignment="1">
      <alignment horizontal="center" vertical="center" wrapText="1"/>
    </xf>
    <xf numFmtId="171" fontId="3" fillId="2" borderId="1" xfId="1" applyNumberFormat="1" applyFont="1" applyFill="1" applyBorder="1" applyAlignment="1">
      <alignment horizontal="center" vertical="center"/>
    </xf>
    <xf numFmtId="171" fontId="39" fillId="0" borderId="29" xfId="0" applyNumberFormat="1" applyFont="1" applyBorder="1" applyAlignment="1">
      <alignment horizontal="center" vertical="center"/>
    </xf>
    <xf numFmtId="171" fontId="39" fillId="0" borderId="33" xfId="0" applyNumberFormat="1" applyFont="1" applyBorder="1" applyAlignment="1">
      <alignment horizontal="center" vertical="center"/>
    </xf>
    <xf numFmtId="171" fontId="39" fillId="0" borderId="37" xfId="0" applyNumberFormat="1" applyFont="1" applyBorder="1" applyAlignment="1">
      <alignment horizontal="center" vertical="center"/>
    </xf>
    <xf numFmtId="171" fontId="39" fillId="0" borderId="38" xfId="0" applyNumberFormat="1" applyFont="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21" xfId="1" applyFont="1" applyFill="1" applyBorder="1" applyAlignment="1">
      <alignment horizontal="center" vertical="center" wrapText="1"/>
    </xf>
    <xf numFmtId="0" fontId="4" fillId="3" borderId="22" xfId="1" applyFont="1" applyFill="1" applyBorder="1" applyAlignment="1">
      <alignment horizontal="center" vertical="center" wrapText="1"/>
    </xf>
    <xf numFmtId="0" fontId="4" fillId="3" borderId="23"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4" fillId="3" borderId="24" xfId="1" applyFont="1" applyFill="1" applyBorder="1" applyAlignment="1">
      <alignment horizontal="center" vertical="center" wrapText="1"/>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7" xfId="1" applyFont="1" applyFill="1" applyBorder="1" applyAlignment="1">
      <alignment horizontal="center" vertical="center"/>
    </xf>
    <xf numFmtId="0" fontId="4" fillId="3" borderId="0" xfId="1" applyFont="1" applyFill="1" applyAlignment="1">
      <alignment horizontal="center" vertical="center"/>
    </xf>
    <xf numFmtId="0" fontId="4" fillId="3" borderId="5" xfId="1" applyFont="1" applyFill="1" applyBorder="1" applyAlignment="1">
      <alignment horizontal="center" vertical="center"/>
    </xf>
    <xf numFmtId="0" fontId="4" fillId="3" borderId="6" xfId="1" applyFont="1" applyFill="1" applyBorder="1" applyAlignment="1">
      <alignment horizontal="center" vertical="center"/>
    </xf>
    <xf numFmtId="0" fontId="3" fillId="5"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3" borderId="17" xfId="1" applyFont="1" applyFill="1" applyBorder="1" applyAlignment="1">
      <alignment horizontal="center" vertical="center" wrapText="1"/>
    </xf>
    <xf numFmtId="0" fontId="4" fillId="3" borderId="18" xfId="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0" fillId="3" borderId="39" xfId="0" applyFont="1" applyFill="1" applyBorder="1" applyAlignment="1">
      <alignment horizontal="center" vertical="center"/>
    </xf>
    <xf numFmtId="0" fontId="40" fillId="3" borderId="40" xfId="0" applyFont="1" applyFill="1" applyBorder="1" applyAlignment="1">
      <alignment horizontal="center" vertical="center"/>
    </xf>
    <xf numFmtId="0" fontId="40" fillId="3" borderId="41" xfId="0" applyFont="1" applyFill="1" applyBorder="1" applyAlignment="1">
      <alignment horizontal="center" vertical="center"/>
    </xf>
    <xf numFmtId="0" fontId="40" fillId="3" borderId="28" xfId="0" applyFont="1" applyFill="1" applyBorder="1" applyAlignment="1">
      <alignment horizontal="center" vertical="center"/>
    </xf>
    <xf numFmtId="0" fontId="40" fillId="3" borderId="29" xfId="0" applyFont="1" applyFill="1" applyBorder="1" applyAlignment="1">
      <alignment horizontal="center" vertical="center"/>
    </xf>
    <xf numFmtId="0" fontId="40" fillId="3" borderId="30" xfId="0" applyFont="1" applyFill="1" applyBorder="1" applyAlignment="1">
      <alignment horizontal="center" vertical="center"/>
    </xf>
    <xf numFmtId="0" fontId="40" fillId="3" borderId="31" xfId="0" applyFont="1" applyFill="1" applyBorder="1" applyAlignment="1">
      <alignment horizontal="center" vertical="center"/>
    </xf>
    <xf numFmtId="0" fontId="40" fillId="3" borderId="9" xfId="0" applyFont="1" applyFill="1" applyBorder="1" applyAlignment="1">
      <alignment horizontal="center" vertical="center"/>
    </xf>
    <xf numFmtId="0" fontId="40" fillId="3" borderId="10" xfId="0" applyFont="1" applyFill="1" applyBorder="1" applyAlignment="1">
      <alignment horizontal="center" vertical="center"/>
    </xf>
    <xf numFmtId="0" fontId="40" fillId="3" borderId="11" xfId="0" applyFont="1" applyFill="1" applyBorder="1" applyAlignment="1">
      <alignment horizontal="center" vertical="center"/>
    </xf>
    <xf numFmtId="0" fontId="40" fillId="3" borderId="28" xfId="0" applyFont="1" applyFill="1" applyBorder="1" applyAlignment="1">
      <alignment horizontal="center" vertical="center" wrapText="1"/>
    </xf>
    <xf numFmtId="0" fontId="40" fillId="3" borderId="29" xfId="0" applyFont="1" applyFill="1" applyBorder="1" applyAlignment="1">
      <alignment horizontal="center" vertical="center" wrapText="1"/>
    </xf>
    <xf numFmtId="0" fontId="40" fillId="3" borderId="30"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 fillId="3" borderId="7" xfId="1" applyFont="1" applyFill="1" applyBorder="1" applyAlignment="1">
      <alignment horizontal="center" vertical="center" wrapText="1"/>
    </xf>
    <xf numFmtId="0" fontId="8" fillId="0" borderId="8" xfId="1" applyBorder="1" applyAlignment="1">
      <alignment horizontal="center" vertical="center"/>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166" fontId="3" fillId="2" borderId="2" xfId="1" applyNumberFormat="1" applyFont="1" applyFill="1" applyBorder="1" applyAlignment="1">
      <alignment horizontal="center" vertical="center" wrapText="1"/>
    </xf>
    <xf numFmtId="166" fontId="3" fillId="2" borderId="3" xfId="1" applyNumberFormat="1" applyFont="1" applyFill="1" applyBorder="1" applyAlignment="1">
      <alignment horizontal="center" vertical="center" wrapText="1"/>
    </xf>
    <xf numFmtId="166" fontId="3" fillId="2" borderId="4" xfId="1" applyNumberFormat="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cellXfs>
  <cellStyles count="8">
    <cellStyle name="Hiperlink 2" xfId="4" xr:uid="{AAEB0645-0BB3-413D-8466-981B1248ED42}"/>
    <cellStyle name="Normal" xfId="0" builtinId="0"/>
    <cellStyle name="Normal 2" xfId="1" xr:uid="{6F273A0C-BFEE-4D92-A63E-8789D5AE517B}"/>
    <cellStyle name="Normal 2 2" xfId="5" xr:uid="{A81F6698-F996-4A27-AD94-52810BDE3CFB}"/>
    <cellStyle name="Normal 3" xfId="3" xr:uid="{431490BE-6745-4C09-BF51-A8DDB6AABE50}"/>
    <cellStyle name="Normal 3 2" xfId="6" xr:uid="{84606E95-60AE-4998-A6C2-9E957900C99E}"/>
    <cellStyle name="Porcentagem" xfId="7" builtinId="5"/>
    <cellStyle name="Vírgula 2" xfId="2" xr:uid="{D4BB9062-11BF-466F-A221-637EFC9F6A72}"/>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E9C5D73E-5B40-4472-AD50-2F0D4C8F5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1870104D-2FC8-43B9-98F1-2ED762997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9292BE4F-CB2E-47FF-9B5B-15585403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388AA10A-458D-4003-8C2C-38C846779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285749</xdr:colOff>
      <xdr:row>16</xdr:row>
      <xdr:rowOff>23812</xdr:rowOff>
    </xdr:from>
    <xdr:to>
      <xdr:col>11</xdr:col>
      <xdr:colOff>827282</xdr:colOff>
      <xdr:row>27</xdr:row>
      <xdr:rowOff>186052</xdr:rowOff>
    </xdr:to>
    <xdr:pic>
      <xdr:nvPicPr>
        <xdr:cNvPr id="2" name="Imagem 1">
          <a:extLst>
            <a:ext uri="{FF2B5EF4-FFF2-40B4-BE49-F238E27FC236}">
              <a16:creationId xmlns:a16="http://schemas.microsoft.com/office/drawing/2014/main" id="{DDAF1937-A4F8-4DEE-51F3-6B45EC3D5E5A}"/>
            </a:ext>
          </a:extLst>
        </xdr:cNvPr>
        <xdr:cNvPicPr>
          <a:picLocks noChangeAspect="1"/>
        </xdr:cNvPicPr>
      </xdr:nvPicPr>
      <xdr:blipFill rotWithShape="1">
        <a:blip xmlns:r="http://schemas.openxmlformats.org/officeDocument/2006/relationships" r:embed="rId1"/>
        <a:srcRect l="505" r="-1"/>
        <a:stretch/>
      </xdr:blipFill>
      <xdr:spPr>
        <a:xfrm>
          <a:off x="2107405" y="3917156"/>
          <a:ext cx="7042346" cy="2257740"/>
        </a:xfrm>
        <a:prstGeom prst="rect">
          <a:avLst/>
        </a:prstGeom>
      </xdr:spPr>
    </xdr:pic>
    <xdr:clientData/>
  </xdr:twoCellAnchor>
  <xdr:twoCellAnchor editAs="oneCell">
    <xdr:from>
      <xdr:col>12</xdr:col>
      <xdr:colOff>95250</xdr:colOff>
      <xdr:row>25</xdr:row>
      <xdr:rowOff>119064</xdr:rowOff>
    </xdr:from>
    <xdr:to>
      <xdr:col>18</xdr:col>
      <xdr:colOff>571500</xdr:colOff>
      <xdr:row>29</xdr:row>
      <xdr:rowOff>625986</xdr:rowOff>
    </xdr:to>
    <xdr:pic>
      <xdr:nvPicPr>
        <xdr:cNvPr id="3" name="Imagem 2">
          <a:extLst>
            <a:ext uri="{FF2B5EF4-FFF2-40B4-BE49-F238E27FC236}">
              <a16:creationId xmlns:a16="http://schemas.microsoft.com/office/drawing/2014/main" id="{69F031F4-E0AC-E181-EEBE-1DCEF2943FFF}"/>
            </a:ext>
          </a:extLst>
        </xdr:cNvPr>
        <xdr:cNvPicPr>
          <a:picLocks noChangeAspect="1"/>
        </xdr:cNvPicPr>
      </xdr:nvPicPr>
      <xdr:blipFill>
        <a:blip xmlns:r="http://schemas.openxmlformats.org/officeDocument/2006/relationships" r:embed="rId2"/>
        <a:stretch>
          <a:fillRect/>
        </a:stretch>
      </xdr:blipFill>
      <xdr:spPr>
        <a:xfrm>
          <a:off x="9298781" y="5726908"/>
          <a:ext cx="5667375" cy="1268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457DFC60-66D2-499A-9C79-7AB114036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6F49972E-90C0-4D2D-B700-C89037BF0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32CD4AB7-5338-4FDF-B6C4-688237ED7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B6FAFC31-0ED5-4B2E-A6D3-409973789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3EBED50C-2677-4712-AA99-AAF610D1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9298232D-CC33-47F7-81E5-46A9D7EC6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571500</xdr:colOff>
      <xdr:row>2</xdr:row>
      <xdr:rowOff>171450</xdr:rowOff>
    </xdr:from>
    <xdr:to>
      <xdr:col>7</xdr:col>
      <xdr:colOff>171450</xdr:colOff>
      <xdr:row>2</xdr:row>
      <xdr:rowOff>457200</xdr:rowOff>
    </xdr:to>
    <xdr:pic>
      <xdr:nvPicPr>
        <xdr:cNvPr id="2" name="image16.png">
          <a:extLst>
            <a:ext uri="{FF2B5EF4-FFF2-40B4-BE49-F238E27FC236}">
              <a16:creationId xmlns:a16="http://schemas.microsoft.com/office/drawing/2014/main" id="{E3C0C786-9358-4AF3-B85F-3124CCE0B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533400"/>
          <a:ext cx="4114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704850</xdr:colOff>
      <xdr:row>2</xdr:row>
      <xdr:rowOff>19050</xdr:rowOff>
    </xdr:from>
    <xdr:to>
      <xdr:col>8</xdr:col>
      <xdr:colOff>161925</xdr:colOff>
      <xdr:row>3</xdr:row>
      <xdr:rowOff>180975</xdr:rowOff>
    </xdr:to>
    <xdr:pic>
      <xdr:nvPicPr>
        <xdr:cNvPr id="2" name="Imagem 3">
          <a:extLst>
            <a:ext uri="{FF2B5EF4-FFF2-40B4-BE49-F238E27FC236}">
              <a16:creationId xmlns:a16="http://schemas.microsoft.com/office/drawing/2014/main" id="{389C4AC1-183C-4A9D-A3C6-C762E8734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50" y="352425"/>
          <a:ext cx="4886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1.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4.bin"/><Relationship Id="rId4" Type="http://schemas.openxmlformats.org/officeDocument/2006/relationships/comments" Target="../comments9.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hyperlink" Target="https://www.gov.br/mcti/pt-br/acompanhe-o-mcti/sirene/dados-e-ferramentas/fatores-de-emissao"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BEF5-D9C6-4B72-9800-FB2C5F1D77F2}">
  <dimension ref="B2:K56"/>
  <sheetViews>
    <sheetView showGridLines="0" tabSelected="1" zoomScale="80" zoomScaleNormal="80" workbookViewId="0">
      <selection activeCell="B2" sqref="B2:I2"/>
    </sheetView>
  </sheetViews>
  <sheetFormatPr defaultRowHeight="14.25" x14ac:dyDescent="0.2"/>
  <cols>
    <col min="1" max="1" width="2.42578125" style="1" customWidth="1"/>
    <col min="2" max="2" width="28.42578125" style="1" bestFit="1" customWidth="1"/>
    <col min="3" max="3" width="24.140625" style="1" bestFit="1" customWidth="1"/>
    <col min="4" max="4" width="23.28515625" style="1" bestFit="1" customWidth="1"/>
    <col min="5" max="5" width="24.42578125" style="1" bestFit="1" customWidth="1"/>
    <col min="6" max="6" width="23.5703125" style="1" bestFit="1" customWidth="1"/>
    <col min="7" max="7" width="23" style="1" bestFit="1" customWidth="1"/>
    <col min="8" max="8" width="27.140625" style="1" bestFit="1" customWidth="1"/>
    <col min="9" max="9" width="20.140625" style="1" bestFit="1" customWidth="1"/>
    <col min="10" max="16384" width="9.140625" style="1"/>
  </cols>
  <sheetData>
    <row r="2" spans="2:9" x14ac:dyDescent="0.2">
      <c r="B2" s="133" t="s">
        <v>3</v>
      </c>
      <c r="C2" s="134"/>
      <c r="D2" s="134"/>
      <c r="E2" s="134"/>
      <c r="F2" s="134"/>
      <c r="G2" s="134"/>
      <c r="H2" s="134"/>
      <c r="I2" s="135"/>
    </row>
    <row r="3" spans="2:9" x14ac:dyDescent="0.2">
      <c r="B3" s="5" t="s">
        <v>2</v>
      </c>
      <c r="C3" s="5" t="s">
        <v>127</v>
      </c>
      <c r="D3" s="6" t="s">
        <v>8</v>
      </c>
      <c r="E3" s="5" t="s">
        <v>128</v>
      </c>
      <c r="F3" s="5" t="s">
        <v>9</v>
      </c>
      <c r="G3" s="5" t="s">
        <v>126</v>
      </c>
      <c r="H3" s="5" t="s">
        <v>129</v>
      </c>
      <c r="I3" s="5" t="s">
        <v>1</v>
      </c>
    </row>
    <row r="4" spans="2:9" x14ac:dyDescent="0.2">
      <c r="B4" s="8">
        <v>2021</v>
      </c>
      <c r="C4" s="3">
        <f>ROUNDDOWN('BEy_Fazenda Altenor'!J7,)</f>
        <v>1278</v>
      </c>
      <c r="D4" s="3">
        <f>ROUNDDOWN(BEy_Baccin!J7,)</f>
        <v>1206</v>
      </c>
      <c r="E4" s="3">
        <f>ROUNDDOWN('BEy_Santa Lucia'!J7,)</f>
        <v>970</v>
      </c>
      <c r="F4" s="3">
        <f>ROUNDDOWN('BEy_Granja Silva'!J7,)</f>
        <v>204</v>
      </c>
      <c r="G4" s="3">
        <f>ROUNDDOWN(BEy_Ramela!J7,)</f>
        <v>483</v>
      </c>
      <c r="H4" s="3">
        <f>ROUNDDOWN('BEy_Colonia Suspiro'!J7,)</f>
        <v>1035</v>
      </c>
      <c r="I4" s="3">
        <f>ROUNDDOWN(SUM(C4:H4),)</f>
        <v>5176</v>
      </c>
    </row>
    <row r="5" spans="2:9" x14ac:dyDescent="0.2">
      <c r="B5" s="8">
        <v>2022</v>
      </c>
      <c r="C5" s="3">
        <f>ROUNDDOWN('BEy_Fazenda Altenor'!J8,)</f>
        <v>1278</v>
      </c>
      <c r="D5" s="3">
        <f>ROUNDDOWN(BEy_Baccin!J8,)</f>
        <v>1206</v>
      </c>
      <c r="E5" s="3">
        <f>ROUNDDOWN('BEy_Santa Lucia'!J8,)</f>
        <v>970</v>
      </c>
      <c r="F5" s="3">
        <f>ROUNDDOWN('BEy_Granja Silva'!J8,)</f>
        <v>204</v>
      </c>
      <c r="G5" s="3">
        <f>ROUNDDOWN(BEy_Ramela!J8,)</f>
        <v>483</v>
      </c>
      <c r="H5" s="3">
        <f>ROUNDDOWN('BEy_Colonia Suspiro'!J8,)</f>
        <v>1035</v>
      </c>
      <c r="I5" s="3">
        <f t="shared" ref="I5:I13" si="0">ROUNDDOWN(SUM(C5:H5),)</f>
        <v>5176</v>
      </c>
    </row>
    <row r="6" spans="2:9" x14ac:dyDescent="0.2">
      <c r="B6" s="8">
        <v>2023</v>
      </c>
      <c r="C6" s="3">
        <f>ROUNDDOWN('BEy_Fazenda Altenor'!J9,)</f>
        <v>1278</v>
      </c>
      <c r="D6" s="3">
        <f>ROUNDDOWN(BEy_Baccin!J9,)</f>
        <v>1206</v>
      </c>
      <c r="E6" s="3">
        <f>ROUNDDOWN('BEy_Santa Lucia'!J9,)</f>
        <v>970</v>
      </c>
      <c r="F6" s="3">
        <f>ROUNDDOWN('BEy_Granja Silva'!J9,)</f>
        <v>204</v>
      </c>
      <c r="G6" s="3">
        <f>ROUNDDOWN(BEy_Ramela!J9,)</f>
        <v>483</v>
      </c>
      <c r="H6" s="3">
        <f>ROUNDDOWN('BEy_Colonia Suspiro'!J9,)</f>
        <v>1035</v>
      </c>
      <c r="I6" s="3">
        <f t="shared" si="0"/>
        <v>5176</v>
      </c>
    </row>
    <row r="7" spans="2:9" x14ac:dyDescent="0.2">
      <c r="B7" s="8">
        <v>2024</v>
      </c>
      <c r="C7" s="3">
        <f>ROUNDDOWN('BEy_Fazenda Altenor'!J10,)</f>
        <v>1278</v>
      </c>
      <c r="D7" s="3">
        <f>ROUNDDOWN(BEy_Baccin!J10,)</f>
        <v>1206</v>
      </c>
      <c r="E7" s="3">
        <f>ROUNDDOWN('BEy_Santa Lucia'!J10,)</f>
        <v>970</v>
      </c>
      <c r="F7" s="3">
        <f>ROUNDDOWN('BEy_Granja Silva'!J10,)</f>
        <v>204</v>
      </c>
      <c r="G7" s="3">
        <f>ROUNDDOWN(BEy_Ramela!J10,)</f>
        <v>483</v>
      </c>
      <c r="H7" s="3">
        <f>ROUNDDOWN('BEy_Colonia Suspiro'!J10,)</f>
        <v>1035</v>
      </c>
      <c r="I7" s="3">
        <f t="shared" si="0"/>
        <v>5176</v>
      </c>
    </row>
    <row r="8" spans="2:9" x14ac:dyDescent="0.2">
      <c r="B8" s="8">
        <v>2025</v>
      </c>
      <c r="C8" s="3">
        <f>ROUNDDOWN('BEy_Fazenda Altenor'!J11,)</f>
        <v>1278</v>
      </c>
      <c r="D8" s="3">
        <f>ROUNDDOWN(BEy_Baccin!J11,)</f>
        <v>1206</v>
      </c>
      <c r="E8" s="3">
        <f>ROUNDDOWN('BEy_Santa Lucia'!J11,)</f>
        <v>970</v>
      </c>
      <c r="F8" s="3">
        <f>ROUNDDOWN('BEy_Granja Silva'!J11,)</f>
        <v>204</v>
      </c>
      <c r="G8" s="3">
        <f>ROUNDDOWN(BEy_Ramela!J11,)</f>
        <v>483</v>
      </c>
      <c r="H8" s="3">
        <f>ROUNDDOWN('BEy_Colonia Suspiro'!J11,)</f>
        <v>1035</v>
      </c>
      <c r="I8" s="3">
        <f t="shared" si="0"/>
        <v>5176</v>
      </c>
    </row>
    <row r="9" spans="2:9" x14ac:dyDescent="0.2">
      <c r="B9" s="8">
        <v>2026</v>
      </c>
      <c r="C9" s="3">
        <f>ROUNDDOWN('BEy_Fazenda Altenor'!J12,)</f>
        <v>1278</v>
      </c>
      <c r="D9" s="3">
        <f>ROUNDDOWN(BEy_Baccin!J12,)</f>
        <v>1206</v>
      </c>
      <c r="E9" s="3">
        <f>ROUNDDOWN('BEy_Santa Lucia'!J12,)</f>
        <v>970</v>
      </c>
      <c r="F9" s="3">
        <f>ROUNDDOWN('BEy_Granja Silva'!J12,)</f>
        <v>204</v>
      </c>
      <c r="G9" s="3">
        <f>ROUNDDOWN(BEy_Ramela!J12,)</f>
        <v>483</v>
      </c>
      <c r="H9" s="3">
        <f>ROUNDDOWN('BEy_Colonia Suspiro'!J12,)</f>
        <v>1035</v>
      </c>
      <c r="I9" s="3">
        <f t="shared" si="0"/>
        <v>5176</v>
      </c>
    </row>
    <row r="10" spans="2:9" x14ac:dyDescent="0.2">
      <c r="B10" s="8">
        <v>2027</v>
      </c>
      <c r="C10" s="3">
        <f>ROUNDDOWN('BEy_Fazenda Altenor'!J13,)</f>
        <v>1278</v>
      </c>
      <c r="D10" s="3">
        <f>ROUNDDOWN(BEy_Baccin!J13,)</f>
        <v>1206</v>
      </c>
      <c r="E10" s="3">
        <f>ROUNDDOWN('BEy_Santa Lucia'!J13,)</f>
        <v>970</v>
      </c>
      <c r="F10" s="3">
        <f>ROUNDDOWN('BEy_Granja Silva'!J13,)</f>
        <v>204</v>
      </c>
      <c r="G10" s="3">
        <f>ROUNDDOWN(BEy_Ramela!J13,)</f>
        <v>483</v>
      </c>
      <c r="H10" s="3">
        <f>ROUNDDOWN('BEy_Colonia Suspiro'!J13,)</f>
        <v>1035</v>
      </c>
      <c r="I10" s="3">
        <f t="shared" si="0"/>
        <v>5176</v>
      </c>
    </row>
    <row r="11" spans="2:9" x14ac:dyDescent="0.2">
      <c r="B11" s="8">
        <v>2028</v>
      </c>
      <c r="C11" s="3">
        <f>ROUNDDOWN('BEy_Fazenda Altenor'!J14,)</f>
        <v>1278</v>
      </c>
      <c r="D11" s="3">
        <f>ROUNDDOWN(BEy_Baccin!J14,)</f>
        <v>1206</v>
      </c>
      <c r="E11" s="3">
        <f>ROUNDDOWN('BEy_Santa Lucia'!J14,)</f>
        <v>970</v>
      </c>
      <c r="F11" s="3">
        <f>ROUNDDOWN('BEy_Granja Silva'!J14,)</f>
        <v>204</v>
      </c>
      <c r="G11" s="3">
        <f>ROUNDDOWN(BEy_Ramela!J14,)</f>
        <v>483</v>
      </c>
      <c r="H11" s="3">
        <f>ROUNDDOWN('BEy_Colonia Suspiro'!J14,)</f>
        <v>1035</v>
      </c>
      <c r="I11" s="3">
        <f t="shared" si="0"/>
        <v>5176</v>
      </c>
    </row>
    <row r="12" spans="2:9" x14ac:dyDescent="0.2">
      <c r="B12" s="8">
        <v>2029</v>
      </c>
      <c r="C12" s="3">
        <f>ROUNDDOWN('BEy_Fazenda Altenor'!J15,)</f>
        <v>1278</v>
      </c>
      <c r="D12" s="3">
        <f>ROUNDDOWN(BEy_Baccin!J15,)</f>
        <v>1206</v>
      </c>
      <c r="E12" s="3">
        <f>ROUNDDOWN('BEy_Santa Lucia'!J15,)</f>
        <v>970</v>
      </c>
      <c r="F12" s="3">
        <f>ROUNDDOWN('BEy_Granja Silva'!J15,)</f>
        <v>204</v>
      </c>
      <c r="G12" s="3">
        <f>ROUNDDOWN(BEy_Ramela!J15,)</f>
        <v>483</v>
      </c>
      <c r="H12" s="3">
        <f>ROUNDDOWN('BEy_Colonia Suspiro'!J15,)</f>
        <v>1035</v>
      </c>
      <c r="I12" s="3">
        <f t="shared" si="0"/>
        <v>5176</v>
      </c>
    </row>
    <row r="13" spans="2:9" x14ac:dyDescent="0.2">
      <c r="B13" s="8">
        <v>2030</v>
      </c>
      <c r="C13" s="3">
        <f>ROUNDDOWN('BEy_Fazenda Altenor'!J16,)</f>
        <v>1278</v>
      </c>
      <c r="D13" s="3">
        <f>ROUNDDOWN(BEy_Baccin!J16,)</f>
        <v>1206</v>
      </c>
      <c r="E13" s="3">
        <f>ROUNDDOWN('BEy_Santa Lucia'!J16,)</f>
        <v>970</v>
      </c>
      <c r="F13" s="3">
        <f>ROUNDDOWN('BEy_Granja Silva'!J16,)</f>
        <v>204</v>
      </c>
      <c r="G13" s="3">
        <f>ROUNDDOWN(BEy_Ramela!J16,)</f>
        <v>483</v>
      </c>
      <c r="H13" s="3">
        <f>ROUNDDOWN('BEy_Colonia Suspiro'!J16,)</f>
        <v>1035</v>
      </c>
      <c r="I13" s="3">
        <f t="shared" si="0"/>
        <v>5176</v>
      </c>
    </row>
    <row r="14" spans="2:9" x14ac:dyDescent="0.2">
      <c r="B14" s="5" t="s">
        <v>0</v>
      </c>
      <c r="C14" s="7">
        <f>ROUNDDOWN(SUM(C4:C13),)</f>
        <v>12780</v>
      </c>
      <c r="D14" s="7">
        <f t="shared" ref="D14:H14" si="1">ROUNDDOWN(SUM(D4:D13),)</f>
        <v>12060</v>
      </c>
      <c r="E14" s="7">
        <f t="shared" si="1"/>
        <v>9700</v>
      </c>
      <c r="F14" s="7">
        <f t="shared" si="1"/>
        <v>2040</v>
      </c>
      <c r="G14" s="7">
        <f t="shared" si="1"/>
        <v>4830</v>
      </c>
      <c r="H14" s="7">
        <f t="shared" si="1"/>
        <v>10350</v>
      </c>
      <c r="I14" s="7">
        <f>ROUNDDOWN(SUM(I4:I13),)</f>
        <v>51760</v>
      </c>
    </row>
    <row r="15" spans="2:9" x14ac:dyDescent="0.2">
      <c r="G15" s="2"/>
    </row>
    <row r="16" spans="2:9" x14ac:dyDescent="0.2">
      <c r="B16" s="133" t="s">
        <v>10</v>
      </c>
      <c r="C16" s="134"/>
      <c r="D16" s="134"/>
      <c r="E16" s="134"/>
      <c r="F16" s="134"/>
      <c r="G16" s="134"/>
      <c r="H16" s="134"/>
      <c r="I16" s="135"/>
    </row>
    <row r="17" spans="2:11" x14ac:dyDescent="0.2">
      <c r="B17" s="5" t="s">
        <v>2</v>
      </c>
      <c r="C17" s="5" t="s">
        <v>127</v>
      </c>
      <c r="D17" s="6" t="s">
        <v>8</v>
      </c>
      <c r="E17" s="5" t="s">
        <v>128</v>
      </c>
      <c r="F17" s="5" t="s">
        <v>9</v>
      </c>
      <c r="G17" s="5" t="s">
        <v>126</v>
      </c>
      <c r="H17" s="5" t="s">
        <v>129</v>
      </c>
      <c r="I17" s="5" t="s">
        <v>1</v>
      </c>
      <c r="K17" s="2"/>
    </row>
    <row r="18" spans="2:11" x14ac:dyDescent="0.2">
      <c r="B18" s="4">
        <v>2021</v>
      </c>
      <c r="C18" s="3">
        <f>ROUNDDOWN('PEy_ Fazenda Altenor'!H6,)</f>
        <v>280</v>
      </c>
      <c r="D18" s="3">
        <f>ROUNDDOWN(PEy_Baccin!H6,)</f>
        <v>268</v>
      </c>
      <c r="E18" s="3">
        <f>ROUNDDOWN('PEy_Santa Lucia'!H6,)</f>
        <v>222</v>
      </c>
      <c r="F18" s="3">
        <f>ROUNDDOWN('PEy_Granja Silva'!H7,)</f>
        <v>135</v>
      </c>
      <c r="G18" s="3">
        <f>ROUNDDOWN(PEy_Ramela!H6,)</f>
        <v>187</v>
      </c>
      <c r="H18" s="3">
        <f>ROUNDDOWN('PEy_Colonia Suspiro'!H6,)</f>
        <v>247</v>
      </c>
      <c r="I18" s="3">
        <f>ROUNDDOWN(SUM(C18:H18),)</f>
        <v>1339</v>
      </c>
    </row>
    <row r="19" spans="2:11" x14ac:dyDescent="0.2">
      <c r="B19" s="4">
        <v>2022</v>
      </c>
      <c r="C19" s="3">
        <f>ROUNDDOWN('PEy_ Fazenda Altenor'!H7,)</f>
        <v>280</v>
      </c>
      <c r="D19" s="3">
        <f>ROUNDDOWN(PEy_Baccin!H7,)</f>
        <v>268</v>
      </c>
      <c r="E19" s="3">
        <f>ROUNDDOWN('PEy_Santa Lucia'!H7,)</f>
        <v>222</v>
      </c>
      <c r="F19" s="3">
        <f>ROUNDDOWN('PEy_Granja Silva'!H8,)</f>
        <v>135</v>
      </c>
      <c r="G19" s="3">
        <f>ROUNDDOWN(PEy_Ramela!H7,)</f>
        <v>187</v>
      </c>
      <c r="H19" s="3">
        <f>ROUNDDOWN('PEy_Colonia Suspiro'!H7,)</f>
        <v>247</v>
      </c>
      <c r="I19" s="3">
        <f t="shared" ref="I19:I27" si="2">ROUNDDOWN(SUM(C19:H19),)</f>
        <v>1339</v>
      </c>
    </row>
    <row r="20" spans="2:11" x14ac:dyDescent="0.2">
      <c r="B20" s="4">
        <v>2023</v>
      </c>
      <c r="C20" s="3">
        <f>ROUNDDOWN('PEy_ Fazenda Altenor'!H8,)</f>
        <v>280</v>
      </c>
      <c r="D20" s="3">
        <f>ROUNDDOWN(PEy_Baccin!H8,)</f>
        <v>268</v>
      </c>
      <c r="E20" s="3">
        <f>ROUNDDOWN('PEy_Santa Lucia'!H8,)</f>
        <v>222</v>
      </c>
      <c r="F20" s="3">
        <f>ROUNDDOWN('PEy_Granja Silva'!H9,)</f>
        <v>135</v>
      </c>
      <c r="G20" s="3">
        <f>ROUNDDOWN(PEy_Ramela!H8,)</f>
        <v>187</v>
      </c>
      <c r="H20" s="3">
        <f>ROUNDDOWN('PEy_Colonia Suspiro'!H8,)</f>
        <v>247</v>
      </c>
      <c r="I20" s="3">
        <f t="shared" si="2"/>
        <v>1339</v>
      </c>
    </row>
    <row r="21" spans="2:11" x14ac:dyDescent="0.2">
      <c r="B21" s="4">
        <v>2024</v>
      </c>
      <c r="C21" s="3">
        <f>ROUNDDOWN('PEy_ Fazenda Altenor'!H9,)</f>
        <v>280</v>
      </c>
      <c r="D21" s="3">
        <f>ROUNDDOWN(PEy_Baccin!H9,)</f>
        <v>268</v>
      </c>
      <c r="E21" s="3">
        <f>ROUNDDOWN('PEy_Santa Lucia'!H9,)</f>
        <v>222</v>
      </c>
      <c r="F21" s="3">
        <f>ROUNDDOWN('PEy_Granja Silva'!H10,)</f>
        <v>135</v>
      </c>
      <c r="G21" s="3">
        <f>ROUNDDOWN(PEy_Ramela!H9,)</f>
        <v>187</v>
      </c>
      <c r="H21" s="3">
        <f>ROUNDDOWN('PEy_Colonia Suspiro'!H9,)</f>
        <v>247</v>
      </c>
      <c r="I21" s="3">
        <f t="shared" si="2"/>
        <v>1339</v>
      </c>
    </row>
    <row r="22" spans="2:11" x14ac:dyDescent="0.2">
      <c r="B22" s="4">
        <v>2025</v>
      </c>
      <c r="C22" s="3">
        <f>ROUNDDOWN('PEy_ Fazenda Altenor'!H10,)</f>
        <v>280</v>
      </c>
      <c r="D22" s="3">
        <f>ROUNDDOWN(PEy_Baccin!H10,)</f>
        <v>268</v>
      </c>
      <c r="E22" s="3">
        <f>ROUNDDOWN('PEy_Santa Lucia'!H10,)</f>
        <v>222</v>
      </c>
      <c r="F22" s="3">
        <f>ROUNDDOWN('PEy_Granja Silva'!H11,)</f>
        <v>135</v>
      </c>
      <c r="G22" s="3">
        <f>ROUNDDOWN(PEy_Ramela!H10,)</f>
        <v>187</v>
      </c>
      <c r="H22" s="3">
        <f>ROUNDDOWN('PEy_Colonia Suspiro'!H10,)</f>
        <v>247</v>
      </c>
      <c r="I22" s="3">
        <f t="shared" si="2"/>
        <v>1339</v>
      </c>
    </row>
    <row r="23" spans="2:11" x14ac:dyDescent="0.2">
      <c r="B23" s="4">
        <v>2026</v>
      </c>
      <c r="C23" s="3">
        <f>ROUNDDOWN('PEy_ Fazenda Altenor'!H11,)</f>
        <v>280</v>
      </c>
      <c r="D23" s="3">
        <f>ROUNDDOWN(PEy_Baccin!H11,)</f>
        <v>268</v>
      </c>
      <c r="E23" s="3">
        <f>ROUNDDOWN('PEy_Santa Lucia'!H11,)</f>
        <v>222</v>
      </c>
      <c r="F23" s="3">
        <f>ROUNDDOWN('PEy_Granja Silva'!H12,)</f>
        <v>135</v>
      </c>
      <c r="G23" s="3">
        <f>ROUNDDOWN(PEy_Ramela!H11,)</f>
        <v>187</v>
      </c>
      <c r="H23" s="3">
        <f>ROUNDDOWN('PEy_Colonia Suspiro'!H11,)</f>
        <v>247</v>
      </c>
      <c r="I23" s="3">
        <f t="shared" si="2"/>
        <v>1339</v>
      </c>
    </row>
    <row r="24" spans="2:11" x14ac:dyDescent="0.2">
      <c r="B24" s="4">
        <v>2027</v>
      </c>
      <c r="C24" s="3">
        <f>ROUNDDOWN('PEy_ Fazenda Altenor'!H12,)</f>
        <v>280</v>
      </c>
      <c r="D24" s="3">
        <f>ROUNDDOWN(PEy_Baccin!H12,)</f>
        <v>268</v>
      </c>
      <c r="E24" s="3">
        <f>ROUNDDOWN('PEy_Santa Lucia'!H12,)</f>
        <v>222</v>
      </c>
      <c r="F24" s="3">
        <f>ROUNDDOWN('PEy_Granja Silva'!H13,)</f>
        <v>135</v>
      </c>
      <c r="G24" s="3">
        <f>ROUNDDOWN(PEy_Ramela!H12,)</f>
        <v>187</v>
      </c>
      <c r="H24" s="3">
        <f>ROUNDDOWN('PEy_Colonia Suspiro'!H12,)</f>
        <v>247</v>
      </c>
      <c r="I24" s="3">
        <f t="shared" si="2"/>
        <v>1339</v>
      </c>
    </row>
    <row r="25" spans="2:11" x14ac:dyDescent="0.2">
      <c r="B25" s="4">
        <v>2028</v>
      </c>
      <c r="C25" s="3">
        <f>ROUNDDOWN('PEy_ Fazenda Altenor'!H13,)</f>
        <v>280</v>
      </c>
      <c r="D25" s="3">
        <f>ROUNDDOWN(PEy_Baccin!H13,)</f>
        <v>268</v>
      </c>
      <c r="E25" s="3">
        <f>ROUNDDOWN('PEy_Santa Lucia'!H13,)</f>
        <v>222</v>
      </c>
      <c r="F25" s="3">
        <f>ROUNDDOWN('PEy_Granja Silva'!H14,)</f>
        <v>135</v>
      </c>
      <c r="G25" s="3">
        <f>ROUNDDOWN(PEy_Ramela!H13,)</f>
        <v>187</v>
      </c>
      <c r="H25" s="3">
        <f>ROUNDDOWN('PEy_Colonia Suspiro'!H13,)</f>
        <v>247</v>
      </c>
      <c r="I25" s="3">
        <f t="shared" si="2"/>
        <v>1339</v>
      </c>
    </row>
    <row r="26" spans="2:11" x14ac:dyDescent="0.2">
      <c r="B26" s="4">
        <v>2029</v>
      </c>
      <c r="C26" s="3">
        <f>ROUNDDOWN('PEy_ Fazenda Altenor'!H14,)</f>
        <v>280</v>
      </c>
      <c r="D26" s="3">
        <f>ROUNDDOWN(PEy_Baccin!H14,)</f>
        <v>268</v>
      </c>
      <c r="E26" s="3">
        <f>ROUNDDOWN('PEy_Santa Lucia'!H14,)</f>
        <v>222</v>
      </c>
      <c r="F26" s="3">
        <f>ROUNDDOWN('PEy_Granja Silva'!H15,)</f>
        <v>135</v>
      </c>
      <c r="G26" s="3">
        <f>ROUNDDOWN(PEy_Ramela!H14,)</f>
        <v>187</v>
      </c>
      <c r="H26" s="3">
        <f>ROUNDDOWN('PEy_Colonia Suspiro'!H14,)</f>
        <v>247</v>
      </c>
      <c r="I26" s="3">
        <f t="shared" si="2"/>
        <v>1339</v>
      </c>
    </row>
    <row r="27" spans="2:11" x14ac:dyDescent="0.2">
      <c r="B27" s="4">
        <v>2030</v>
      </c>
      <c r="C27" s="3">
        <f>ROUNDDOWN('PEy_ Fazenda Altenor'!H15,)</f>
        <v>280</v>
      </c>
      <c r="D27" s="3">
        <f>ROUNDDOWN(PEy_Baccin!H15,)</f>
        <v>268</v>
      </c>
      <c r="E27" s="3">
        <f>ROUNDDOWN('PEy_Santa Lucia'!H15,)</f>
        <v>222</v>
      </c>
      <c r="F27" s="3">
        <f>ROUNDDOWN('PEy_Granja Silva'!H16,)</f>
        <v>135</v>
      </c>
      <c r="G27" s="3">
        <f>ROUNDDOWN(PEy_Ramela!H15,)</f>
        <v>187</v>
      </c>
      <c r="H27" s="3">
        <f>ROUNDDOWN('PEy_Colonia Suspiro'!H15,)</f>
        <v>247</v>
      </c>
      <c r="I27" s="3">
        <f t="shared" si="2"/>
        <v>1339</v>
      </c>
    </row>
    <row r="28" spans="2:11" x14ac:dyDescent="0.2">
      <c r="B28" s="5" t="s">
        <v>0</v>
      </c>
      <c r="C28" s="7">
        <f t="shared" ref="C28:H28" si="3">ROUNDDOWN(SUM(C18:C27),)</f>
        <v>2800</v>
      </c>
      <c r="D28" s="7">
        <f t="shared" si="3"/>
        <v>2680</v>
      </c>
      <c r="E28" s="7">
        <f t="shared" si="3"/>
        <v>2220</v>
      </c>
      <c r="F28" s="7">
        <f t="shared" si="3"/>
        <v>1350</v>
      </c>
      <c r="G28" s="7">
        <f t="shared" si="3"/>
        <v>1870</v>
      </c>
      <c r="H28" s="7">
        <f t="shared" si="3"/>
        <v>2470</v>
      </c>
      <c r="I28" s="7">
        <f>ROUNDDOWN(SUM(I18:I27),)</f>
        <v>13390</v>
      </c>
    </row>
    <row r="30" spans="2:11" x14ac:dyDescent="0.2">
      <c r="B30" s="133" t="s">
        <v>11</v>
      </c>
      <c r="C30" s="134"/>
      <c r="D30" s="134"/>
      <c r="E30" s="134"/>
      <c r="F30" s="134"/>
      <c r="G30" s="134"/>
      <c r="H30" s="134"/>
      <c r="I30" s="135"/>
    </row>
    <row r="31" spans="2:11" x14ac:dyDescent="0.2">
      <c r="B31" s="5" t="s">
        <v>2</v>
      </c>
      <c r="C31" s="5" t="s">
        <v>127</v>
      </c>
      <c r="D31" s="6" t="s">
        <v>8</v>
      </c>
      <c r="E31" s="5" t="s">
        <v>128</v>
      </c>
      <c r="F31" s="5" t="s">
        <v>9</v>
      </c>
      <c r="G31" s="5" t="s">
        <v>126</v>
      </c>
      <c r="H31" s="5" t="s">
        <v>129</v>
      </c>
      <c r="I31" s="5" t="s">
        <v>1</v>
      </c>
    </row>
    <row r="32" spans="2:11" x14ac:dyDescent="0.2">
      <c r="B32" s="4">
        <v>2021</v>
      </c>
      <c r="C32" s="3">
        <f t="shared" ref="C32:H32" si="4">ROUNDDOWN((C4-C18),)</f>
        <v>998</v>
      </c>
      <c r="D32" s="3">
        <f t="shared" si="4"/>
        <v>938</v>
      </c>
      <c r="E32" s="3">
        <f t="shared" si="4"/>
        <v>748</v>
      </c>
      <c r="F32" s="3">
        <f t="shared" si="4"/>
        <v>69</v>
      </c>
      <c r="G32" s="3">
        <f t="shared" si="4"/>
        <v>296</v>
      </c>
      <c r="H32" s="3">
        <f t="shared" si="4"/>
        <v>788</v>
      </c>
      <c r="I32" s="3">
        <f>ROUNDDOWN(SUM(C32:H32),)</f>
        <v>3837</v>
      </c>
    </row>
    <row r="33" spans="2:9" x14ac:dyDescent="0.2">
      <c r="B33" s="4">
        <v>2022</v>
      </c>
      <c r="C33" s="3">
        <f t="shared" ref="C33:H41" si="5">ROUNDDOWN((C5-C19),)</f>
        <v>998</v>
      </c>
      <c r="D33" s="3">
        <f t="shared" si="5"/>
        <v>938</v>
      </c>
      <c r="E33" s="3">
        <f t="shared" si="5"/>
        <v>748</v>
      </c>
      <c r="F33" s="3">
        <f t="shared" si="5"/>
        <v>69</v>
      </c>
      <c r="G33" s="3">
        <f t="shared" si="5"/>
        <v>296</v>
      </c>
      <c r="H33" s="3">
        <f t="shared" si="5"/>
        <v>788</v>
      </c>
      <c r="I33" s="3">
        <f t="shared" ref="I33:I41" si="6">ROUNDDOWN(SUM(C33:H33),)</f>
        <v>3837</v>
      </c>
    </row>
    <row r="34" spans="2:9" x14ac:dyDescent="0.2">
      <c r="B34" s="4">
        <v>2023</v>
      </c>
      <c r="C34" s="3">
        <f t="shared" si="5"/>
        <v>998</v>
      </c>
      <c r="D34" s="3">
        <f t="shared" si="5"/>
        <v>938</v>
      </c>
      <c r="E34" s="3">
        <f t="shared" si="5"/>
        <v>748</v>
      </c>
      <c r="F34" s="3">
        <f t="shared" si="5"/>
        <v>69</v>
      </c>
      <c r="G34" s="3">
        <f t="shared" si="5"/>
        <v>296</v>
      </c>
      <c r="H34" s="3">
        <f t="shared" si="5"/>
        <v>788</v>
      </c>
      <c r="I34" s="3">
        <f t="shared" si="6"/>
        <v>3837</v>
      </c>
    </row>
    <row r="35" spans="2:9" x14ac:dyDescent="0.2">
      <c r="B35" s="4">
        <v>2024</v>
      </c>
      <c r="C35" s="3">
        <f t="shared" si="5"/>
        <v>998</v>
      </c>
      <c r="D35" s="3">
        <f t="shared" si="5"/>
        <v>938</v>
      </c>
      <c r="E35" s="3">
        <f t="shared" si="5"/>
        <v>748</v>
      </c>
      <c r="F35" s="3">
        <f t="shared" si="5"/>
        <v>69</v>
      </c>
      <c r="G35" s="3">
        <f t="shared" si="5"/>
        <v>296</v>
      </c>
      <c r="H35" s="3">
        <f t="shared" si="5"/>
        <v>788</v>
      </c>
      <c r="I35" s="3">
        <f t="shared" si="6"/>
        <v>3837</v>
      </c>
    </row>
    <row r="36" spans="2:9" x14ac:dyDescent="0.2">
      <c r="B36" s="4">
        <v>2025</v>
      </c>
      <c r="C36" s="3">
        <f t="shared" si="5"/>
        <v>998</v>
      </c>
      <c r="D36" s="3">
        <f t="shared" si="5"/>
        <v>938</v>
      </c>
      <c r="E36" s="3">
        <f t="shared" si="5"/>
        <v>748</v>
      </c>
      <c r="F36" s="3">
        <f t="shared" si="5"/>
        <v>69</v>
      </c>
      <c r="G36" s="3">
        <f t="shared" si="5"/>
        <v>296</v>
      </c>
      <c r="H36" s="3">
        <f t="shared" si="5"/>
        <v>788</v>
      </c>
      <c r="I36" s="3">
        <f t="shared" si="6"/>
        <v>3837</v>
      </c>
    </row>
    <row r="37" spans="2:9" x14ac:dyDescent="0.2">
      <c r="B37" s="4">
        <v>2026</v>
      </c>
      <c r="C37" s="3">
        <f t="shared" si="5"/>
        <v>998</v>
      </c>
      <c r="D37" s="3">
        <f t="shared" si="5"/>
        <v>938</v>
      </c>
      <c r="E37" s="3">
        <f t="shared" si="5"/>
        <v>748</v>
      </c>
      <c r="F37" s="3">
        <f t="shared" si="5"/>
        <v>69</v>
      </c>
      <c r="G37" s="3">
        <f t="shared" si="5"/>
        <v>296</v>
      </c>
      <c r="H37" s="3">
        <f t="shared" si="5"/>
        <v>788</v>
      </c>
      <c r="I37" s="3">
        <f t="shared" si="6"/>
        <v>3837</v>
      </c>
    </row>
    <row r="38" spans="2:9" x14ac:dyDescent="0.2">
      <c r="B38" s="4">
        <v>2027</v>
      </c>
      <c r="C38" s="3">
        <f t="shared" si="5"/>
        <v>998</v>
      </c>
      <c r="D38" s="3">
        <f t="shared" si="5"/>
        <v>938</v>
      </c>
      <c r="E38" s="3">
        <f t="shared" si="5"/>
        <v>748</v>
      </c>
      <c r="F38" s="3">
        <f t="shared" si="5"/>
        <v>69</v>
      </c>
      <c r="G38" s="3">
        <f t="shared" si="5"/>
        <v>296</v>
      </c>
      <c r="H38" s="3">
        <f t="shared" si="5"/>
        <v>788</v>
      </c>
      <c r="I38" s="3">
        <f t="shared" si="6"/>
        <v>3837</v>
      </c>
    </row>
    <row r="39" spans="2:9" x14ac:dyDescent="0.2">
      <c r="B39" s="4">
        <v>2028</v>
      </c>
      <c r="C39" s="3">
        <f t="shared" si="5"/>
        <v>998</v>
      </c>
      <c r="D39" s="3">
        <f t="shared" si="5"/>
        <v>938</v>
      </c>
      <c r="E39" s="3">
        <f t="shared" si="5"/>
        <v>748</v>
      </c>
      <c r="F39" s="3">
        <f t="shared" si="5"/>
        <v>69</v>
      </c>
      <c r="G39" s="3">
        <f t="shared" si="5"/>
        <v>296</v>
      </c>
      <c r="H39" s="3">
        <f t="shared" si="5"/>
        <v>788</v>
      </c>
      <c r="I39" s="3">
        <f t="shared" si="6"/>
        <v>3837</v>
      </c>
    </row>
    <row r="40" spans="2:9" x14ac:dyDescent="0.2">
      <c r="B40" s="4">
        <v>2029</v>
      </c>
      <c r="C40" s="3">
        <f t="shared" si="5"/>
        <v>998</v>
      </c>
      <c r="D40" s="3">
        <f t="shared" si="5"/>
        <v>938</v>
      </c>
      <c r="E40" s="3">
        <f t="shared" si="5"/>
        <v>748</v>
      </c>
      <c r="F40" s="3">
        <f t="shared" si="5"/>
        <v>69</v>
      </c>
      <c r="G40" s="3">
        <f t="shared" si="5"/>
        <v>296</v>
      </c>
      <c r="H40" s="3">
        <f t="shared" si="5"/>
        <v>788</v>
      </c>
      <c r="I40" s="3">
        <f t="shared" si="6"/>
        <v>3837</v>
      </c>
    </row>
    <row r="41" spans="2:9" x14ac:dyDescent="0.2">
      <c r="B41" s="4">
        <v>2030</v>
      </c>
      <c r="C41" s="3">
        <f t="shared" si="5"/>
        <v>998</v>
      </c>
      <c r="D41" s="3">
        <f t="shared" si="5"/>
        <v>938</v>
      </c>
      <c r="E41" s="3">
        <f t="shared" si="5"/>
        <v>748</v>
      </c>
      <c r="F41" s="3">
        <f t="shared" si="5"/>
        <v>69</v>
      </c>
      <c r="G41" s="3">
        <f t="shared" si="5"/>
        <v>296</v>
      </c>
      <c r="H41" s="3">
        <f t="shared" si="5"/>
        <v>788</v>
      </c>
      <c r="I41" s="3">
        <f t="shared" si="6"/>
        <v>3837</v>
      </c>
    </row>
    <row r="42" spans="2:9" x14ac:dyDescent="0.2">
      <c r="B42" s="5" t="s">
        <v>0</v>
      </c>
      <c r="C42" s="7">
        <f t="shared" ref="C42" si="7">ROUNDDOWN(SUM(C32:C41),)</f>
        <v>9980</v>
      </c>
      <c r="D42" s="7">
        <f t="shared" ref="D42" si="8">ROUNDDOWN(SUM(D32:D41),)</f>
        <v>9380</v>
      </c>
      <c r="E42" s="7">
        <f t="shared" ref="E42" si="9">ROUNDDOWN(SUM(E32:E41),)</f>
        <v>7480</v>
      </c>
      <c r="F42" s="7">
        <f t="shared" ref="F42" si="10">ROUNDDOWN(SUM(F32:F41),)</f>
        <v>690</v>
      </c>
      <c r="G42" s="7">
        <f t="shared" ref="G42" si="11">ROUNDDOWN(SUM(G32:G41),)</f>
        <v>2960</v>
      </c>
      <c r="H42" s="7">
        <f t="shared" ref="H42" si="12">ROUNDDOWN(SUM(H32:H41),)</f>
        <v>7880</v>
      </c>
      <c r="I42" s="7">
        <f>ROUNDDOWN(SUM(I32:I41),)</f>
        <v>38370</v>
      </c>
    </row>
    <row r="45" spans="2:9" ht="45" x14ac:dyDescent="0.2">
      <c r="B45" s="5" t="s">
        <v>2</v>
      </c>
      <c r="C45" s="6" t="s">
        <v>4</v>
      </c>
      <c r="D45" s="6" t="s">
        <v>5</v>
      </c>
      <c r="E45" s="6" t="s">
        <v>6</v>
      </c>
      <c r="F45" s="6" t="s">
        <v>7</v>
      </c>
    </row>
    <row r="46" spans="2:9" x14ac:dyDescent="0.2">
      <c r="B46" s="4">
        <v>2021</v>
      </c>
      <c r="C46" s="3">
        <f>I4</f>
        <v>5176</v>
      </c>
      <c r="D46" s="3">
        <f>I18</f>
        <v>1339</v>
      </c>
      <c r="E46" s="3">
        <v>0</v>
      </c>
      <c r="F46" s="3">
        <f>(C46-D46)</f>
        <v>3837</v>
      </c>
    </row>
    <row r="47" spans="2:9" x14ac:dyDescent="0.2">
      <c r="B47" s="4">
        <v>2022</v>
      </c>
      <c r="C47" s="3">
        <f t="shared" ref="C47:C55" si="13">I5</f>
        <v>5176</v>
      </c>
      <c r="D47" s="3">
        <f t="shared" ref="D47:D55" si="14">I19</f>
        <v>1339</v>
      </c>
      <c r="E47" s="3">
        <v>0</v>
      </c>
      <c r="F47" s="3">
        <f t="shared" ref="F47:F48" si="15">(C47-D47)</f>
        <v>3837</v>
      </c>
    </row>
    <row r="48" spans="2:9" x14ac:dyDescent="0.2">
      <c r="B48" s="4">
        <v>2023</v>
      </c>
      <c r="C48" s="3">
        <f t="shared" si="13"/>
        <v>5176</v>
      </c>
      <c r="D48" s="3">
        <f t="shared" si="14"/>
        <v>1339</v>
      </c>
      <c r="E48" s="3">
        <v>0</v>
      </c>
      <c r="F48" s="3">
        <f t="shared" si="15"/>
        <v>3837</v>
      </c>
      <c r="H48" s="2"/>
    </row>
    <row r="49" spans="2:7" x14ac:dyDescent="0.2">
      <c r="B49" s="4">
        <v>2024</v>
      </c>
      <c r="C49" s="3">
        <f t="shared" si="13"/>
        <v>5176</v>
      </c>
      <c r="D49" s="3">
        <f t="shared" si="14"/>
        <v>1339</v>
      </c>
      <c r="E49" s="3">
        <v>0</v>
      </c>
      <c r="F49" s="3">
        <f>(C49-D49)</f>
        <v>3837</v>
      </c>
    </row>
    <row r="50" spans="2:7" x14ac:dyDescent="0.2">
      <c r="B50" s="4">
        <v>2025</v>
      </c>
      <c r="C50" s="3">
        <f t="shared" si="13"/>
        <v>5176</v>
      </c>
      <c r="D50" s="3">
        <f t="shared" si="14"/>
        <v>1339</v>
      </c>
      <c r="E50" s="3">
        <v>0</v>
      </c>
      <c r="F50" s="3">
        <f t="shared" ref="F50:F55" si="16">(C50-D50)</f>
        <v>3837</v>
      </c>
    </row>
    <row r="51" spans="2:7" x14ac:dyDescent="0.2">
      <c r="B51" s="4">
        <v>2026</v>
      </c>
      <c r="C51" s="3">
        <f t="shared" si="13"/>
        <v>5176</v>
      </c>
      <c r="D51" s="3">
        <f t="shared" si="14"/>
        <v>1339</v>
      </c>
      <c r="E51" s="3">
        <v>0</v>
      </c>
      <c r="F51" s="3">
        <f t="shared" si="16"/>
        <v>3837</v>
      </c>
    </row>
    <row r="52" spans="2:7" x14ac:dyDescent="0.2">
      <c r="B52" s="4">
        <v>2027</v>
      </c>
      <c r="C52" s="3">
        <f t="shared" si="13"/>
        <v>5176</v>
      </c>
      <c r="D52" s="3">
        <f t="shared" si="14"/>
        <v>1339</v>
      </c>
      <c r="E52" s="3">
        <v>0</v>
      </c>
      <c r="F52" s="3">
        <f t="shared" si="16"/>
        <v>3837</v>
      </c>
    </row>
    <row r="53" spans="2:7" x14ac:dyDescent="0.2">
      <c r="B53" s="4">
        <v>2028</v>
      </c>
      <c r="C53" s="3">
        <f t="shared" si="13"/>
        <v>5176</v>
      </c>
      <c r="D53" s="3">
        <f t="shared" si="14"/>
        <v>1339</v>
      </c>
      <c r="E53" s="3">
        <v>0</v>
      </c>
      <c r="F53" s="3">
        <f t="shared" si="16"/>
        <v>3837</v>
      </c>
    </row>
    <row r="54" spans="2:7" x14ac:dyDescent="0.2">
      <c r="B54" s="4">
        <v>2029</v>
      </c>
      <c r="C54" s="3">
        <f t="shared" si="13"/>
        <v>5176</v>
      </c>
      <c r="D54" s="3">
        <f t="shared" si="14"/>
        <v>1339</v>
      </c>
      <c r="E54" s="3">
        <v>0</v>
      </c>
      <c r="F54" s="3">
        <f t="shared" si="16"/>
        <v>3837</v>
      </c>
    </row>
    <row r="55" spans="2:7" x14ac:dyDescent="0.2">
      <c r="B55" s="4">
        <v>2030</v>
      </c>
      <c r="C55" s="3">
        <f t="shared" si="13"/>
        <v>5176</v>
      </c>
      <c r="D55" s="3">
        <f t="shared" si="14"/>
        <v>1339</v>
      </c>
      <c r="E55" s="3">
        <v>0</v>
      </c>
      <c r="F55" s="3">
        <f t="shared" si="16"/>
        <v>3837</v>
      </c>
      <c r="G55" s="72"/>
    </row>
    <row r="56" spans="2:7" x14ac:dyDescent="0.2">
      <c r="B56" s="5" t="s">
        <v>1</v>
      </c>
      <c r="C56" s="7">
        <f>ROUNDDOWN(SUM(C46:C55),)</f>
        <v>51760</v>
      </c>
      <c r="D56" s="7">
        <f t="shared" ref="D56:E56" si="17">ROUNDDOWN(SUM(D46:D55),)</f>
        <v>13390</v>
      </c>
      <c r="E56" s="7">
        <f t="shared" si="17"/>
        <v>0</v>
      </c>
      <c r="F56" s="7">
        <f>ROUNDDOWN(SUM(F46:F55),)</f>
        <v>38370</v>
      </c>
    </row>
  </sheetData>
  <mergeCells count="3">
    <mergeCell ref="B2:I2"/>
    <mergeCell ref="B16:I16"/>
    <mergeCell ref="B30:I30"/>
  </mergeCells>
  <pageMargins left="0.75" right="0.75" top="1" bottom="1" header="0.49212598499999999" footer="0.49212598499999999"/>
  <pageSetup paperSize="9"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4FE1D-969E-4DF0-9FE9-2A80C90D9585}">
  <sheetPr>
    <tabColor theme="9" tint="0.39997558519241921"/>
  </sheetPr>
  <dimension ref="B1:K19"/>
  <sheetViews>
    <sheetView showGridLines="0" topLeftCell="A7" zoomScaleNormal="100" workbookViewId="0">
      <selection activeCell="C9" sqref="C9"/>
    </sheetView>
  </sheetViews>
  <sheetFormatPr defaultRowHeight="15" x14ac:dyDescent="0.25"/>
  <cols>
    <col min="1" max="1" width="9.140625" style="65"/>
    <col min="2" max="2" width="42.5703125" style="66" customWidth="1"/>
    <col min="3" max="3" width="12.5703125" style="67" customWidth="1"/>
    <col min="4" max="4" width="10.28515625" style="65" bestFit="1" customWidth="1"/>
    <col min="5" max="5" width="13.42578125" style="65" customWidth="1"/>
    <col min="6" max="6" width="11.7109375" style="65" customWidth="1"/>
    <col min="7" max="8" width="9.140625" style="65"/>
    <col min="9" max="9" width="11.5703125" style="65" bestFit="1" customWidth="1"/>
    <col min="10" max="10" width="10.5703125" style="65" customWidth="1"/>
    <col min="11" max="11" width="16.28515625" style="65" customWidth="1"/>
    <col min="12" max="16384" width="9.140625" style="65"/>
  </cols>
  <sheetData>
    <row r="1" spans="2:11" ht="15.75" thickBot="1" x14ac:dyDescent="0.3"/>
    <row r="2" spans="2:11" ht="32.25" customHeight="1" thickBot="1" x14ac:dyDescent="0.3">
      <c r="B2" s="14" t="s">
        <v>106</v>
      </c>
      <c r="C2" s="14">
        <v>3</v>
      </c>
      <c r="E2" s="160" t="s">
        <v>139</v>
      </c>
      <c r="F2" s="161"/>
      <c r="G2" s="161"/>
      <c r="H2" s="161"/>
      <c r="I2" s="161"/>
      <c r="J2" s="161"/>
      <c r="K2" s="162"/>
    </row>
    <row r="3" spans="2:11" ht="15.75" thickBot="1" x14ac:dyDescent="0.3">
      <c r="B3" s="158" t="s">
        <v>107</v>
      </c>
      <c r="C3" s="159"/>
      <c r="E3" s="77"/>
      <c r="F3" s="77"/>
      <c r="G3" s="77"/>
      <c r="H3" s="77"/>
      <c r="I3" s="77"/>
      <c r="J3" s="77"/>
      <c r="K3" s="77"/>
    </row>
    <row r="4" spans="2:11" ht="15.75" x14ac:dyDescent="0.25">
      <c r="B4" s="17" t="s">
        <v>108</v>
      </c>
      <c r="C4" s="25">
        <f>K6</f>
        <v>4729.1111111111113</v>
      </c>
      <c r="E4" s="163" t="s">
        <v>132</v>
      </c>
      <c r="F4" s="164"/>
      <c r="G4" s="164"/>
      <c r="H4" s="164"/>
      <c r="I4" s="164"/>
      <c r="J4" s="164"/>
      <c r="K4" s="165"/>
    </row>
    <row r="5" spans="2:11" ht="30" x14ac:dyDescent="0.25">
      <c r="B5" s="17" t="s">
        <v>109</v>
      </c>
      <c r="C5" s="25">
        <f>K10</f>
        <v>111.88886406664369</v>
      </c>
      <c r="E5" s="78" t="s">
        <v>21</v>
      </c>
      <c r="F5" s="79">
        <v>2015</v>
      </c>
      <c r="G5" s="79">
        <v>2016</v>
      </c>
      <c r="H5" s="79">
        <v>2017</v>
      </c>
      <c r="I5" s="80">
        <v>2018</v>
      </c>
      <c r="J5" s="80">
        <v>2019</v>
      </c>
      <c r="K5" s="81" t="s">
        <v>136</v>
      </c>
    </row>
    <row r="6" spans="2:11" ht="15.75" x14ac:dyDescent="0.25">
      <c r="B6" s="17" t="s">
        <v>110</v>
      </c>
      <c r="C6" s="25">
        <f>C5*(C4/365)</f>
        <v>1449.6845760744259</v>
      </c>
      <c r="E6" s="82" t="s">
        <v>31</v>
      </c>
      <c r="F6" s="83">
        <v>3791</v>
      </c>
      <c r="G6" s="83">
        <v>5717</v>
      </c>
      <c r="H6" s="83">
        <v>3812</v>
      </c>
      <c r="I6" s="83">
        <v>5638</v>
      </c>
      <c r="J6" s="83">
        <v>1904</v>
      </c>
      <c r="K6" s="93">
        <f>(SUMPRODUCT(F6:J6,F7:J7)/K7)</f>
        <v>4729.1111111111113</v>
      </c>
    </row>
    <row r="7" spans="2:11" ht="27.75" thickBot="1" x14ac:dyDescent="0.3">
      <c r="B7" s="17" t="s">
        <v>111</v>
      </c>
      <c r="C7" s="90">
        <f>K14</f>
        <v>95.407908748208129</v>
      </c>
      <c r="E7" s="91" t="s">
        <v>138</v>
      </c>
      <c r="F7" s="83">
        <v>152</v>
      </c>
      <c r="G7" s="83">
        <v>344</v>
      </c>
      <c r="H7" s="83">
        <v>232</v>
      </c>
      <c r="I7" s="83">
        <v>359</v>
      </c>
      <c r="J7" s="83">
        <v>110</v>
      </c>
      <c r="K7" s="89">
        <f>SUM(F7:J7)</f>
        <v>1197</v>
      </c>
    </row>
    <row r="8" spans="2:11" ht="30" x14ac:dyDescent="0.25">
      <c r="B8" s="17" t="s">
        <v>112</v>
      </c>
      <c r="C8" s="90">
        <f>K18</f>
        <v>281.73350041771096</v>
      </c>
      <c r="E8" s="163" t="s">
        <v>133</v>
      </c>
      <c r="F8" s="164"/>
      <c r="G8" s="164"/>
      <c r="H8" s="164"/>
      <c r="I8" s="164"/>
      <c r="J8" s="164"/>
      <c r="K8" s="165"/>
    </row>
    <row r="9" spans="2:11" ht="27" x14ac:dyDescent="0.25">
      <c r="B9" s="58"/>
      <c r="C9" s="58"/>
      <c r="D9" s="35"/>
      <c r="E9" s="78" t="s">
        <v>21</v>
      </c>
      <c r="F9" s="79">
        <v>2015</v>
      </c>
      <c r="G9" s="79">
        <v>2016</v>
      </c>
      <c r="H9" s="79">
        <v>2017</v>
      </c>
      <c r="I9" s="80">
        <v>2018</v>
      </c>
      <c r="J9" s="80">
        <v>2019</v>
      </c>
      <c r="K9" s="81" t="s">
        <v>136</v>
      </c>
    </row>
    <row r="10" spans="2:11" x14ac:dyDescent="0.25">
      <c r="B10" s="58"/>
      <c r="C10" s="58"/>
      <c r="D10" s="35"/>
      <c r="E10" s="82" t="s">
        <v>31</v>
      </c>
      <c r="F10" s="83">
        <v>76.26378264310209</v>
      </c>
      <c r="G10" s="83">
        <v>114.67692845898199</v>
      </c>
      <c r="H10" s="83">
        <v>116.01259181532004</v>
      </c>
      <c r="I10" s="83">
        <v>119.45707697765165</v>
      </c>
      <c r="J10" s="83">
        <v>119</v>
      </c>
      <c r="K10" s="93">
        <f>(SUMPRODUCT(F10:J10,F11:J11)/K11)</f>
        <v>111.88886406664369</v>
      </c>
    </row>
    <row r="11" spans="2:11" ht="27.75" thickBot="1" x14ac:dyDescent="0.3">
      <c r="B11" s="58"/>
      <c r="C11" s="59"/>
      <c r="D11" s="35"/>
      <c r="E11" s="91" t="s">
        <v>138</v>
      </c>
      <c r="F11" s="83">
        <v>152</v>
      </c>
      <c r="G11" s="83">
        <v>344</v>
      </c>
      <c r="H11" s="83">
        <v>232</v>
      </c>
      <c r="I11" s="83">
        <v>359</v>
      </c>
      <c r="J11" s="83">
        <v>110</v>
      </c>
      <c r="K11" s="89">
        <f>SUM(F11:J11)</f>
        <v>1197</v>
      </c>
    </row>
    <row r="12" spans="2:11" x14ac:dyDescent="0.25">
      <c r="B12" s="58"/>
      <c r="C12" s="59"/>
      <c r="D12" s="35"/>
      <c r="E12" s="166" t="s">
        <v>134</v>
      </c>
      <c r="F12" s="167"/>
      <c r="G12" s="167"/>
      <c r="H12" s="167"/>
      <c r="I12" s="168"/>
      <c r="J12" s="168"/>
      <c r="K12" s="169"/>
    </row>
    <row r="13" spans="2:11" ht="27" x14ac:dyDescent="0.25">
      <c r="B13" s="58"/>
      <c r="C13" s="59"/>
      <c r="D13" s="35"/>
      <c r="E13" s="78" t="s">
        <v>21</v>
      </c>
      <c r="F13" s="79">
        <v>2015</v>
      </c>
      <c r="G13" s="79">
        <v>2016</v>
      </c>
      <c r="H13" s="79">
        <v>2017</v>
      </c>
      <c r="I13" s="80">
        <v>2018</v>
      </c>
      <c r="J13" s="80">
        <v>2019</v>
      </c>
      <c r="K13" s="81" t="s">
        <v>136</v>
      </c>
    </row>
    <row r="14" spans="2:11" x14ac:dyDescent="0.25">
      <c r="B14" s="58"/>
      <c r="C14" s="59"/>
      <c r="D14" s="35"/>
      <c r="E14" s="82" t="s">
        <v>31</v>
      </c>
      <c r="F14" s="83">
        <v>96.302801811307475</v>
      </c>
      <c r="G14" s="83">
        <v>95.472488484636472</v>
      </c>
      <c r="H14" s="83">
        <v>99.24656173487233</v>
      </c>
      <c r="I14" s="83">
        <v>92.650586792006621</v>
      </c>
      <c r="J14" s="83">
        <v>94.872198879551817</v>
      </c>
      <c r="K14" s="94">
        <f>(SUMPRODUCT(F14:J14,F15:J15)/K15)</f>
        <v>95.407908748208129</v>
      </c>
    </row>
    <row r="15" spans="2:11" ht="27.75" thickBot="1" x14ac:dyDescent="0.3">
      <c r="B15" s="58"/>
      <c r="C15" s="59"/>
      <c r="D15" s="35"/>
      <c r="E15" s="91" t="s">
        <v>138</v>
      </c>
      <c r="F15" s="83">
        <v>152</v>
      </c>
      <c r="G15" s="83">
        <v>344</v>
      </c>
      <c r="H15" s="83">
        <v>232</v>
      </c>
      <c r="I15" s="83">
        <v>359</v>
      </c>
      <c r="J15" s="83">
        <v>110</v>
      </c>
      <c r="K15" s="89">
        <f>SUM(F15:J15)</f>
        <v>1197</v>
      </c>
    </row>
    <row r="16" spans="2:11" x14ac:dyDescent="0.25">
      <c r="B16" s="58"/>
      <c r="C16" s="59"/>
      <c r="D16" s="35"/>
      <c r="E16" s="166" t="s">
        <v>135</v>
      </c>
      <c r="F16" s="167"/>
      <c r="G16" s="167"/>
      <c r="H16" s="167"/>
      <c r="I16" s="168"/>
      <c r="J16" s="168"/>
      <c r="K16" s="169"/>
    </row>
    <row r="17" spans="2:11" ht="27" x14ac:dyDescent="0.25">
      <c r="B17" s="58"/>
      <c r="C17" s="59"/>
      <c r="D17" s="35"/>
      <c r="E17" s="78" t="s">
        <v>21</v>
      </c>
      <c r="F17" s="79">
        <v>2015</v>
      </c>
      <c r="G17" s="79">
        <v>2016</v>
      </c>
      <c r="H17" s="79">
        <v>2017</v>
      </c>
      <c r="I17" s="80">
        <v>2018</v>
      </c>
      <c r="J17" s="80">
        <v>2019</v>
      </c>
      <c r="K17" s="81" t="s">
        <v>136</v>
      </c>
    </row>
    <row r="18" spans="2:11" x14ac:dyDescent="0.25">
      <c r="E18" s="82" t="s">
        <v>31</v>
      </c>
      <c r="F18" s="85">
        <v>152</v>
      </c>
      <c r="G18" s="85">
        <v>344</v>
      </c>
      <c r="H18" s="85">
        <v>232</v>
      </c>
      <c r="I18" s="85">
        <v>359</v>
      </c>
      <c r="J18" s="85">
        <v>119</v>
      </c>
      <c r="K18" s="94">
        <f>(SUMPRODUCT(F18:J18,F19:J19)/K19)</f>
        <v>281.73350041771096</v>
      </c>
    </row>
    <row r="19" spans="2:11" ht="27.75" thickBot="1" x14ac:dyDescent="0.3">
      <c r="E19" s="92" t="s">
        <v>138</v>
      </c>
      <c r="F19" s="84">
        <v>152</v>
      </c>
      <c r="G19" s="84">
        <v>344</v>
      </c>
      <c r="H19" s="84">
        <v>232</v>
      </c>
      <c r="I19" s="84">
        <v>359</v>
      </c>
      <c r="J19" s="84">
        <v>110</v>
      </c>
      <c r="K19" s="86">
        <f>SUM(F19:J19)</f>
        <v>1197</v>
      </c>
    </row>
  </sheetData>
  <mergeCells count="6">
    <mergeCell ref="E12:K12"/>
    <mergeCell ref="E16:K16"/>
    <mergeCell ref="B3:C3"/>
    <mergeCell ref="E2:K2"/>
    <mergeCell ref="E4:K4"/>
    <mergeCell ref="E8:K8"/>
  </mergeCells>
  <pageMargins left="0.511811024" right="0.511811024" top="0.78740157499999996" bottom="0.78740157499999996" header="0.31496062000000002" footer="0.31496062000000002"/>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104E-473E-4F46-A6CF-6DC2A49C965C}">
  <sheetPr>
    <tabColor theme="8" tint="0.39997558519241921"/>
  </sheetPr>
  <dimension ref="A1:Z75"/>
  <sheetViews>
    <sheetView showGridLines="0" topLeftCell="A4" zoomScale="80" zoomScaleNormal="80" workbookViewId="0">
      <selection activeCell="J8" sqref="J8"/>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f>'Last MR Verified_Granja Silva'!C4</f>
        <v>45</v>
      </c>
      <c r="R5" s="22">
        <f>$Q$5</f>
        <v>45</v>
      </c>
      <c r="S5" s="22">
        <f t="shared" ref="S5:Z5" si="0">$Q$5</f>
        <v>45</v>
      </c>
      <c r="T5" s="22">
        <f t="shared" si="0"/>
        <v>45</v>
      </c>
      <c r="U5" s="22">
        <f t="shared" si="0"/>
        <v>45</v>
      </c>
      <c r="V5" s="22">
        <f t="shared" si="0"/>
        <v>45</v>
      </c>
      <c r="W5" s="22">
        <f t="shared" si="0"/>
        <v>45</v>
      </c>
      <c r="X5" s="22">
        <f t="shared" si="0"/>
        <v>45</v>
      </c>
      <c r="Y5" s="22">
        <f t="shared" si="0"/>
        <v>45</v>
      </c>
      <c r="Z5" s="22">
        <f t="shared" si="0"/>
        <v>45</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f>'Last MR Verified_Granja Silva'!C14</f>
        <v>250</v>
      </c>
      <c r="R6" s="22">
        <f>$Q$6</f>
        <v>250</v>
      </c>
      <c r="S6" s="22">
        <f t="shared" ref="S6:Z6" si="1">$Q$6</f>
        <v>250</v>
      </c>
      <c r="T6" s="22">
        <f t="shared" si="1"/>
        <v>250</v>
      </c>
      <c r="U6" s="22">
        <f t="shared" si="1"/>
        <v>250</v>
      </c>
      <c r="V6" s="22">
        <f t="shared" si="1"/>
        <v>250</v>
      </c>
      <c r="W6" s="22">
        <f t="shared" si="1"/>
        <v>250</v>
      </c>
      <c r="X6" s="22">
        <f t="shared" si="1"/>
        <v>250</v>
      </c>
      <c r="Y6" s="22">
        <f t="shared" si="1"/>
        <v>250</v>
      </c>
      <c r="Z6" s="22">
        <f t="shared" si="1"/>
        <v>250</v>
      </c>
    </row>
    <row r="7" spans="2:26" ht="15.75" x14ac:dyDescent="0.25">
      <c r="B7" s="24">
        <v>2021</v>
      </c>
      <c r="C7" s="3">
        <f>ROUNDDOWN($M$7*$M$5*$M$4*$M$6*$M$17*Q$23*Q$41*$M$8, )</f>
        <v>24</v>
      </c>
      <c r="D7" s="3">
        <f>ROUNDDOWN($M$7*$M$5*$M$4*$M$6*$M$17*Q$24*Q$42*$M$8, )</f>
        <v>136</v>
      </c>
      <c r="E7" s="3">
        <f>ROUNDDOWN($M$7*$M$5*$M$4*$M$6*$M$17*Q$25*Q$43*$M$8, )</f>
        <v>27</v>
      </c>
      <c r="F7" s="3">
        <f>ROUNDDOWN($M$7*$M$5*$M$4*$M$6*$M$17*Q$26*Q$44*$M$8, )</f>
        <v>2</v>
      </c>
      <c r="G7" s="3">
        <f>ROUNDDOWN($M$7*$M$5*$M$4*$M$6*$M$25*Q$27*Q$45*$M$8, )</f>
        <v>15</v>
      </c>
      <c r="H7" s="25">
        <f>$M$7*$M$5*$M$4*$M$6*$M$25*Q$28*Q$46*$M$8</f>
        <v>0</v>
      </c>
      <c r="I7" s="26">
        <f>$M$7*$M$5*$M$4*$M$6*$M$25*Q$29*Q$47*$M$8</f>
        <v>0</v>
      </c>
      <c r="J7" s="25">
        <f>ROUNDDOWN(SUM(C7:I7),)</f>
        <v>204</v>
      </c>
      <c r="L7" s="19" t="s">
        <v>33</v>
      </c>
      <c r="M7" s="20">
        <v>28</v>
      </c>
      <c r="N7" s="18" t="s">
        <v>34</v>
      </c>
      <c r="P7" s="21" t="s">
        <v>27</v>
      </c>
      <c r="Q7" s="22">
        <f>'Last MR Verified_Granja Silva'!C24</f>
        <v>50</v>
      </c>
      <c r="R7" s="22">
        <f>$Q$7</f>
        <v>50</v>
      </c>
      <c r="S7" s="22">
        <f t="shared" ref="S7:Z7" si="2">$Q$7</f>
        <v>50</v>
      </c>
      <c r="T7" s="22">
        <f t="shared" si="2"/>
        <v>50</v>
      </c>
      <c r="U7" s="22">
        <f t="shared" si="2"/>
        <v>50</v>
      </c>
      <c r="V7" s="22">
        <f t="shared" si="2"/>
        <v>50</v>
      </c>
      <c r="W7" s="22">
        <f t="shared" si="2"/>
        <v>50</v>
      </c>
      <c r="X7" s="22">
        <f t="shared" si="2"/>
        <v>50</v>
      </c>
      <c r="Y7" s="22">
        <f t="shared" si="2"/>
        <v>50</v>
      </c>
      <c r="Z7" s="22">
        <f t="shared" si="2"/>
        <v>50</v>
      </c>
    </row>
    <row r="8" spans="2:26" ht="28.5" x14ac:dyDescent="0.25">
      <c r="B8" s="24">
        <v>2022</v>
      </c>
      <c r="C8" s="3">
        <f>ROUNDDOWN($M$7*$M$5*$M$4*$M$6*$M$17*R$23*R$41*$M$8, )</f>
        <v>24</v>
      </c>
      <c r="D8" s="3">
        <f>ROUNDDOWN($M$7*$M$5*$M$4*$M$6*$M$17*R$24*R$42*$M$8, )</f>
        <v>136</v>
      </c>
      <c r="E8" s="3">
        <f>ROUNDDOWN($M$7*$M$5*$M$4*$M$6*$M$17*R$25*R$43*$M$8, )</f>
        <v>27</v>
      </c>
      <c r="F8" s="3">
        <f>ROUNDDOWN($M$7*$M$5*$M$4*$M$6*$M$17*R$26*R$44*$M$8, )</f>
        <v>2</v>
      </c>
      <c r="G8" s="3">
        <f>ROUNDDOWN($M$7*$M$5*$M$4*$M$6*$M$25*R$27*R$45*$M$8, )</f>
        <v>15</v>
      </c>
      <c r="H8" s="25">
        <f t="shared" ref="H8:H16" si="3">$M$7*$M$5*$M$4*$M$6*$M$25*Q$28*Q$46*$M$8</f>
        <v>0</v>
      </c>
      <c r="I8" s="26">
        <f>$M$7*$M$5*$M$4*$M$6*$M$25*R$29*R$47*$M$8</f>
        <v>0</v>
      </c>
      <c r="J8" s="25">
        <f>ROUNDDOWN(SUM(C8:I8),)</f>
        <v>204</v>
      </c>
      <c r="L8" s="19" t="s">
        <v>35</v>
      </c>
      <c r="M8" s="20">
        <v>1</v>
      </c>
      <c r="N8" s="18" t="s">
        <v>20</v>
      </c>
      <c r="P8" s="21" t="s">
        <v>28</v>
      </c>
      <c r="Q8" s="22">
        <f>'Last MR Verified_Granja Silva'!C34</f>
        <v>5</v>
      </c>
      <c r="R8" s="22">
        <f>$Q$8</f>
        <v>5</v>
      </c>
      <c r="S8" s="22">
        <f t="shared" ref="S8:Z8" si="4">$Q$8</f>
        <v>5</v>
      </c>
      <c r="T8" s="22">
        <f t="shared" si="4"/>
        <v>5</v>
      </c>
      <c r="U8" s="22">
        <f t="shared" si="4"/>
        <v>5</v>
      </c>
      <c r="V8" s="22">
        <f t="shared" si="4"/>
        <v>5</v>
      </c>
      <c r="W8" s="22">
        <f t="shared" si="4"/>
        <v>5</v>
      </c>
      <c r="X8" s="22">
        <f t="shared" si="4"/>
        <v>5</v>
      </c>
      <c r="Y8" s="22">
        <f t="shared" si="4"/>
        <v>5</v>
      </c>
      <c r="Z8" s="22">
        <f t="shared" si="4"/>
        <v>5</v>
      </c>
    </row>
    <row r="9" spans="2:26" x14ac:dyDescent="0.25">
      <c r="B9" s="24">
        <v>2023</v>
      </c>
      <c r="C9" s="3">
        <f>ROUNDDOWN($M$7*$M$5*$M$4*$M$6*$M$17*S$23*S$41*$M$8, )</f>
        <v>24</v>
      </c>
      <c r="D9" s="3">
        <f>ROUNDDOWN($M$7*$M$5*$M$4*$M$6*$M$17*S$24*S$42*$M$8, )</f>
        <v>136</v>
      </c>
      <c r="E9" s="3">
        <f>ROUNDDOWN($M$7*$M$5*$M$4*$M$6*$M$17*S$25*S$43*$M$8, )</f>
        <v>27</v>
      </c>
      <c r="F9" s="3">
        <f>ROUNDDOWN($M$7*$M$5*$M$4*$M$6*$M$17*S$26*S$44*$M$8, )</f>
        <v>2</v>
      </c>
      <c r="G9" s="3">
        <f>ROUNDDOWN($M$7*$M$5*$M$4*$M$6*$M$25*S$27*S$45*$M$8, )</f>
        <v>15</v>
      </c>
      <c r="H9" s="25">
        <f t="shared" si="3"/>
        <v>0</v>
      </c>
      <c r="I9" s="26">
        <f>$M$7*$M$5*$M$4*$M$6*$M$25*S$29*S$47*$M$8</f>
        <v>0</v>
      </c>
      <c r="J9" s="25">
        <f t="shared" ref="J9:J16" si="5">ROUNDDOWN(SUM(C9:I9),)</f>
        <v>204</v>
      </c>
      <c r="P9" s="21" t="s">
        <v>29</v>
      </c>
      <c r="Q9" s="22">
        <f>'Last MR Verified_Granja Silva'!C44</f>
        <v>5968.283261802575</v>
      </c>
      <c r="R9" s="22">
        <f>$Q$9</f>
        <v>5968.283261802575</v>
      </c>
      <c r="S9" s="22">
        <f t="shared" ref="S9:Z9" si="6">$Q$9</f>
        <v>5968.283261802575</v>
      </c>
      <c r="T9" s="22">
        <f t="shared" si="6"/>
        <v>5968.283261802575</v>
      </c>
      <c r="U9" s="22">
        <f t="shared" si="6"/>
        <v>5968.283261802575</v>
      </c>
      <c r="V9" s="22">
        <f t="shared" si="6"/>
        <v>5968.283261802575</v>
      </c>
      <c r="W9" s="22">
        <f t="shared" si="6"/>
        <v>5968.283261802575</v>
      </c>
      <c r="X9" s="22">
        <f t="shared" si="6"/>
        <v>5968.283261802575</v>
      </c>
      <c r="Y9" s="22">
        <f t="shared" si="6"/>
        <v>5968.283261802575</v>
      </c>
      <c r="Z9" s="22">
        <f t="shared" si="6"/>
        <v>5968.283261802575</v>
      </c>
    </row>
    <row r="10" spans="2:26" ht="14.25" customHeight="1" x14ac:dyDescent="0.25">
      <c r="B10" s="24">
        <v>2024</v>
      </c>
      <c r="C10" s="3">
        <f>ROUNDDOWN($M$7*$M$5*$M$4*$M$6*$M$17*T$23*T$41*$M$8, )</f>
        <v>24</v>
      </c>
      <c r="D10" s="3">
        <f>ROUNDDOWN($M$7*$M$5*$M$4*$M$6*$M$17*T$24*T$42*$M$8, )</f>
        <v>136</v>
      </c>
      <c r="E10" s="3">
        <f>ROUNDDOWN($M$7*$M$5*$M$4*$M$6*$M$17*T$25*T$43*$M$8, )</f>
        <v>27</v>
      </c>
      <c r="F10" s="3">
        <f>ROUNDDOWN($M$7*$M$5*$M$4*$M$6*$M$17*T$26*T$44*$M$8, )</f>
        <v>2</v>
      </c>
      <c r="G10" s="3">
        <f>ROUNDDOWN($M$7*$M$5*$M$4*$M$6*$M$25*T$27*T$45*$M$8, )</f>
        <v>15</v>
      </c>
      <c r="H10" s="25">
        <f t="shared" si="3"/>
        <v>0</v>
      </c>
      <c r="I10" s="26">
        <f>$M$7*$M$5*$M$4*$M$6*$M$25*T$29*T$47*$M$8</f>
        <v>0</v>
      </c>
      <c r="J10" s="25">
        <f t="shared" si="5"/>
        <v>204</v>
      </c>
      <c r="L10" s="142" t="s">
        <v>120</v>
      </c>
      <c r="M10" s="143"/>
      <c r="N10" s="144"/>
      <c r="P10" s="21" t="s">
        <v>30</v>
      </c>
      <c r="Q10" s="22">
        <v>0</v>
      </c>
      <c r="R10" s="22">
        <f>$Q$10</f>
        <v>0</v>
      </c>
      <c r="S10" s="22">
        <f t="shared" ref="S10:Z10" si="7">$Q$10</f>
        <v>0</v>
      </c>
      <c r="T10" s="22">
        <f t="shared" si="7"/>
        <v>0</v>
      </c>
      <c r="U10" s="22">
        <f t="shared" si="7"/>
        <v>0</v>
      </c>
      <c r="V10" s="22">
        <f t="shared" si="7"/>
        <v>0</v>
      </c>
      <c r="W10" s="22">
        <f t="shared" si="7"/>
        <v>0</v>
      </c>
      <c r="X10" s="22">
        <f t="shared" si="7"/>
        <v>0</v>
      </c>
      <c r="Y10" s="22">
        <f t="shared" si="7"/>
        <v>0</v>
      </c>
      <c r="Z10" s="22">
        <f t="shared" si="7"/>
        <v>0</v>
      </c>
    </row>
    <row r="11" spans="2:26" x14ac:dyDescent="0.25">
      <c r="B11" s="24">
        <v>2025</v>
      </c>
      <c r="C11" s="3">
        <f>ROUNDDOWN($M$7*$M$5*$M$4*$M$6*$M$17*U$23*U$41*$M$8, )</f>
        <v>24</v>
      </c>
      <c r="D11" s="3">
        <f>ROUNDDOWN($M$7*$M$5*$M$4*$M$6*$M$17*U$24*U$42*$M$8, )</f>
        <v>136</v>
      </c>
      <c r="E11" s="3">
        <f>ROUNDDOWN($M$7*$M$5*$M$4*$M$6*$M$17*U$25*U$43*$M$8, )</f>
        <v>27</v>
      </c>
      <c r="F11" s="3">
        <f>ROUNDDOWN($M$7*$M$5*$M$4*$M$6*$M$17*U$26*U$44*$M$8, )</f>
        <v>2</v>
      </c>
      <c r="G11" s="3">
        <f>ROUNDDOWN($M$7*$M$5*$M$4*$M$6*$M$25*U$27*U$45*$M$8, )</f>
        <v>15</v>
      </c>
      <c r="H11" s="25">
        <f t="shared" si="3"/>
        <v>0</v>
      </c>
      <c r="I11" s="26">
        <f>$M$7*$M$5*$M$4*$M$6*$M$25*U$29*U$47*$M$8</f>
        <v>0</v>
      </c>
      <c r="J11" s="25">
        <f t="shared" si="5"/>
        <v>204</v>
      </c>
      <c r="L11" s="145"/>
      <c r="M11" s="146"/>
      <c r="N11" s="147"/>
      <c r="P11" s="21" t="s">
        <v>31</v>
      </c>
      <c r="Q11" s="22">
        <v>0</v>
      </c>
      <c r="R11" s="22">
        <f>$Q$11</f>
        <v>0</v>
      </c>
      <c r="S11" s="22">
        <f t="shared" ref="S11:Z11" si="8">$Q$11</f>
        <v>0</v>
      </c>
      <c r="T11" s="22">
        <f t="shared" si="8"/>
        <v>0</v>
      </c>
      <c r="U11" s="22">
        <f t="shared" si="8"/>
        <v>0</v>
      </c>
      <c r="V11" s="22">
        <f t="shared" si="8"/>
        <v>0</v>
      </c>
      <c r="W11" s="22">
        <f t="shared" si="8"/>
        <v>0</v>
      </c>
      <c r="X11" s="22">
        <f t="shared" si="8"/>
        <v>0</v>
      </c>
      <c r="Y11" s="22">
        <f t="shared" si="8"/>
        <v>0</v>
      </c>
      <c r="Z11" s="22">
        <f t="shared" si="8"/>
        <v>0</v>
      </c>
    </row>
    <row r="12" spans="2:26" ht="15.75" x14ac:dyDescent="0.25">
      <c r="B12" s="24">
        <v>2026</v>
      </c>
      <c r="C12" s="3">
        <f>ROUNDDOWN($M$7*$M$5*$M$4*$M$6*$M$17*V$23*V$41*$M$8, )</f>
        <v>24</v>
      </c>
      <c r="D12" s="3">
        <f>ROUNDDOWN($M$7*$M$5*$M$4*$M$6*$M$17*V$24*V$42*$M$8, )</f>
        <v>136</v>
      </c>
      <c r="E12" s="3">
        <f>ROUNDDOWN($M$7*$M$5*$M$4*$M$6*$M$17*V$25*V$43*$M$8, )</f>
        <v>27</v>
      </c>
      <c r="F12" s="3">
        <f>ROUNDDOWN($M$7*$M$5*$M$4*$M$6*$M$17*V$26*V$44*$M$8, )</f>
        <v>2</v>
      </c>
      <c r="G12" s="3">
        <f>ROUNDDOWN($M$7*$M$5*$M$4*$M$6*$M$25*V$27*V$45*$M$8, )</f>
        <v>15</v>
      </c>
      <c r="H12" s="25">
        <f t="shared" si="3"/>
        <v>0</v>
      </c>
      <c r="I12" s="26">
        <f>$M$7*$M$5*$M$4*$M$6*$M$25*V$29*V$47*$M$8</f>
        <v>0</v>
      </c>
      <c r="J12" s="25">
        <f t="shared" si="5"/>
        <v>204</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ROUNDDOWN($M$7*$M$5*$M$4*$M$6*$M$17*W$23*W$41*$M$8, )</f>
        <v>24</v>
      </c>
      <c r="D13" s="3">
        <f>ROUNDDOWN($M$7*$M$5*$M$4*$M$6*$M$17*W$24*W$42*$M$8, )</f>
        <v>136</v>
      </c>
      <c r="E13" s="3">
        <f>ROUNDDOWN($M$7*$M$5*$M$4*$M$6*$M$17*W$25*W$43*$M$8, )</f>
        <v>27</v>
      </c>
      <c r="F13" s="3">
        <f>ROUNDDOWN($M$7*$M$5*$M$4*$M$6*$M$17*W$26*W$44*$M$8, )</f>
        <v>2</v>
      </c>
      <c r="G13" s="3">
        <f>ROUNDDOWN($M$7*$M$5*$M$4*$M$6*$M$25*W$27*W$45*$M$8, )</f>
        <v>15</v>
      </c>
      <c r="H13" s="25">
        <f t="shared" si="3"/>
        <v>0</v>
      </c>
      <c r="I13" s="26">
        <f>$M$7*$M$5*$M$4*$M$6*$M$25*W$29*W$47*$M$8</f>
        <v>0</v>
      </c>
      <c r="J13" s="25">
        <f t="shared" si="5"/>
        <v>204</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4.25" customHeight="1" x14ac:dyDescent="0.25">
      <c r="B14" s="24">
        <v>2028</v>
      </c>
      <c r="C14" s="3">
        <f>ROUNDDOWN($M$7*$M$5*$M$4*$M$6*$M$17*X$23*X$41*$M$8, )</f>
        <v>24</v>
      </c>
      <c r="D14" s="3">
        <f>ROUNDDOWN($M$7*$M$5*$M$4*$M$6*$M$17*X$24*X$42*$M$8, )</f>
        <v>136</v>
      </c>
      <c r="E14" s="3">
        <f>ROUNDDOWN($M$7*$M$5*$M$4*$M$6*$M$17*X$25*X$43*$M$8, )</f>
        <v>27</v>
      </c>
      <c r="F14" s="3">
        <f>ROUNDDOWN($M$7*$M$5*$M$4*$M$6*$M$17*X$26*X$44*$M$8, )</f>
        <v>2</v>
      </c>
      <c r="G14" s="3">
        <f>ROUNDDOWN($M$7*$M$5*$M$4*$M$6*$M$25*X$27*X$45*$M$8, )</f>
        <v>15</v>
      </c>
      <c r="H14" s="25">
        <f t="shared" si="3"/>
        <v>0</v>
      </c>
      <c r="I14" s="26">
        <f>$M$7*$M$5*$M$4*$M$6*$M$25*X$29*X$47*$M$8</f>
        <v>0</v>
      </c>
      <c r="J14" s="25">
        <f t="shared" si="5"/>
        <v>204</v>
      </c>
      <c r="L14" s="139" t="s">
        <v>37</v>
      </c>
      <c r="M14" s="140"/>
      <c r="N14" s="141"/>
      <c r="P14" s="21" t="s">
        <v>25</v>
      </c>
      <c r="Q14" s="22">
        <f>'Last MR Verified_Granja Silva'!C5</f>
        <v>319.53791130185982</v>
      </c>
      <c r="R14" s="22">
        <f>$Q$14</f>
        <v>319.53791130185982</v>
      </c>
      <c r="S14" s="22">
        <f t="shared" ref="S14:Z14" si="9">$Q$14</f>
        <v>319.53791130185982</v>
      </c>
      <c r="T14" s="22">
        <f t="shared" si="9"/>
        <v>319.53791130185982</v>
      </c>
      <c r="U14" s="22">
        <f t="shared" si="9"/>
        <v>319.53791130185982</v>
      </c>
      <c r="V14" s="22">
        <f t="shared" si="9"/>
        <v>319.53791130185982</v>
      </c>
      <c r="W14" s="22">
        <f t="shared" si="9"/>
        <v>319.53791130185982</v>
      </c>
      <c r="X14" s="22">
        <f t="shared" si="9"/>
        <v>319.53791130185982</v>
      </c>
      <c r="Y14" s="22">
        <f t="shared" si="9"/>
        <v>319.53791130185982</v>
      </c>
      <c r="Z14" s="22">
        <f t="shared" si="9"/>
        <v>319.53791130185982</v>
      </c>
    </row>
    <row r="15" spans="2:26" x14ac:dyDescent="0.25">
      <c r="B15" s="24">
        <v>2029</v>
      </c>
      <c r="C15" s="3">
        <f>ROUNDDOWN($M$7*$M$5*$M$4*$M$6*$M$17*Y$23*Y$41*$M$8, )</f>
        <v>24</v>
      </c>
      <c r="D15" s="3">
        <f>ROUNDDOWN($M$7*$M$5*$M$4*$M$6*$M$17*Y$24*Y$42*$M$8, )</f>
        <v>136</v>
      </c>
      <c r="E15" s="3">
        <f>ROUNDDOWN($M$7*$M$5*$M$4*$M$6*$M$17*Y$25*Y$43*$M$8, )</f>
        <v>27</v>
      </c>
      <c r="F15" s="3">
        <f>ROUNDDOWN($M$7*$M$5*$M$4*$M$6*$M$17*Y$26*Y$44*$M$8, )</f>
        <v>2</v>
      </c>
      <c r="G15" s="3">
        <f>ROUNDDOWN($M$7*$M$5*$M$4*$M$6*$M$25*Y$27*Y$45*$M$8, )</f>
        <v>15</v>
      </c>
      <c r="H15" s="25">
        <f t="shared" si="3"/>
        <v>0</v>
      </c>
      <c r="I15" s="26">
        <f>$M$7*$M$5*$M$4*$M$6*$M$25*Y$29*Y$47*$M$8</f>
        <v>0</v>
      </c>
      <c r="J15" s="25">
        <f t="shared" si="5"/>
        <v>204</v>
      </c>
      <c r="L15" s="74" t="s">
        <v>40</v>
      </c>
      <c r="M15" s="75">
        <f>(1.7*(M19/1000))</f>
        <v>0.34849999999999998</v>
      </c>
      <c r="N15" s="74" t="s">
        <v>38</v>
      </c>
      <c r="P15" s="21" t="s">
        <v>26</v>
      </c>
      <c r="Q15" s="22">
        <f>'Last MR Verified_Granja Silva'!C15</f>
        <v>319.53791130185982</v>
      </c>
      <c r="R15" s="22">
        <f>$Q$15</f>
        <v>319.53791130185982</v>
      </c>
      <c r="S15" s="22">
        <f t="shared" ref="S15:Z15" si="10">$Q$15</f>
        <v>319.53791130185982</v>
      </c>
      <c r="T15" s="22">
        <f t="shared" si="10"/>
        <v>319.53791130185982</v>
      </c>
      <c r="U15" s="22">
        <f t="shared" si="10"/>
        <v>319.53791130185982</v>
      </c>
      <c r="V15" s="22">
        <f t="shared" si="10"/>
        <v>319.53791130185982</v>
      </c>
      <c r="W15" s="22">
        <f t="shared" si="10"/>
        <v>319.53791130185982</v>
      </c>
      <c r="X15" s="22">
        <f t="shared" si="10"/>
        <v>319.53791130185982</v>
      </c>
      <c r="Y15" s="22">
        <f t="shared" si="10"/>
        <v>319.53791130185982</v>
      </c>
      <c r="Z15" s="22">
        <f t="shared" si="10"/>
        <v>319.53791130185982</v>
      </c>
    </row>
    <row r="16" spans="2:26" ht="14.25" customHeight="1" x14ac:dyDescent="0.25">
      <c r="B16" s="24">
        <v>2030</v>
      </c>
      <c r="C16" s="3">
        <f>ROUNDDOWN($M$7*$M$5*$M$4*$M$6*$M$17*Z$23*Z$41*$M$8, )</f>
        <v>24</v>
      </c>
      <c r="D16" s="3">
        <f>ROUNDDOWN($M$7*$M$5*$M$4*$M$6*$M$17*Z$24*Z$42*$M$8, )</f>
        <v>136</v>
      </c>
      <c r="E16" s="3">
        <f>ROUNDDOWN($M$7*$M$5*$M$4*$M$6*$M$17*Z$25*Z$43*$M$8, )</f>
        <v>27</v>
      </c>
      <c r="F16" s="3">
        <f>ROUNDDOWN($M$7*$M$5*$M$4*$M$6*$M$17*Z$26*Z$44*$M$8, )</f>
        <v>2</v>
      </c>
      <c r="G16" s="3">
        <f>ROUNDDOWN($M$7*$M$5*$M$4*$M$6*$M$25*Z$27*Z$45*$M$8, )</f>
        <v>15</v>
      </c>
      <c r="H16" s="25">
        <f t="shared" si="3"/>
        <v>0</v>
      </c>
      <c r="I16" s="26">
        <f>$M$7*$M$5*$M$4*$M$6*$M$25*Z$29*Z$47*$M$8</f>
        <v>0</v>
      </c>
      <c r="J16" s="25">
        <f t="shared" si="5"/>
        <v>204</v>
      </c>
      <c r="L16" s="139" t="s">
        <v>42</v>
      </c>
      <c r="M16" s="140"/>
      <c r="N16" s="141"/>
      <c r="P16" s="21" t="s">
        <v>39</v>
      </c>
      <c r="Q16" s="22">
        <f>'Last MR Verified_Granja Silva'!C25</f>
        <v>319.53791130185982</v>
      </c>
      <c r="R16" s="22">
        <f>$Q$16</f>
        <v>319.53791130185982</v>
      </c>
      <c r="S16" s="22">
        <f t="shared" ref="S16:Z16" si="11">$Q$16</f>
        <v>319.53791130185982</v>
      </c>
      <c r="T16" s="22">
        <f t="shared" si="11"/>
        <v>319.53791130185982</v>
      </c>
      <c r="U16" s="22">
        <f t="shared" si="11"/>
        <v>319.53791130185982</v>
      </c>
      <c r="V16" s="22">
        <f t="shared" si="11"/>
        <v>319.53791130185982</v>
      </c>
      <c r="W16" s="22">
        <f t="shared" si="11"/>
        <v>319.53791130185982</v>
      </c>
      <c r="X16" s="22">
        <f t="shared" si="11"/>
        <v>319.53791130185982</v>
      </c>
      <c r="Y16" s="22">
        <f t="shared" si="11"/>
        <v>319.53791130185982</v>
      </c>
      <c r="Z16" s="22">
        <f t="shared" si="11"/>
        <v>319.53791130185982</v>
      </c>
    </row>
    <row r="17" spans="2:26" ht="15.75" x14ac:dyDescent="0.25">
      <c r="B17" s="28" t="s">
        <v>0</v>
      </c>
      <c r="C17" s="25">
        <f>ROUNDDOWN(SUM(C7:C16),)</f>
        <v>240</v>
      </c>
      <c r="D17" s="25">
        <f t="shared" ref="D17:H17" si="12">ROUNDDOWN(SUM(D7:D16),)</f>
        <v>1360</v>
      </c>
      <c r="E17" s="25">
        <f t="shared" si="12"/>
        <v>270</v>
      </c>
      <c r="F17" s="25">
        <f t="shared" si="12"/>
        <v>20</v>
      </c>
      <c r="G17" s="25">
        <f t="shared" si="12"/>
        <v>150</v>
      </c>
      <c r="H17" s="25">
        <f t="shared" si="12"/>
        <v>0</v>
      </c>
      <c r="I17" s="25">
        <f>ROUNDDOWN(SUM(I7:I16),)</f>
        <v>0</v>
      </c>
      <c r="J17" s="25">
        <f>ROUNDDOWN(SUM(J7:J16),)</f>
        <v>2040</v>
      </c>
      <c r="L17" s="74" t="s">
        <v>40</v>
      </c>
      <c r="M17" s="74">
        <f>0.45</f>
        <v>0.45</v>
      </c>
      <c r="N17" s="74" t="s">
        <v>43</v>
      </c>
      <c r="P17" s="21" t="s">
        <v>41</v>
      </c>
      <c r="Q17" s="22">
        <f>'Last MR Verified_Granja Silva'!C35</f>
        <v>319.53791130185982</v>
      </c>
      <c r="R17" s="22">
        <f>$Q$17</f>
        <v>319.53791130185982</v>
      </c>
      <c r="S17" s="22">
        <f t="shared" ref="S17:Z17" si="13">$Q$17</f>
        <v>319.53791130185982</v>
      </c>
      <c r="T17" s="22">
        <f t="shared" si="13"/>
        <v>319.53791130185982</v>
      </c>
      <c r="U17" s="22">
        <f t="shared" si="13"/>
        <v>319.53791130185982</v>
      </c>
      <c r="V17" s="22">
        <f t="shared" si="13"/>
        <v>319.53791130185982</v>
      </c>
      <c r="W17" s="22">
        <f t="shared" si="13"/>
        <v>319.53791130185982</v>
      </c>
      <c r="X17" s="22">
        <f t="shared" si="13"/>
        <v>319.53791130185982</v>
      </c>
      <c r="Y17" s="22">
        <f t="shared" si="13"/>
        <v>319.53791130185982</v>
      </c>
      <c r="Z17" s="22">
        <f t="shared" si="13"/>
        <v>319.53791130185982</v>
      </c>
    </row>
    <row r="18" spans="2:26" ht="14.25" customHeight="1" x14ac:dyDescent="0.25">
      <c r="B18" s="29"/>
      <c r="C18" s="30"/>
      <c r="D18" s="30"/>
      <c r="E18" s="30"/>
      <c r="F18" s="30"/>
      <c r="G18" s="30"/>
      <c r="H18" s="30"/>
      <c r="I18" s="30"/>
      <c r="J18" s="30"/>
      <c r="L18" s="139" t="s">
        <v>46</v>
      </c>
      <c r="M18" s="140"/>
      <c r="N18" s="141"/>
      <c r="P18" s="21" t="s">
        <v>29</v>
      </c>
      <c r="Q18" s="22">
        <f>'Last MR Verified_Granja Silva'!C45</f>
        <v>25.772328458282207</v>
      </c>
      <c r="R18" s="22">
        <f>$Q$18</f>
        <v>25.772328458282207</v>
      </c>
      <c r="S18" s="22">
        <f t="shared" ref="S18:Z18" si="14">$Q$18</f>
        <v>25.772328458282207</v>
      </c>
      <c r="T18" s="22">
        <f t="shared" si="14"/>
        <v>25.772328458282207</v>
      </c>
      <c r="U18" s="22">
        <f t="shared" si="14"/>
        <v>25.772328458282207</v>
      </c>
      <c r="V18" s="22">
        <f t="shared" si="14"/>
        <v>25.772328458282207</v>
      </c>
      <c r="W18" s="22">
        <f t="shared" si="14"/>
        <v>25.772328458282207</v>
      </c>
      <c r="X18" s="22">
        <f t="shared" si="14"/>
        <v>25.772328458282207</v>
      </c>
      <c r="Y18" s="22">
        <f t="shared" si="14"/>
        <v>25.772328458282207</v>
      </c>
      <c r="Z18" s="22">
        <f t="shared" si="14"/>
        <v>25.772328458282207</v>
      </c>
    </row>
    <row r="19" spans="2:26" ht="14.25" customHeight="1" x14ac:dyDescent="0.25">
      <c r="B19" s="29"/>
      <c r="C19" s="30"/>
      <c r="D19" s="30"/>
      <c r="E19" s="30"/>
      <c r="F19" s="30"/>
      <c r="G19" s="30"/>
      <c r="H19" s="30"/>
      <c r="I19" s="30"/>
      <c r="J19" s="30"/>
      <c r="L19" s="74" t="s">
        <v>40</v>
      </c>
      <c r="M19" s="74">
        <v>205</v>
      </c>
      <c r="N19" s="74" t="s">
        <v>47</v>
      </c>
      <c r="P19" s="21" t="s">
        <v>44</v>
      </c>
      <c r="Q19" s="22">
        <v>0</v>
      </c>
      <c r="R19" s="22">
        <f t="shared" ref="R19:Z20" si="15">$Q19</f>
        <v>0</v>
      </c>
      <c r="S19" s="22">
        <f t="shared" si="15"/>
        <v>0</v>
      </c>
      <c r="T19" s="22">
        <f t="shared" si="15"/>
        <v>0</v>
      </c>
      <c r="U19" s="22">
        <f t="shared" si="15"/>
        <v>0</v>
      </c>
      <c r="V19" s="22">
        <f t="shared" si="15"/>
        <v>0</v>
      </c>
      <c r="W19" s="22">
        <f t="shared" si="15"/>
        <v>0</v>
      </c>
      <c r="X19" s="22">
        <f t="shared" si="15"/>
        <v>0</v>
      </c>
      <c r="Y19" s="22">
        <f t="shared" si="15"/>
        <v>0</v>
      </c>
      <c r="Z19" s="22">
        <f t="shared" si="15"/>
        <v>0</v>
      </c>
    </row>
    <row r="20" spans="2:26" x14ac:dyDescent="0.25">
      <c r="B20" s="30"/>
      <c r="C20" s="30"/>
      <c r="D20" s="30"/>
      <c r="E20" s="30"/>
      <c r="F20" s="30"/>
      <c r="G20" s="30"/>
      <c r="H20" s="30"/>
      <c r="I20" s="30"/>
      <c r="J20" s="30"/>
      <c r="L20" s="148" t="s">
        <v>131</v>
      </c>
      <c r="M20" s="149"/>
      <c r="N20" s="150"/>
      <c r="P20" s="21" t="s">
        <v>31</v>
      </c>
      <c r="Q20" s="22">
        <v>0</v>
      </c>
      <c r="R20" s="22">
        <f t="shared" si="15"/>
        <v>0</v>
      </c>
      <c r="S20" s="22">
        <f t="shared" si="15"/>
        <v>0</v>
      </c>
      <c r="T20" s="22">
        <f t="shared" si="15"/>
        <v>0</v>
      </c>
      <c r="U20" s="22">
        <f t="shared" si="15"/>
        <v>0</v>
      </c>
      <c r="V20" s="22">
        <f t="shared" si="15"/>
        <v>0</v>
      </c>
      <c r="W20" s="22">
        <f t="shared" si="15"/>
        <v>0</v>
      </c>
      <c r="X20" s="22">
        <f t="shared" si="15"/>
        <v>0</v>
      </c>
      <c r="Y20" s="22">
        <f t="shared" si="15"/>
        <v>0</v>
      </c>
      <c r="Z20" s="22">
        <f t="shared" si="15"/>
        <v>0</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4.2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30"/>
      <c r="I23" s="30"/>
      <c r="J23" s="30"/>
      <c r="L23" s="74" t="s">
        <v>40</v>
      </c>
      <c r="M23" s="75">
        <f>(4.3*(M27/1000))</f>
        <v>0.25369999999999998</v>
      </c>
      <c r="N23" s="74" t="s">
        <v>38</v>
      </c>
      <c r="P23" s="21" t="s">
        <v>25</v>
      </c>
      <c r="Q23" s="31">
        <f>'Last MR Verified_Granja Silva'!C6</f>
        <v>39.395084955023812</v>
      </c>
      <c r="R23" s="31">
        <f>$Q$23</f>
        <v>39.395084955023812</v>
      </c>
      <c r="S23" s="31">
        <f t="shared" ref="S23:Z23" si="16">$Q$23</f>
        <v>39.395084955023812</v>
      </c>
      <c r="T23" s="31">
        <f t="shared" si="16"/>
        <v>39.395084955023812</v>
      </c>
      <c r="U23" s="31">
        <f t="shared" si="16"/>
        <v>39.395084955023812</v>
      </c>
      <c r="V23" s="31">
        <f t="shared" si="16"/>
        <v>39.395084955023812</v>
      </c>
      <c r="W23" s="31">
        <f t="shared" si="16"/>
        <v>39.395084955023812</v>
      </c>
      <c r="X23" s="31">
        <f t="shared" si="16"/>
        <v>39.395084955023812</v>
      </c>
      <c r="Y23" s="31">
        <f t="shared" si="16"/>
        <v>39.395084955023812</v>
      </c>
      <c r="Z23" s="31">
        <f t="shared" si="16"/>
        <v>39.395084955023812</v>
      </c>
    </row>
    <row r="24" spans="2:26" ht="14.25" customHeight="1" x14ac:dyDescent="0.25">
      <c r="B24" s="30"/>
      <c r="C24" s="30"/>
      <c r="D24" s="30"/>
      <c r="E24" s="30"/>
      <c r="F24" s="30"/>
      <c r="G24" s="30"/>
      <c r="H24" s="30"/>
      <c r="I24" s="30"/>
      <c r="J24" s="30"/>
      <c r="L24" s="139" t="s">
        <v>42</v>
      </c>
      <c r="M24" s="140"/>
      <c r="N24" s="141"/>
      <c r="P24" s="21" t="s">
        <v>26</v>
      </c>
      <c r="Q24" s="31">
        <f>'Last MR Verified_Granja Silva'!C16</f>
        <v>218.86158308346563</v>
      </c>
      <c r="R24" s="31">
        <f>$Q$24</f>
        <v>218.86158308346563</v>
      </c>
      <c r="S24" s="31">
        <f t="shared" ref="S24:Z24" si="17">$Q$24</f>
        <v>218.86158308346563</v>
      </c>
      <c r="T24" s="31">
        <f t="shared" si="17"/>
        <v>218.86158308346563</v>
      </c>
      <c r="U24" s="31">
        <f t="shared" si="17"/>
        <v>218.86158308346563</v>
      </c>
      <c r="V24" s="31">
        <f t="shared" si="17"/>
        <v>218.86158308346563</v>
      </c>
      <c r="W24" s="31">
        <f t="shared" si="17"/>
        <v>218.86158308346563</v>
      </c>
      <c r="X24" s="31">
        <f t="shared" si="17"/>
        <v>218.86158308346563</v>
      </c>
      <c r="Y24" s="31">
        <f t="shared" si="17"/>
        <v>218.86158308346563</v>
      </c>
      <c r="Z24" s="31">
        <f t="shared" si="17"/>
        <v>218.86158308346563</v>
      </c>
    </row>
    <row r="25" spans="2:26" ht="15.75" x14ac:dyDescent="0.25">
      <c r="B25" s="30"/>
      <c r="C25" s="30"/>
      <c r="D25" s="30"/>
      <c r="E25" s="30"/>
      <c r="F25" s="30"/>
      <c r="G25" s="30"/>
      <c r="H25" s="30"/>
      <c r="I25" s="30"/>
      <c r="J25" s="30"/>
      <c r="L25" s="74" t="s">
        <v>40</v>
      </c>
      <c r="M25" s="74">
        <f>0.45</f>
        <v>0.45</v>
      </c>
      <c r="N25" s="74" t="s">
        <v>43</v>
      </c>
      <c r="P25" s="21" t="s">
        <v>39</v>
      </c>
      <c r="Q25" s="31">
        <f>'Last MR Verified_Granja Silva'!C26</f>
        <v>43.772316616693125</v>
      </c>
      <c r="R25" s="31">
        <f>$Q$25</f>
        <v>43.772316616693125</v>
      </c>
      <c r="S25" s="31">
        <f t="shared" ref="S25:Z25" si="18">$Q$25</f>
        <v>43.772316616693125</v>
      </c>
      <c r="T25" s="31">
        <f t="shared" si="18"/>
        <v>43.772316616693125</v>
      </c>
      <c r="U25" s="31">
        <f t="shared" si="18"/>
        <v>43.772316616693125</v>
      </c>
      <c r="V25" s="31">
        <f t="shared" si="18"/>
        <v>43.772316616693125</v>
      </c>
      <c r="W25" s="31">
        <f t="shared" si="18"/>
        <v>43.772316616693125</v>
      </c>
      <c r="X25" s="31">
        <f t="shared" si="18"/>
        <v>43.772316616693125</v>
      </c>
      <c r="Y25" s="31">
        <f t="shared" si="18"/>
        <v>43.772316616693125</v>
      </c>
      <c r="Z25" s="31">
        <f t="shared" si="18"/>
        <v>43.772316616693125</v>
      </c>
    </row>
    <row r="26" spans="2:26" ht="12.75" customHeight="1" x14ac:dyDescent="0.25">
      <c r="B26" s="30"/>
      <c r="C26" s="30"/>
      <c r="D26" s="30"/>
      <c r="E26" s="30"/>
      <c r="F26" s="30"/>
      <c r="G26" s="30"/>
      <c r="H26" s="30"/>
      <c r="I26" s="30"/>
      <c r="J26" s="30"/>
      <c r="L26" s="139" t="s">
        <v>46</v>
      </c>
      <c r="M26" s="140"/>
      <c r="N26" s="141"/>
      <c r="P26" s="21" t="s">
        <v>41</v>
      </c>
      <c r="Q26" s="31">
        <f>'Last MR Verified_Granja Silva'!C36</f>
        <v>4.3772316616693123</v>
      </c>
      <c r="R26" s="31">
        <f>$Q$26</f>
        <v>4.3772316616693123</v>
      </c>
      <c r="S26" s="31">
        <f t="shared" ref="S26:Z26" si="19">$Q$26</f>
        <v>4.3772316616693123</v>
      </c>
      <c r="T26" s="31">
        <f t="shared" si="19"/>
        <v>4.3772316616693123</v>
      </c>
      <c r="U26" s="31">
        <f t="shared" si="19"/>
        <v>4.3772316616693123</v>
      </c>
      <c r="V26" s="31">
        <f t="shared" si="19"/>
        <v>4.3772316616693123</v>
      </c>
      <c r="W26" s="31">
        <f t="shared" si="19"/>
        <v>4.3772316616693123</v>
      </c>
      <c r="X26" s="31">
        <f t="shared" si="19"/>
        <v>4.3772316616693123</v>
      </c>
      <c r="Y26" s="31">
        <f t="shared" si="19"/>
        <v>4.3772316616693123</v>
      </c>
      <c r="Z26" s="31">
        <f t="shared" si="19"/>
        <v>4.3772316616693123</v>
      </c>
    </row>
    <row r="27" spans="2:26" ht="12.75" customHeight="1" x14ac:dyDescent="0.25">
      <c r="B27" s="30"/>
      <c r="C27" s="30"/>
      <c r="D27" s="30"/>
      <c r="E27" s="30"/>
      <c r="F27" s="30"/>
      <c r="G27" s="30"/>
      <c r="H27" s="30"/>
      <c r="I27" s="30"/>
      <c r="J27" s="30"/>
      <c r="L27" s="74" t="s">
        <v>40</v>
      </c>
      <c r="M27" s="74">
        <v>59</v>
      </c>
      <c r="N27" s="74" t="s">
        <v>47</v>
      </c>
      <c r="P27" s="21" t="s">
        <v>29</v>
      </c>
      <c r="Q27" s="31">
        <f>'Last MR Verified_Granja Silva'!C46</f>
        <v>421.41522343902426</v>
      </c>
      <c r="R27" s="31">
        <f>$Q$27</f>
        <v>421.41522343902426</v>
      </c>
      <c r="S27" s="31">
        <f t="shared" ref="S27:Z27" si="20">$Q$27</f>
        <v>421.41522343902426</v>
      </c>
      <c r="T27" s="31">
        <f t="shared" si="20"/>
        <v>421.41522343902426</v>
      </c>
      <c r="U27" s="31">
        <f t="shared" si="20"/>
        <v>421.41522343902426</v>
      </c>
      <c r="V27" s="31">
        <f t="shared" si="20"/>
        <v>421.41522343902426</v>
      </c>
      <c r="W27" s="31">
        <f t="shared" si="20"/>
        <v>421.41522343902426</v>
      </c>
      <c r="X27" s="31">
        <f t="shared" si="20"/>
        <v>421.41522343902426</v>
      </c>
      <c r="Y27" s="31">
        <f t="shared" si="20"/>
        <v>421.41522343902426</v>
      </c>
      <c r="Z27" s="31">
        <f t="shared" si="20"/>
        <v>421.41522343902426</v>
      </c>
    </row>
    <row r="28" spans="2:26" x14ac:dyDescent="0.25">
      <c r="B28" s="30"/>
      <c r="C28" s="30"/>
      <c r="D28" s="30"/>
      <c r="E28" s="30"/>
      <c r="F28" s="30"/>
      <c r="G28" s="30"/>
      <c r="H28" s="30"/>
      <c r="I28" s="30"/>
      <c r="J28" s="30"/>
      <c r="L28" s="30"/>
      <c r="M28" s="30"/>
      <c r="N28" s="30"/>
      <c r="P28" s="21" t="s">
        <v>44</v>
      </c>
      <c r="Q28" s="31">
        <v>0</v>
      </c>
      <c r="R28" s="31">
        <f>$Q$28</f>
        <v>0</v>
      </c>
      <c r="S28" s="31">
        <f t="shared" ref="S28:Z28" si="21">$Q$28</f>
        <v>0</v>
      </c>
      <c r="T28" s="31">
        <f t="shared" si="21"/>
        <v>0</v>
      </c>
      <c r="U28" s="31">
        <f t="shared" si="21"/>
        <v>0</v>
      </c>
      <c r="V28" s="31">
        <f t="shared" si="21"/>
        <v>0</v>
      </c>
      <c r="W28" s="31">
        <f t="shared" si="21"/>
        <v>0</v>
      </c>
      <c r="X28" s="31">
        <f t="shared" si="21"/>
        <v>0</v>
      </c>
      <c r="Y28" s="31">
        <f t="shared" si="21"/>
        <v>0</v>
      </c>
      <c r="Z28" s="31">
        <f t="shared" si="21"/>
        <v>0</v>
      </c>
    </row>
    <row r="29" spans="2:26" x14ac:dyDescent="0.25">
      <c r="B29" s="30"/>
      <c r="C29" s="30"/>
      <c r="D29" s="30"/>
      <c r="E29" s="30"/>
      <c r="F29" s="30"/>
      <c r="G29" s="30"/>
      <c r="H29" s="30"/>
      <c r="I29" s="30"/>
      <c r="J29" s="30"/>
      <c r="L29" s="30"/>
      <c r="M29" s="30"/>
      <c r="N29" s="30"/>
      <c r="P29" s="21" t="s">
        <v>31</v>
      </c>
      <c r="Q29" s="22">
        <v>0</v>
      </c>
      <c r="R29" s="31">
        <f>$Q$29</f>
        <v>0</v>
      </c>
      <c r="S29" s="31">
        <f t="shared" ref="S29:Z29" si="22">$Q$29</f>
        <v>0</v>
      </c>
      <c r="T29" s="31">
        <f t="shared" si="22"/>
        <v>0</v>
      </c>
      <c r="U29" s="31">
        <f t="shared" si="22"/>
        <v>0</v>
      </c>
      <c r="V29" s="31">
        <f t="shared" si="22"/>
        <v>0</v>
      </c>
      <c r="W29" s="31">
        <f t="shared" si="22"/>
        <v>0</v>
      </c>
      <c r="X29" s="31">
        <f t="shared" si="22"/>
        <v>0</v>
      </c>
      <c r="Y29" s="31">
        <f t="shared" si="22"/>
        <v>0</v>
      </c>
      <c r="Z29" s="31">
        <f t="shared" si="22"/>
        <v>0</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x14ac:dyDescent="0.25">
      <c r="C32" s="30"/>
      <c r="D32" s="30"/>
      <c r="E32" s="30"/>
      <c r="F32" s="30"/>
      <c r="G32" s="30"/>
      <c r="H32" s="30"/>
      <c r="I32" s="30"/>
      <c r="J32" s="30"/>
      <c r="L32" s="30"/>
      <c r="M32" s="30"/>
      <c r="N32" s="30"/>
      <c r="P32" s="21" t="s">
        <v>49</v>
      </c>
      <c r="Q32" s="128">
        <f>'Last MR Verified_Granja Silva'!C7</f>
        <v>198</v>
      </c>
      <c r="R32" s="128">
        <f>$Q$32</f>
        <v>198</v>
      </c>
      <c r="S32" s="128">
        <f t="shared" ref="S32:Z32" si="23">$Q$32</f>
        <v>198</v>
      </c>
      <c r="T32" s="128">
        <f t="shared" si="23"/>
        <v>198</v>
      </c>
      <c r="U32" s="128">
        <f t="shared" si="23"/>
        <v>198</v>
      </c>
      <c r="V32" s="128">
        <f t="shared" si="23"/>
        <v>198</v>
      </c>
      <c r="W32" s="128">
        <f t="shared" si="23"/>
        <v>198</v>
      </c>
      <c r="X32" s="128">
        <f t="shared" si="23"/>
        <v>198</v>
      </c>
      <c r="Y32" s="128">
        <f t="shared" si="23"/>
        <v>198</v>
      </c>
      <c r="Z32" s="128">
        <f t="shared" si="23"/>
        <v>198</v>
      </c>
    </row>
    <row r="33" spans="3:26" x14ac:dyDescent="0.25">
      <c r="C33" s="30"/>
      <c r="D33" s="30"/>
      <c r="E33" s="30"/>
      <c r="F33" s="30"/>
      <c r="G33" s="30"/>
      <c r="H33" s="30"/>
      <c r="I33" s="30"/>
      <c r="J33" s="30"/>
      <c r="L33" s="30"/>
      <c r="M33" s="30"/>
      <c r="N33" s="30"/>
      <c r="P33" s="21" t="s">
        <v>26</v>
      </c>
      <c r="Q33" s="128">
        <f>'Last MR Verified_Granja Silva'!C17</f>
        <v>198</v>
      </c>
      <c r="R33" s="128">
        <f>$Q$33</f>
        <v>198</v>
      </c>
      <c r="S33" s="128">
        <f t="shared" ref="S33:Z33" si="24">$Q$33</f>
        <v>198</v>
      </c>
      <c r="T33" s="128">
        <f t="shared" si="24"/>
        <v>198</v>
      </c>
      <c r="U33" s="128">
        <f t="shared" si="24"/>
        <v>198</v>
      </c>
      <c r="V33" s="128">
        <f t="shared" si="24"/>
        <v>198</v>
      </c>
      <c r="W33" s="128">
        <f t="shared" si="24"/>
        <v>198</v>
      </c>
      <c r="X33" s="128">
        <f t="shared" si="24"/>
        <v>198</v>
      </c>
      <c r="Y33" s="128">
        <f t="shared" si="24"/>
        <v>198</v>
      </c>
      <c r="Z33" s="128">
        <f t="shared" si="24"/>
        <v>198</v>
      </c>
    </row>
    <row r="34" spans="3:26" ht="14.25" customHeight="1" x14ac:dyDescent="0.25">
      <c r="C34" s="30"/>
      <c r="D34" s="30"/>
      <c r="E34" s="30"/>
      <c r="F34" s="30"/>
      <c r="G34" s="30"/>
      <c r="H34" s="30"/>
      <c r="I34" s="30"/>
      <c r="J34" s="30"/>
      <c r="L34" s="30"/>
      <c r="M34" s="30"/>
      <c r="N34" s="30"/>
      <c r="P34" s="21" t="s">
        <v>39</v>
      </c>
      <c r="Q34" s="128">
        <f>'Last MR Verified_Granja Silva'!C27</f>
        <v>198</v>
      </c>
      <c r="R34" s="128">
        <f>$Q$34</f>
        <v>198</v>
      </c>
      <c r="S34" s="128">
        <f t="shared" ref="S34:Z34" si="25">$Q$34</f>
        <v>198</v>
      </c>
      <c r="T34" s="128">
        <f t="shared" si="25"/>
        <v>198</v>
      </c>
      <c r="U34" s="128">
        <f t="shared" si="25"/>
        <v>198</v>
      </c>
      <c r="V34" s="128">
        <f t="shared" si="25"/>
        <v>198</v>
      </c>
      <c r="W34" s="128">
        <f t="shared" si="25"/>
        <v>198</v>
      </c>
      <c r="X34" s="128">
        <f t="shared" si="25"/>
        <v>198</v>
      </c>
      <c r="Y34" s="128">
        <f t="shared" si="25"/>
        <v>198</v>
      </c>
      <c r="Z34" s="128">
        <f t="shared" si="25"/>
        <v>198</v>
      </c>
    </row>
    <row r="35" spans="3:26" ht="12.75" customHeight="1" x14ac:dyDescent="0.25">
      <c r="C35" s="30"/>
      <c r="D35" s="30"/>
      <c r="E35" s="30"/>
      <c r="F35" s="30"/>
      <c r="G35" s="30"/>
      <c r="H35" s="30"/>
      <c r="I35" s="30"/>
      <c r="J35" s="30"/>
      <c r="L35" s="30"/>
      <c r="M35" s="30"/>
      <c r="N35" s="30"/>
      <c r="P35" s="21" t="s">
        <v>41</v>
      </c>
      <c r="Q35" s="128">
        <f>'Last MR Verified_Granja Silva'!C37</f>
        <v>198</v>
      </c>
      <c r="R35" s="128">
        <f>$Q$35</f>
        <v>198</v>
      </c>
      <c r="S35" s="128">
        <f t="shared" ref="S35:Z35" si="26">$Q$35</f>
        <v>198</v>
      </c>
      <c r="T35" s="128">
        <f t="shared" si="26"/>
        <v>198</v>
      </c>
      <c r="U35" s="128">
        <f t="shared" si="26"/>
        <v>198</v>
      </c>
      <c r="V35" s="128">
        <f t="shared" si="26"/>
        <v>198</v>
      </c>
      <c r="W35" s="128">
        <f t="shared" si="26"/>
        <v>198</v>
      </c>
      <c r="X35" s="128">
        <f t="shared" si="26"/>
        <v>198</v>
      </c>
      <c r="Y35" s="128">
        <f t="shared" si="26"/>
        <v>198</v>
      </c>
      <c r="Z35" s="128">
        <f t="shared" si="26"/>
        <v>198</v>
      </c>
    </row>
    <row r="36" spans="3:26" x14ac:dyDescent="0.25">
      <c r="C36" s="30"/>
      <c r="D36" s="30"/>
      <c r="E36" s="30"/>
      <c r="F36" s="30"/>
      <c r="G36" s="30"/>
      <c r="H36" s="30"/>
      <c r="I36" s="30"/>
      <c r="J36" s="30"/>
      <c r="L36" s="30"/>
      <c r="M36" s="30"/>
      <c r="N36" s="30"/>
      <c r="O36" s="69"/>
      <c r="P36" s="21" t="s">
        <v>50</v>
      </c>
      <c r="Q36" s="128">
        <f>'Last MR Verified_Granja Silva'!C47</f>
        <v>4.7466085154163995</v>
      </c>
      <c r="R36" s="128">
        <f>$Q$36</f>
        <v>4.7466085154163995</v>
      </c>
      <c r="S36" s="128">
        <f t="shared" ref="S36:Z36" si="27">$Q$36</f>
        <v>4.7466085154163995</v>
      </c>
      <c r="T36" s="128">
        <f t="shared" si="27"/>
        <v>4.7466085154163995</v>
      </c>
      <c r="U36" s="128">
        <f t="shared" si="27"/>
        <v>4.7466085154163995</v>
      </c>
      <c r="V36" s="128">
        <f t="shared" si="27"/>
        <v>4.7466085154163995</v>
      </c>
      <c r="W36" s="128">
        <f t="shared" si="27"/>
        <v>4.7466085154163995</v>
      </c>
      <c r="X36" s="128">
        <f t="shared" si="27"/>
        <v>4.7466085154163995</v>
      </c>
      <c r="Y36" s="128">
        <f t="shared" si="27"/>
        <v>4.7466085154163995</v>
      </c>
      <c r="Z36" s="128">
        <f t="shared" si="27"/>
        <v>4.7466085154163995</v>
      </c>
    </row>
    <row r="37" spans="3:26" ht="15" customHeight="1" x14ac:dyDescent="0.25">
      <c r="C37" s="30"/>
      <c r="D37" s="30"/>
      <c r="E37" s="30"/>
      <c r="F37" s="30"/>
      <c r="G37" s="30"/>
      <c r="H37" s="30"/>
      <c r="I37" s="30"/>
      <c r="J37" s="30"/>
      <c r="L37" s="30"/>
      <c r="M37" s="30"/>
      <c r="N37" s="30"/>
      <c r="P37" s="21" t="s">
        <v>30</v>
      </c>
      <c r="Q37" s="128">
        <v>0</v>
      </c>
      <c r="R37" s="128">
        <f>$Q$37</f>
        <v>0</v>
      </c>
      <c r="S37" s="128">
        <f t="shared" ref="S37:Z37" si="28">$Q$37</f>
        <v>0</v>
      </c>
      <c r="T37" s="128">
        <f t="shared" si="28"/>
        <v>0</v>
      </c>
      <c r="U37" s="128">
        <f t="shared" si="28"/>
        <v>0</v>
      </c>
      <c r="V37" s="128">
        <f t="shared" si="28"/>
        <v>0</v>
      </c>
      <c r="W37" s="128">
        <f t="shared" si="28"/>
        <v>0</v>
      </c>
      <c r="X37" s="128">
        <f t="shared" si="28"/>
        <v>0</v>
      </c>
      <c r="Y37" s="128">
        <f t="shared" si="28"/>
        <v>0</v>
      </c>
      <c r="Z37" s="128">
        <f t="shared" si="28"/>
        <v>0</v>
      </c>
    </row>
    <row r="38" spans="3:26" x14ac:dyDescent="0.25">
      <c r="C38" s="30"/>
      <c r="D38" s="30"/>
      <c r="E38" s="30"/>
      <c r="F38" s="30"/>
      <c r="G38" s="30"/>
      <c r="H38" s="30"/>
      <c r="I38" s="30"/>
      <c r="J38" s="30"/>
      <c r="L38" s="30"/>
      <c r="M38" s="30"/>
      <c r="N38" s="30"/>
      <c r="P38" s="21" t="s">
        <v>31</v>
      </c>
      <c r="Q38" s="128">
        <v>0</v>
      </c>
      <c r="R38" s="128">
        <f>$Q$38</f>
        <v>0</v>
      </c>
      <c r="S38" s="128">
        <f t="shared" ref="S38:Z38" si="29">$Q$38</f>
        <v>0</v>
      </c>
      <c r="T38" s="128">
        <f t="shared" si="29"/>
        <v>0</v>
      </c>
      <c r="U38" s="128">
        <f t="shared" si="29"/>
        <v>0</v>
      </c>
      <c r="V38" s="128">
        <f t="shared" si="29"/>
        <v>0</v>
      </c>
      <c r="W38" s="128">
        <f t="shared" si="29"/>
        <v>0</v>
      </c>
      <c r="X38" s="128">
        <f t="shared" si="29"/>
        <v>0</v>
      </c>
      <c r="Y38" s="128">
        <f t="shared" si="29"/>
        <v>0</v>
      </c>
      <c r="Z38" s="128">
        <f t="shared" si="29"/>
        <v>0</v>
      </c>
    </row>
    <row r="39" spans="3:26" x14ac:dyDescent="0.25">
      <c r="C39" s="30"/>
      <c r="D39" s="30"/>
      <c r="E39" s="30"/>
      <c r="F39" s="30"/>
      <c r="G39" s="30"/>
      <c r="H39" s="30"/>
      <c r="I39" s="30"/>
      <c r="J39" s="30"/>
      <c r="L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22">
        <f>(Q32/$M$19)*$M$15*Q50</f>
        <v>107.80517896995707</v>
      </c>
      <c r="R41" s="22">
        <f t="shared" ref="R41:Z47" si="30">$Q41</f>
        <v>107.80517896995707</v>
      </c>
      <c r="S41" s="22">
        <f t="shared" si="30"/>
        <v>107.80517896995707</v>
      </c>
      <c r="T41" s="22">
        <f t="shared" si="30"/>
        <v>107.80517896995707</v>
      </c>
      <c r="U41" s="22">
        <f t="shared" si="30"/>
        <v>107.80517896995707</v>
      </c>
      <c r="V41" s="22">
        <f t="shared" si="30"/>
        <v>107.80517896995707</v>
      </c>
      <c r="W41" s="22">
        <f t="shared" si="30"/>
        <v>107.80517896995707</v>
      </c>
      <c r="X41" s="22">
        <f t="shared" si="30"/>
        <v>107.80517896995707</v>
      </c>
      <c r="Y41" s="22">
        <f t="shared" si="30"/>
        <v>107.80517896995707</v>
      </c>
      <c r="Z41" s="22">
        <f t="shared" si="30"/>
        <v>107.80517896995707</v>
      </c>
    </row>
    <row r="42" spans="3:26" x14ac:dyDescent="0.25">
      <c r="L42" s="30"/>
      <c r="M42" s="30"/>
      <c r="N42" s="30"/>
      <c r="P42" s="21" t="s">
        <v>26</v>
      </c>
      <c r="Q42" s="22">
        <f>(Q33/$M$19)*$M$15*Q51</f>
        <v>107.80517896995707</v>
      </c>
      <c r="R42" s="22">
        <f t="shared" si="30"/>
        <v>107.80517896995707</v>
      </c>
      <c r="S42" s="22">
        <f t="shared" si="30"/>
        <v>107.80517896995707</v>
      </c>
      <c r="T42" s="22">
        <f t="shared" si="30"/>
        <v>107.80517896995707</v>
      </c>
      <c r="U42" s="22">
        <f t="shared" si="30"/>
        <v>107.80517896995707</v>
      </c>
      <c r="V42" s="22">
        <f t="shared" si="30"/>
        <v>107.80517896995707</v>
      </c>
      <c r="W42" s="22">
        <f t="shared" si="30"/>
        <v>107.80517896995707</v>
      </c>
      <c r="X42" s="22">
        <f t="shared" si="30"/>
        <v>107.80517896995707</v>
      </c>
      <c r="Y42" s="22">
        <f t="shared" si="30"/>
        <v>107.80517896995707</v>
      </c>
      <c r="Z42" s="22">
        <f t="shared" si="30"/>
        <v>107.80517896995707</v>
      </c>
    </row>
    <row r="43" spans="3:26" x14ac:dyDescent="0.25">
      <c r="L43" s="30"/>
      <c r="M43" s="30"/>
      <c r="N43" s="30"/>
      <c r="P43" s="21" t="s">
        <v>39</v>
      </c>
      <c r="Q43" s="22">
        <f>(Q34/$M$19)*$M$15*Q52</f>
        <v>107.80517896995707</v>
      </c>
      <c r="R43" s="22">
        <f t="shared" si="30"/>
        <v>107.80517896995707</v>
      </c>
      <c r="S43" s="22">
        <f t="shared" si="30"/>
        <v>107.80517896995707</v>
      </c>
      <c r="T43" s="22">
        <f t="shared" si="30"/>
        <v>107.80517896995707</v>
      </c>
      <c r="U43" s="22">
        <f t="shared" si="30"/>
        <v>107.80517896995707</v>
      </c>
      <c r="V43" s="22">
        <f t="shared" si="30"/>
        <v>107.80517896995707</v>
      </c>
      <c r="W43" s="22">
        <f t="shared" si="30"/>
        <v>107.80517896995707</v>
      </c>
      <c r="X43" s="22">
        <f t="shared" si="30"/>
        <v>107.80517896995707</v>
      </c>
      <c r="Y43" s="22">
        <f t="shared" si="30"/>
        <v>107.80517896995707</v>
      </c>
      <c r="Z43" s="22">
        <f t="shared" si="30"/>
        <v>107.80517896995707</v>
      </c>
    </row>
    <row r="44" spans="3:26" x14ac:dyDescent="0.25">
      <c r="L44" s="30"/>
      <c r="M44" s="30"/>
      <c r="N44" s="30"/>
      <c r="P44" s="21" t="s">
        <v>41</v>
      </c>
      <c r="Q44" s="22">
        <f>(Q35/$M$19)*$M$15*Q53</f>
        <v>107.80517896995707</v>
      </c>
      <c r="R44" s="22">
        <f t="shared" si="30"/>
        <v>107.80517896995707</v>
      </c>
      <c r="S44" s="22">
        <f t="shared" si="30"/>
        <v>107.80517896995707</v>
      </c>
      <c r="T44" s="22">
        <f t="shared" si="30"/>
        <v>107.80517896995707</v>
      </c>
      <c r="U44" s="22">
        <f t="shared" si="30"/>
        <v>107.80517896995707</v>
      </c>
      <c r="V44" s="22">
        <f t="shared" si="30"/>
        <v>107.80517896995707</v>
      </c>
      <c r="W44" s="22">
        <f t="shared" si="30"/>
        <v>107.80517896995707</v>
      </c>
      <c r="X44" s="22">
        <f t="shared" si="30"/>
        <v>107.80517896995707</v>
      </c>
      <c r="Y44" s="22">
        <f t="shared" si="30"/>
        <v>107.80517896995707</v>
      </c>
      <c r="Z44" s="22">
        <f t="shared" si="30"/>
        <v>107.80517896995707</v>
      </c>
    </row>
    <row r="45" spans="3:26" x14ac:dyDescent="0.25">
      <c r="L45" s="30"/>
      <c r="M45" s="30"/>
      <c r="N45" s="30"/>
      <c r="P45" s="21" t="s">
        <v>50</v>
      </c>
      <c r="Q45" s="22">
        <f>(Q36/$M$27)*$M$23*Q54</f>
        <v>6.5369834110831402</v>
      </c>
      <c r="R45" s="22">
        <f t="shared" si="30"/>
        <v>6.5369834110831402</v>
      </c>
      <c r="S45" s="22">
        <f t="shared" si="30"/>
        <v>6.5369834110831402</v>
      </c>
      <c r="T45" s="22">
        <f t="shared" si="30"/>
        <v>6.5369834110831402</v>
      </c>
      <c r="U45" s="22">
        <f t="shared" si="30"/>
        <v>6.5369834110831402</v>
      </c>
      <c r="V45" s="22">
        <f t="shared" si="30"/>
        <v>6.5369834110831402</v>
      </c>
      <c r="W45" s="22">
        <f t="shared" si="30"/>
        <v>6.5369834110831402</v>
      </c>
      <c r="X45" s="22">
        <f t="shared" si="30"/>
        <v>6.5369834110831402</v>
      </c>
      <c r="Y45" s="22">
        <f t="shared" si="30"/>
        <v>6.5369834110831402</v>
      </c>
      <c r="Z45" s="22">
        <f t="shared" si="30"/>
        <v>6.5369834110831402</v>
      </c>
    </row>
    <row r="46" spans="3:26" x14ac:dyDescent="0.25">
      <c r="L46" s="30"/>
      <c r="M46" s="30"/>
      <c r="N46" s="30"/>
      <c r="P46" s="21" t="s">
        <v>30</v>
      </c>
      <c r="Q46" s="22">
        <f>(Q37/$M$27)*$M$23*Q55</f>
        <v>0</v>
      </c>
      <c r="R46" s="22">
        <f t="shared" si="30"/>
        <v>0</v>
      </c>
      <c r="S46" s="22">
        <f t="shared" si="30"/>
        <v>0</v>
      </c>
      <c r="T46" s="22">
        <f t="shared" si="30"/>
        <v>0</v>
      </c>
      <c r="U46" s="22">
        <f t="shared" si="30"/>
        <v>0</v>
      </c>
      <c r="V46" s="22">
        <f t="shared" si="30"/>
        <v>0</v>
      </c>
      <c r="W46" s="22">
        <f t="shared" si="30"/>
        <v>0</v>
      </c>
      <c r="X46" s="22">
        <f t="shared" si="30"/>
        <v>0</v>
      </c>
      <c r="Y46" s="22">
        <f t="shared" si="30"/>
        <v>0</v>
      </c>
      <c r="Z46" s="22">
        <f t="shared" si="30"/>
        <v>0</v>
      </c>
    </row>
    <row r="47" spans="3:26" x14ac:dyDescent="0.25">
      <c r="L47" s="30"/>
      <c r="M47" s="30"/>
      <c r="N47" s="30"/>
      <c r="P47" s="21" t="s">
        <v>31</v>
      </c>
      <c r="Q47" s="22">
        <f>(Q38/$M$27)*$M$23*Q56</f>
        <v>0</v>
      </c>
      <c r="R47" s="22">
        <f t="shared" si="30"/>
        <v>0</v>
      </c>
      <c r="S47" s="22">
        <f t="shared" si="30"/>
        <v>0</v>
      </c>
      <c r="T47" s="22">
        <f t="shared" si="30"/>
        <v>0</v>
      </c>
      <c r="U47" s="22">
        <f t="shared" si="30"/>
        <v>0</v>
      </c>
      <c r="V47" s="22">
        <f t="shared" si="30"/>
        <v>0</v>
      </c>
      <c r="W47" s="22">
        <f t="shared" si="30"/>
        <v>0</v>
      </c>
      <c r="X47" s="22">
        <f t="shared" si="30"/>
        <v>0</v>
      </c>
      <c r="Y47" s="22">
        <f t="shared" si="30"/>
        <v>0</v>
      </c>
      <c r="Z47" s="22">
        <f t="shared" si="30"/>
        <v>0</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90">
        <f>'Last MR Verified_Granja Silva'!C8</f>
        <v>320.27682403433477</v>
      </c>
      <c r="R50" s="128">
        <f t="shared" ref="R50:Z56" si="31">$Q50</f>
        <v>320.27682403433477</v>
      </c>
      <c r="S50" s="128">
        <f t="shared" si="31"/>
        <v>320.27682403433477</v>
      </c>
      <c r="T50" s="128">
        <f t="shared" si="31"/>
        <v>320.27682403433477</v>
      </c>
      <c r="U50" s="128">
        <f t="shared" si="31"/>
        <v>320.27682403433477</v>
      </c>
      <c r="V50" s="128">
        <f t="shared" si="31"/>
        <v>320.27682403433477</v>
      </c>
      <c r="W50" s="128">
        <f t="shared" si="31"/>
        <v>320.27682403433477</v>
      </c>
      <c r="X50" s="128">
        <f t="shared" si="31"/>
        <v>320.27682403433477</v>
      </c>
      <c r="Y50" s="128">
        <f t="shared" si="31"/>
        <v>320.27682403433477</v>
      </c>
      <c r="Z50" s="128">
        <f t="shared" si="31"/>
        <v>320.27682403433477</v>
      </c>
    </row>
    <row r="51" spans="15:26" x14ac:dyDescent="0.25">
      <c r="O51" s="30"/>
      <c r="P51" s="21" t="s">
        <v>26</v>
      </c>
      <c r="Q51" s="90">
        <f>'Last MR Verified_Granja Silva'!C18</f>
        <v>320.27682403433477</v>
      </c>
      <c r="R51" s="128">
        <f t="shared" si="31"/>
        <v>320.27682403433477</v>
      </c>
      <c r="S51" s="128">
        <f t="shared" si="31"/>
        <v>320.27682403433477</v>
      </c>
      <c r="T51" s="128">
        <f t="shared" si="31"/>
        <v>320.27682403433477</v>
      </c>
      <c r="U51" s="128">
        <f t="shared" si="31"/>
        <v>320.27682403433477</v>
      </c>
      <c r="V51" s="128">
        <f t="shared" si="31"/>
        <v>320.27682403433477</v>
      </c>
      <c r="W51" s="128">
        <f t="shared" si="31"/>
        <v>320.27682403433477</v>
      </c>
      <c r="X51" s="128">
        <f t="shared" si="31"/>
        <v>320.27682403433477</v>
      </c>
      <c r="Y51" s="128">
        <f t="shared" si="31"/>
        <v>320.27682403433477</v>
      </c>
      <c r="Z51" s="128">
        <f t="shared" si="31"/>
        <v>320.27682403433477</v>
      </c>
    </row>
    <row r="52" spans="15:26" x14ac:dyDescent="0.25">
      <c r="O52" s="30"/>
      <c r="P52" s="21" t="s">
        <v>39</v>
      </c>
      <c r="Q52" s="90">
        <f>'Last MR Verified_Granja Silva'!C28</f>
        <v>320.27682403433477</v>
      </c>
      <c r="R52" s="128">
        <f t="shared" si="31"/>
        <v>320.27682403433477</v>
      </c>
      <c r="S52" s="128">
        <f t="shared" si="31"/>
        <v>320.27682403433477</v>
      </c>
      <c r="T52" s="128">
        <f t="shared" si="31"/>
        <v>320.27682403433477</v>
      </c>
      <c r="U52" s="128">
        <f t="shared" si="31"/>
        <v>320.27682403433477</v>
      </c>
      <c r="V52" s="128">
        <f t="shared" si="31"/>
        <v>320.27682403433477</v>
      </c>
      <c r="W52" s="128">
        <f t="shared" si="31"/>
        <v>320.27682403433477</v>
      </c>
      <c r="X52" s="128">
        <f t="shared" si="31"/>
        <v>320.27682403433477</v>
      </c>
      <c r="Y52" s="128">
        <f t="shared" si="31"/>
        <v>320.27682403433477</v>
      </c>
      <c r="Z52" s="128">
        <f t="shared" si="31"/>
        <v>320.27682403433477</v>
      </c>
    </row>
    <row r="53" spans="15:26" x14ac:dyDescent="0.25">
      <c r="O53" s="30"/>
      <c r="P53" s="21" t="s">
        <v>41</v>
      </c>
      <c r="Q53" s="90">
        <f>'Last MR Verified_Granja Silva'!C38</f>
        <v>320.27682403433477</v>
      </c>
      <c r="R53" s="128">
        <f t="shared" si="31"/>
        <v>320.27682403433477</v>
      </c>
      <c r="S53" s="128">
        <f t="shared" si="31"/>
        <v>320.27682403433477</v>
      </c>
      <c r="T53" s="128">
        <f t="shared" si="31"/>
        <v>320.27682403433477</v>
      </c>
      <c r="U53" s="128">
        <f t="shared" si="31"/>
        <v>320.27682403433477</v>
      </c>
      <c r="V53" s="128">
        <f t="shared" si="31"/>
        <v>320.27682403433477</v>
      </c>
      <c r="W53" s="128">
        <f t="shared" si="31"/>
        <v>320.27682403433477</v>
      </c>
      <c r="X53" s="128">
        <f t="shared" si="31"/>
        <v>320.27682403433477</v>
      </c>
      <c r="Y53" s="128">
        <f t="shared" si="31"/>
        <v>320.27682403433477</v>
      </c>
      <c r="Z53" s="128">
        <f t="shared" si="31"/>
        <v>320.27682403433477</v>
      </c>
    </row>
    <row r="54" spans="15:26" x14ac:dyDescent="0.25">
      <c r="O54" s="30"/>
      <c r="P54" s="21" t="s">
        <v>50</v>
      </c>
      <c r="Q54" s="90">
        <f>'Last MR Verified_Granja Silva'!C48</f>
        <v>320.27682403433477</v>
      </c>
      <c r="R54" s="128">
        <f t="shared" si="31"/>
        <v>320.27682403433477</v>
      </c>
      <c r="S54" s="128">
        <f t="shared" si="31"/>
        <v>320.27682403433477</v>
      </c>
      <c r="T54" s="128">
        <f t="shared" si="31"/>
        <v>320.27682403433477</v>
      </c>
      <c r="U54" s="128">
        <f t="shared" si="31"/>
        <v>320.27682403433477</v>
      </c>
      <c r="V54" s="128">
        <f t="shared" si="31"/>
        <v>320.27682403433477</v>
      </c>
      <c r="W54" s="128">
        <f t="shared" si="31"/>
        <v>320.27682403433477</v>
      </c>
      <c r="X54" s="128">
        <f t="shared" si="31"/>
        <v>320.27682403433477</v>
      </c>
      <c r="Y54" s="128">
        <f t="shared" si="31"/>
        <v>320.27682403433477</v>
      </c>
      <c r="Z54" s="128">
        <f t="shared" si="31"/>
        <v>320.27682403433477</v>
      </c>
    </row>
    <row r="55" spans="15:26" x14ac:dyDescent="0.25">
      <c r="O55" s="30"/>
      <c r="P55" s="21" t="s">
        <v>30</v>
      </c>
      <c r="Q55" s="90">
        <v>0</v>
      </c>
      <c r="R55" s="128">
        <f t="shared" si="31"/>
        <v>0</v>
      </c>
      <c r="S55" s="128">
        <f t="shared" si="31"/>
        <v>0</v>
      </c>
      <c r="T55" s="128">
        <f t="shared" si="31"/>
        <v>0</v>
      </c>
      <c r="U55" s="128">
        <f t="shared" si="31"/>
        <v>0</v>
      </c>
      <c r="V55" s="128">
        <f t="shared" si="31"/>
        <v>0</v>
      </c>
      <c r="W55" s="128">
        <f t="shared" si="31"/>
        <v>0</v>
      </c>
      <c r="X55" s="128">
        <f t="shared" si="31"/>
        <v>0</v>
      </c>
      <c r="Y55" s="128">
        <f t="shared" si="31"/>
        <v>0</v>
      </c>
      <c r="Z55" s="128">
        <f t="shared" si="31"/>
        <v>0</v>
      </c>
    </row>
    <row r="56" spans="15:26" x14ac:dyDescent="0.25">
      <c r="O56" s="30"/>
      <c r="P56" s="21" t="s">
        <v>31</v>
      </c>
      <c r="Q56" s="90">
        <v>0</v>
      </c>
      <c r="R56" s="128">
        <f t="shared" si="31"/>
        <v>0</v>
      </c>
      <c r="S56" s="128">
        <f t="shared" si="31"/>
        <v>0</v>
      </c>
      <c r="T56" s="128">
        <f t="shared" si="31"/>
        <v>0</v>
      </c>
      <c r="U56" s="128">
        <f t="shared" si="31"/>
        <v>0</v>
      </c>
      <c r="V56" s="128">
        <f t="shared" si="31"/>
        <v>0</v>
      </c>
      <c r="W56" s="128">
        <f t="shared" si="31"/>
        <v>0</v>
      </c>
      <c r="X56" s="128">
        <f t="shared" si="31"/>
        <v>0</v>
      </c>
      <c r="Y56" s="128">
        <f t="shared" si="31"/>
        <v>0</v>
      </c>
      <c r="Z56" s="128">
        <f t="shared" si="31"/>
        <v>0</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P48:Z48"/>
    <mergeCell ref="P30:Z30"/>
    <mergeCell ref="P39:Z39"/>
    <mergeCell ref="P21:Z21"/>
    <mergeCell ref="L22:N22"/>
    <mergeCell ref="L24:N24"/>
    <mergeCell ref="L26:N26"/>
    <mergeCell ref="L20:N20"/>
    <mergeCell ref="B2:J2"/>
    <mergeCell ref="L2:N2"/>
    <mergeCell ref="L14:N14"/>
    <mergeCell ref="L16:N16"/>
    <mergeCell ref="L18:N18"/>
    <mergeCell ref="P2:Z2"/>
    <mergeCell ref="P3:Z3"/>
    <mergeCell ref="B5:J5"/>
    <mergeCell ref="L10:N11"/>
    <mergeCell ref="L12:N12"/>
    <mergeCell ref="P12:Z12"/>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E56E-51FB-481B-B6E8-1A39EFAC0A7D}">
  <sheetPr>
    <tabColor theme="8" tint="0.39997558519241921"/>
  </sheetPr>
  <dimension ref="A1:BE35"/>
  <sheetViews>
    <sheetView showGridLines="0" topLeftCell="J1" zoomScale="80" zoomScaleNormal="80" workbookViewId="0">
      <selection activeCell="L11" sqref="L11"/>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x14ac:dyDescent="0.2">
      <c r="B4" s="15"/>
      <c r="C4" s="15"/>
      <c r="D4" s="15"/>
      <c r="E4" s="15"/>
      <c r="F4" s="15"/>
      <c r="G4" s="15"/>
      <c r="H4" s="15"/>
      <c r="I4" s="35"/>
      <c r="J4" s="21" t="s">
        <v>25</v>
      </c>
      <c r="K4" s="36">
        <v>4.9000000000000004</v>
      </c>
      <c r="L4" s="36">
        <f>'BEy_Granja Silva'!Q23*'BEy_Granja Silva'!Q50*K4</f>
        <v>61824.930190593375</v>
      </c>
      <c r="M4" s="36">
        <f>$L$4</f>
        <v>61824.930190593375</v>
      </c>
      <c r="N4" s="36">
        <f t="shared" ref="N4:U4" si="0">$L$4</f>
        <v>61824.930190593375</v>
      </c>
      <c r="O4" s="36">
        <f t="shared" si="0"/>
        <v>61824.930190593375</v>
      </c>
      <c r="P4" s="36">
        <f t="shared" si="0"/>
        <v>61824.930190593375</v>
      </c>
      <c r="Q4" s="36">
        <f t="shared" si="0"/>
        <v>61824.930190593375</v>
      </c>
      <c r="R4" s="36">
        <f t="shared" si="0"/>
        <v>61824.930190593375</v>
      </c>
      <c r="S4" s="36">
        <f t="shared" si="0"/>
        <v>61824.930190593375</v>
      </c>
      <c r="T4" s="36">
        <f t="shared" si="0"/>
        <v>61824.930190593375</v>
      </c>
      <c r="U4" s="36">
        <f t="shared" si="0"/>
        <v>61824.930190593375</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157" t="s">
        <v>56</v>
      </c>
      <c r="C5" s="157"/>
      <c r="D5" s="157"/>
      <c r="E5" s="157"/>
      <c r="F5" s="157"/>
      <c r="G5" s="157"/>
      <c r="H5" s="157"/>
      <c r="I5" s="35"/>
      <c r="J5" s="21" t="s">
        <v>26</v>
      </c>
      <c r="K5" s="36">
        <v>11</v>
      </c>
      <c r="L5" s="36">
        <f>'BEy_Granja Silva'!Q24*'BEy_Granja Silva'!Q51*K5</f>
        <v>771059.22006408975</v>
      </c>
      <c r="M5" s="36">
        <f t="shared" ref="M5:U5" si="1">$L$5</f>
        <v>771059.22006408975</v>
      </c>
      <c r="N5" s="36">
        <f t="shared" si="1"/>
        <v>771059.22006408975</v>
      </c>
      <c r="O5" s="36">
        <f t="shared" si="1"/>
        <v>771059.22006408975</v>
      </c>
      <c r="P5" s="36">
        <f t="shared" si="1"/>
        <v>771059.22006408975</v>
      </c>
      <c r="Q5" s="36">
        <f t="shared" si="1"/>
        <v>771059.22006408975</v>
      </c>
      <c r="R5" s="36">
        <f t="shared" si="1"/>
        <v>771059.22006408975</v>
      </c>
      <c r="S5" s="36">
        <f t="shared" si="1"/>
        <v>771059.22006408975</v>
      </c>
      <c r="T5" s="36">
        <f t="shared" si="1"/>
        <v>771059.22006408975</v>
      </c>
      <c r="U5" s="36">
        <f t="shared" si="1"/>
        <v>771059.22006408975</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ht="15.75" x14ac:dyDescent="0.2">
      <c r="B6" s="23" t="s">
        <v>2</v>
      </c>
      <c r="C6" s="23" t="s">
        <v>57</v>
      </c>
      <c r="D6" s="23" t="s">
        <v>58</v>
      </c>
      <c r="E6" s="23" t="s">
        <v>59</v>
      </c>
      <c r="F6" s="23" t="s">
        <v>60</v>
      </c>
      <c r="G6" s="23" t="s">
        <v>61</v>
      </c>
      <c r="H6" s="23" t="s">
        <v>62</v>
      </c>
      <c r="I6" s="35"/>
      <c r="J6" s="21" t="s">
        <v>39</v>
      </c>
      <c r="K6" s="36">
        <v>18</v>
      </c>
      <c r="L6" s="36">
        <f>'BEy_Granja Silva'!Q25*'BEy_Granja Silva'!Q52*K6</f>
        <v>252346.65383915661</v>
      </c>
      <c r="M6" s="36">
        <f>$L$6</f>
        <v>252346.65383915661</v>
      </c>
      <c r="N6" s="36">
        <f t="shared" ref="N6:U6" si="2">$L$6</f>
        <v>252346.65383915661</v>
      </c>
      <c r="O6" s="36">
        <f t="shared" si="2"/>
        <v>252346.65383915661</v>
      </c>
      <c r="P6" s="36">
        <f t="shared" si="2"/>
        <v>252346.65383915661</v>
      </c>
      <c r="Q6" s="36">
        <f t="shared" si="2"/>
        <v>252346.65383915661</v>
      </c>
      <c r="R6" s="36">
        <f t="shared" si="2"/>
        <v>252346.65383915661</v>
      </c>
      <c r="S6" s="36">
        <f t="shared" si="2"/>
        <v>252346.65383915661</v>
      </c>
      <c r="T6" s="36">
        <f t="shared" si="2"/>
        <v>252346.65383915661</v>
      </c>
      <c r="U6" s="36">
        <f t="shared" si="2"/>
        <v>252346.65383915661</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
      <c r="B7" s="24">
        <v>2021</v>
      </c>
      <c r="C7" s="36">
        <f>L17</f>
        <v>2.787724759832753</v>
      </c>
      <c r="D7" s="37">
        <v>0</v>
      </c>
      <c r="E7" s="36">
        <f>L20</f>
        <v>68.424351078520814</v>
      </c>
      <c r="F7" s="41">
        <f>L24</f>
        <v>64.758760842171483</v>
      </c>
      <c r="G7" s="37">
        <v>0</v>
      </c>
      <c r="H7" s="36">
        <f>ROUNDDOWN(SUM(C7:G7),)</f>
        <v>135</v>
      </c>
      <c r="I7" s="35"/>
      <c r="J7" s="21" t="s">
        <v>41</v>
      </c>
      <c r="K7" s="36">
        <v>6</v>
      </c>
      <c r="L7" s="36">
        <f>'BEy_Granja Silva'!Q26*'BEy_Granja Silva'!Q53*K7</f>
        <v>8411.5551279718857</v>
      </c>
      <c r="M7" s="36">
        <f>$L$7</f>
        <v>8411.5551279718857</v>
      </c>
      <c r="N7" s="36">
        <f t="shared" ref="N7:U7" si="3">$L$7</f>
        <v>8411.5551279718857</v>
      </c>
      <c r="O7" s="36">
        <f t="shared" si="3"/>
        <v>8411.5551279718857</v>
      </c>
      <c r="P7" s="36">
        <f t="shared" si="3"/>
        <v>8411.5551279718857</v>
      </c>
      <c r="Q7" s="36">
        <f t="shared" si="3"/>
        <v>8411.5551279718857</v>
      </c>
      <c r="R7" s="36">
        <f t="shared" si="3"/>
        <v>8411.5551279718857</v>
      </c>
      <c r="S7" s="36">
        <f t="shared" si="3"/>
        <v>8411.5551279718857</v>
      </c>
      <c r="T7" s="36">
        <f t="shared" si="3"/>
        <v>8411.5551279718857</v>
      </c>
      <c r="U7" s="36">
        <f t="shared" si="3"/>
        <v>8411.5551279718857</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2022</v>
      </c>
      <c r="C8" s="36">
        <f>M17</f>
        <v>2.787724759832753</v>
      </c>
      <c r="D8" s="37">
        <v>0</v>
      </c>
      <c r="E8" s="36">
        <f>M20</f>
        <v>68.424351078520814</v>
      </c>
      <c r="F8" s="41">
        <f>M24</f>
        <v>64.758760842171483</v>
      </c>
      <c r="G8" s="37">
        <v>0</v>
      </c>
      <c r="H8" s="36">
        <f t="shared" ref="H8:H16" si="4">ROUNDDOWN(SUM(C8:G8),)</f>
        <v>135</v>
      </c>
      <c r="J8" s="21" t="s">
        <v>29</v>
      </c>
      <c r="K8" s="36">
        <f>K9</f>
        <v>0.95</v>
      </c>
      <c r="L8" s="36">
        <f>'BEy_Granja Silva'!Q27*'BEy_Granja Silva'!Q54*K8</f>
        <v>128221.05289463172</v>
      </c>
      <c r="M8" s="36">
        <f>$L$8</f>
        <v>128221.05289463172</v>
      </c>
      <c r="N8" s="36">
        <f t="shared" ref="N8:U8" si="5">$L$8</f>
        <v>128221.05289463172</v>
      </c>
      <c r="O8" s="36">
        <f t="shared" si="5"/>
        <v>128221.05289463172</v>
      </c>
      <c r="P8" s="36">
        <f t="shared" si="5"/>
        <v>128221.05289463172</v>
      </c>
      <c r="Q8" s="36">
        <f t="shared" si="5"/>
        <v>128221.05289463172</v>
      </c>
      <c r="R8" s="36">
        <f t="shared" si="5"/>
        <v>128221.05289463172</v>
      </c>
      <c r="S8" s="36">
        <f t="shared" si="5"/>
        <v>128221.05289463172</v>
      </c>
      <c r="T8" s="36">
        <f t="shared" si="5"/>
        <v>128221.05289463172</v>
      </c>
      <c r="U8" s="36">
        <f t="shared" si="5"/>
        <v>128221.05289463172</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2023</v>
      </c>
      <c r="C9" s="36">
        <f>N17</f>
        <v>2.787724759832753</v>
      </c>
      <c r="D9" s="37">
        <v>0</v>
      </c>
      <c r="E9" s="36">
        <f>N20</f>
        <v>68.424351078520814</v>
      </c>
      <c r="F9" s="41">
        <f>N24</f>
        <v>64.758760842171483</v>
      </c>
      <c r="G9" s="37">
        <v>0</v>
      </c>
      <c r="H9" s="36">
        <f t="shared" si="4"/>
        <v>135</v>
      </c>
      <c r="J9" s="21" t="s">
        <v>44</v>
      </c>
      <c r="K9" s="36">
        <v>0.95</v>
      </c>
      <c r="L9" s="36">
        <f>'BEy_Granja Silva'!Q28*'BEy_Granja Silva'!Q55*K9</f>
        <v>0</v>
      </c>
      <c r="M9" s="36">
        <f>$L$9</f>
        <v>0</v>
      </c>
      <c r="N9" s="36">
        <f t="shared" ref="N9:U9" si="6">$L$9</f>
        <v>0</v>
      </c>
      <c r="O9" s="36">
        <f t="shared" si="6"/>
        <v>0</v>
      </c>
      <c r="P9" s="36">
        <f t="shared" si="6"/>
        <v>0</v>
      </c>
      <c r="Q9" s="36">
        <f t="shared" si="6"/>
        <v>0</v>
      </c>
      <c r="R9" s="36">
        <f t="shared" si="6"/>
        <v>0</v>
      </c>
      <c r="S9" s="36">
        <f t="shared" si="6"/>
        <v>0</v>
      </c>
      <c r="T9" s="36">
        <f t="shared" si="6"/>
        <v>0</v>
      </c>
      <c r="U9" s="36">
        <f t="shared" si="6"/>
        <v>0</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5">
      <c r="A10" s="39"/>
      <c r="B10" s="24">
        <v>2024</v>
      </c>
      <c r="C10" s="36">
        <f>O17</f>
        <v>2.787724759832753</v>
      </c>
      <c r="D10" s="37">
        <v>0</v>
      </c>
      <c r="E10" s="36">
        <f>O20</f>
        <v>68.424351078520814</v>
      </c>
      <c r="F10" s="41">
        <f>O24</f>
        <v>64.758760842171483</v>
      </c>
      <c r="G10" s="37">
        <v>0</v>
      </c>
      <c r="H10" s="36">
        <f t="shared" si="4"/>
        <v>135</v>
      </c>
      <c r="J10" s="21" t="s">
        <v>31</v>
      </c>
      <c r="K10" s="36">
        <v>4.9000000000000004</v>
      </c>
      <c r="L10" s="36">
        <f>'BEy_Granja Silva'!Q29*'BEy_Granja Silva'!Q56*K10</f>
        <v>0</v>
      </c>
      <c r="M10" s="36">
        <f>$L$10</f>
        <v>0</v>
      </c>
      <c r="N10" s="36">
        <f t="shared" ref="N10:U10" si="7">$L$10</f>
        <v>0</v>
      </c>
      <c r="O10" s="36">
        <f t="shared" si="7"/>
        <v>0</v>
      </c>
      <c r="P10" s="36">
        <f t="shared" si="7"/>
        <v>0</v>
      </c>
      <c r="Q10" s="36">
        <f t="shared" si="7"/>
        <v>0</v>
      </c>
      <c r="R10" s="36">
        <f t="shared" si="7"/>
        <v>0</v>
      </c>
      <c r="S10" s="36">
        <f t="shared" si="7"/>
        <v>0</v>
      </c>
      <c r="T10" s="36">
        <f t="shared" si="7"/>
        <v>0</v>
      </c>
      <c r="U10" s="36">
        <f t="shared" si="7"/>
        <v>0</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x14ac:dyDescent="0.2">
      <c r="B11" s="24">
        <v>2025</v>
      </c>
      <c r="C11" s="36">
        <f>P17</f>
        <v>2.787724759832753</v>
      </c>
      <c r="D11" s="37">
        <v>0</v>
      </c>
      <c r="E11" s="36">
        <f>P20</f>
        <v>68.424351078520814</v>
      </c>
      <c r="F11" s="41">
        <f>P24</f>
        <v>64.758760842171483</v>
      </c>
      <c r="G11" s="37">
        <v>0</v>
      </c>
      <c r="H11" s="36">
        <f t="shared" si="4"/>
        <v>135</v>
      </c>
      <c r="J11" s="40" t="s">
        <v>63</v>
      </c>
      <c r="K11" s="21" t="s">
        <v>64</v>
      </c>
      <c r="L11" s="36">
        <f>SUM(L4:L10)/1000</f>
        <v>1221.863412116443</v>
      </c>
      <c r="M11" s="36">
        <f t="shared" ref="M11:U11" si="8">SUM(M4:M10)/1000</f>
        <v>1221.863412116443</v>
      </c>
      <c r="N11" s="36">
        <f t="shared" si="8"/>
        <v>1221.863412116443</v>
      </c>
      <c r="O11" s="36">
        <f t="shared" si="8"/>
        <v>1221.863412116443</v>
      </c>
      <c r="P11" s="36">
        <f t="shared" si="8"/>
        <v>1221.863412116443</v>
      </c>
      <c r="Q11" s="36">
        <f t="shared" si="8"/>
        <v>1221.863412116443</v>
      </c>
      <c r="R11" s="36">
        <f t="shared" si="8"/>
        <v>1221.863412116443</v>
      </c>
      <c r="S11" s="36">
        <f t="shared" si="8"/>
        <v>1221.863412116443</v>
      </c>
      <c r="T11" s="36">
        <f t="shared" si="8"/>
        <v>1221.863412116443</v>
      </c>
      <c r="U11" s="36">
        <f t="shared" si="8"/>
        <v>1221.863412116443</v>
      </c>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2026</v>
      </c>
      <c r="C12" s="36">
        <f>S17</f>
        <v>2.787724759832753</v>
      </c>
      <c r="D12" s="37">
        <v>0</v>
      </c>
      <c r="E12" s="36">
        <f>Q20</f>
        <v>68.424351078520814</v>
      </c>
      <c r="F12" s="41">
        <f>Q24</f>
        <v>64.758760842171483</v>
      </c>
      <c r="G12" s="37">
        <v>0</v>
      </c>
      <c r="H12" s="36">
        <f t="shared" si="4"/>
        <v>135</v>
      </c>
      <c r="J12" s="152" t="s">
        <v>65</v>
      </c>
      <c r="K12" s="153"/>
      <c r="L12" s="153"/>
      <c r="M12" s="153"/>
      <c r="N12" s="153"/>
      <c r="O12" s="153"/>
      <c r="P12" s="153"/>
      <c r="Q12" s="153"/>
      <c r="R12" s="153"/>
      <c r="S12" s="153"/>
      <c r="T12" s="153"/>
      <c r="U12" s="153"/>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9.5" customHeight="1" x14ac:dyDescent="0.2">
      <c r="B13" s="24">
        <v>2027</v>
      </c>
      <c r="C13" s="36">
        <f>T17</f>
        <v>2.787724759832753</v>
      </c>
      <c r="D13" s="37">
        <v>0</v>
      </c>
      <c r="E13" s="36">
        <f>T20</f>
        <v>68.424351078520814</v>
      </c>
      <c r="F13" s="41">
        <f>R24</f>
        <v>64.758760842171483</v>
      </c>
      <c r="G13" s="37">
        <v>0</v>
      </c>
      <c r="H13" s="36">
        <f t="shared" si="4"/>
        <v>135</v>
      </c>
      <c r="J13" s="21" t="s">
        <v>66</v>
      </c>
      <c r="K13" s="21" t="s">
        <v>67</v>
      </c>
      <c r="L13" s="36">
        <v>0.01</v>
      </c>
      <c r="M13" s="36">
        <v>0.01</v>
      </c>
      <c r="N13" s="36">
        <v>0.01</v>
      </c>
      <c r="O13" s="36">
        <v>0.01</v>
      </c>
      <c r="P13" s="36">
        <v>0.01</v>
      </c>
      <c r="Q13" s="36">
        <v>0.01</v>
      </c>
      <c r="R13" s="36">
        <v>0.01</v>
      </c>
      <c r="S13" s="36">
        <v>0.01</v>
      </c>
      <c r="T13" s="36">
        <v>0.01</v>
      </c>
      <c r="U13" s="36">
        <v>0.01</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2028</v>
      </c>
      <c r="C14" s="36">
        <f>U17</f>
        <v>2.787724759832753</v>
      </c>
      <c r="D14" s="37">
        <v>0</v>
      </c>
      <c r="E14" s="36">
        <f>R20</f>
        <v>68.424351078520814</v>
      </c>
      <c r="F14" s="41">
        <f>S24</f>
        <v>64.758760842171483</v>
      </c>
      <c r="G14" s="37">
        <v>0</v>
      </c>
      <c r="H14" s="36">
        <f t="shared" si="4"/>
        <v>135</v>
      </c>
      <c r="J14" s="21" t="s">
        <v>68</v>
      </c>
      <c r="K14" s="21" t="s">
        <v>69</v>
      </c>
      <c r="L14" s="36">
        <f t="shared" ref="L14:U14" si="9">L13*L11</f>
        <v>12.218634121164429</v>
      </c>
      <c r="M14" s="36">
        <f t="shared" si="9"/>
        <v>12.218634121164429</v>
      </c>
      <c r="N14" s="36">
        <f t="shared" si="9"/>
        <v>12.218634121164429</v>
      </c>
      <c r="O14" s="36">
        <f t="shared" si="9"/>
        <v>12.218634121164429</v>
      </c>
      <c r="P14" s="36">
        <f t="shared" si="9"/>
        <v>12.218634121164429</v>
      </c>
      <c r="Q14" s="36">
        <f t="shared" si="9"/>
        <v>12.218634121164429</v>
      </c>
      <c r="R14" s="36">
        <f t="shared" si="9"/>
        <v>12.218634121164429</v>
      </c>
      <c r="S14" s="36">
        <f t="shared" si="9"/>
        <v>12.218634121164429</v>
      </c>
      <c r="T14" s="36">
        <f t="shared" si="9"/>
        <v>12.218634121164429</v>
      </c>
      <c r="U14" s="36">
        <f t="shared" si="9"/>
        <v>12.218634121164429</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2029</v>
      </c>
      <c r="C15" s="36">
        <f>T17</f>
        <v>2.787724759832753</v>
      </c>
      <c r="D15" s="37">
        <v>0</v>
      </c>
      <c r="E15" s="36">
        <f>S20</f>
        <v>68.424351078520814</v>
      </c>
      <c r="F15" s="41">
        <f>T24</f>
        <v>64.758760842171483</v>
      </c>
      <c r="G15" s="37">
        <v>0</v>
      </c>
      <c r="H15" s="36">
        <f t="shared" si="4"/>
        <v>135</v>
      </c>
      <c r="J15" s="21" t="s">
        <v>70</v>
      </c>
      <c r="K15" s="21" t="s">
        <v>71</v>
      </c>
      <c r="L15" s="36">
        <f>'Emission Factor of the Grid'!$L$30</f>
        <v>0.19012795894291856</v>
      </c>
      <c r="M15" s="36">
        <f>'Emission Factor of the Grid'!$L$30</f>
        <v>0.19012795894291856</v>
      </c>
      <c r="N15" s="36">
        <f>'Emission Factor of the Grid'!$L$30</f>
        <v>0.19012795894291856</v>
      </c>
      <c r="O15" s="36">
        <f>'Emission Factor of the Grid'!$L$30</f>
        <v>0.19012795894291856</v>
      </c>
      <c r="P15" s="36">
        <f>'Emission Factor of the Grid'!$L$30</f>
        <v>0.19012795894291856</v>
      </c>
      <c r="Q15" s="36">
        <f>'Emission Factor of the Grid'!$L$30</f>
        <v>0.19012795894291856</v>
      </c>
      <c r="R15" s="36">
        <f>'Emission Factor of the Grid'!$L$30</f>
        <v>0.19012795894291856</v>
      </c>
      <c r="S15" s="36">
        <f>'Emission Factor of the Grid'!$L$30</f>
        <v>0.19012795894291856</v>
      </c>
      <c r="T15" s="36">
        <f>'Emission Factor of the Grid'!$L$30</f>
        <v>0.19012795894291856</v>
      </c>
      <c r="U15" s="36">
        <f>'Emission Factor of the Grid'!$L$30</f>
        <v>0.19012795894291856</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B16" s="24">
        <v>2030</v>
      </c>
      <c r="C16" s="36">
        <f>U17</f>
        <v>2.787724759832753</v>
      </c>
      <c r="D16" s="37">
        <v>0</v>
      </c>
      <c r="E16" s="36">
        <f>T20</f>
        <v>68.424351078520814</v>
      </c>
      <c r="F16" s="41">
        <f>U24</f>
        <v>64.758760842171483</v>
      </c>
      <c r="G16" s="37">
        <v>0</v>
      </c>
      <c r="H16" s="36">
        <f t="shared" si="4"/>
        <v>135</v>
      </c>
      <c r="J16" s="21" t="s">
        <v>72</v>
      </c>
      <c r="K16" s="21" t="s">
        <v>73</v>
      </c>
      <c r="L16" s="70">
        <v>0.2</v>
      </c>
      <c r="M16" s="70">
        <v>0.2</v>
      </c>
      <c r="N16" s="70">
        <v>0.2</v>
      </c>
      <c r="O16" s="70">
        <v>0.2</v>
      </c>
      <c r="P16" s="70">
        <v>0.2</v>
      </c>
      <c r="Q16" s="70">
        <v>0.2</v>
      </c>
      <c r="R16" s="70">
        <v>0.2</v>
      </c>
      <c r="S16" s="70">
        <v>0.2</v>
      </c>
      <c r="T16" s="70">
        <v>0.2</v>
      </c>
      <c r="U16" s="70">
        <v>0.2</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21" t="s">
        <v>117</v>
      </c>
      <c r="K17" s="21" t="s">
        <v>74</v>
      </c>
      <c r="L17" s="36">
        <f>L14*L15*(1+L16)</f>
        <v>2.787724759832753</v>
      </c>
      <c r="M17" s="36">
        <f t="shared" ref="M17:U17" si="10">M14*M15*(1+M16)</f>
        <v>2.787724759832753</v>
      </c>
      <c r="N17" s="36">
        <f t="shared" si="10"/>
        <v>2.787724759832753</v>
      </c>
      <c r="O17" s="36">
        <f t="shared" si="10"/>
        <v>2.787724759832753</v>
      </c>
      <c r="P17" s="36">
        <f t="shared" si="10"/>
        <v>2.787724759832753</v>
      </c>
      <c r="Q17" s="36">
        <f t="shared" si="10"/>
        <v>2.787724759832753</v>
      </c>
      <c r="R17" s="36">
        <f t="shared" si="10"/>
        <v>2.787724759832753</v>
      </c>
      <c r="S17" s="36">
        <f t="shared" si="10"/>
        <v>2.787724759832753</v>
      </c>
      <c r="T17" s="36">
        <f t="shared" si="10"/>
        <v>2.787724759832753</v>
      </c>
      <c r="U17" s="36">
        <f t="shared" si="10"/>
        <v>2.787724759832753</v>
      </c>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5.75" x14ac:dyDescent="0.2">
      <c r="J18" s="152" t="s">
        <v>75</v>
      </c>
      <c r="K18" s="153"/>
      <c r="L18" s="153"/>
      <c r="M18" s="153"/>
      <c r="N18" s="153"/>
      <c r="O18" s="153"/>
      <c r="P18" s="153"/>
      <c r="Q18" s="153"/>
      <c r="R18" s="153"/>
      <c r="S18" s="153"/>
      <c r="T18" s="153"/>
      <c r="U18" s="153"/>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row>
    <row r="19" spans="10:57" ht="16.5" x14ac:dyDescent="0.2">
      <c r="J19" s="21" t="s">
        <v>76</v>
      </c>
      <c r="K19" s="21" t="s">
        <v>77</v>
      </c>
      <c r="L19" s="62">
        <v>2E-3</v>
      </c>
      <c r="M19" s="62">
        <v>2E-3</v>
      </c>
      <c r="N19" s="62">
        <v>2E-3</v>
      </c>
      <c r="O19" s="62">
        <v>2E-3</v>
      </c>
      <c r="P19" s="62">
        <v>2E-3</v>
      </c>
      <c r="Q19" s="62">
        <v>2E-3</v>
      </c>
      <c r="R19" s="62">
        <v>2E-3</v>
      </c>
      <c r="S19" s="62">
        <v>2E-3</v>
      </c>
      <c r="T19" s="62">
        <v>2E-3</v>
      </c>
      <c r="U19" s="62">
        <v>2E-3</v>
      </c>
    </row>
    <row r="20" spans="10:57" ht="15.75" x14ac:dyDescent="0.2">
      <c r="J20" s="21" t="s">
        <v>78</v>
      </c>
      <c r="K20" s="21" t="s">
        <v>79</v>
      </c>
      <c r="L20" s="36">
        <f>L11*L19*'BEy_Granja Silva'!M7</f>
        <v>68.424351078520814</v>
      </c>
      <c r="M20" s="36">
        <f>L20</f>
        <v>68.424351078520814</v>
      </c>
      <c r="N20" s="36">
        <f t="shared" ref="N20:U20" si="11">M20</f>
        <v>68.424351078520814</v>
      </c>
      <c r="O20" s="36">
        <f t="shared" si="11"/>
        <v>68.424351078520814</v>
      </c>
      <c r="P20" s="36">
        <f t="shared" si="11"/>
        <v>68.424351078520814</v>
      </c>
      <c r="Q20" s="36">
        <f t="shared" si="11"/>
        <v>68.424351078520814</v>
      </c>
      <c r="R20" s="36">
        <f t="shared" si="11"/>
        <v>68.424351078520814</v>
      </c>
      <c r="S20" s="36">
        <f t="shared" si="11"/>
        <v>68.424351078520814</v>
      </c>
      <c r="T20" s="36">
        <f t="shared" si="11"/>
        <v>68.424351078520814</v>
      </c>
      <c r="U20" s="36">
        <f t="shared" si="11"/>
        <v>68.424351078520814</v>
      </c>
    </row>
    <row r="21" spans="10:57" ht="15.75" x14ac:dyDescent="0.2">
      <c r="J21" s="152" t="s">
        <v>80</v>
      </c>
      <c r="K21" s="153"/>
      <c r="L21" s="153"/>
      <c r="M21" s="153"/>
      <c r="N21" s="153"/>
      <c r="O21" s="153"/>
      <c r="P21" s="153"/>
      <c r="Q21" s="153"/>
      <c r="R21" s="153"/>
      <c r="S21" s="153"/>
      <c r="T21" s="153"/>
      <c r="U21" s="153"/>
    </row>
    <row r="22" spans="10:57" ht="16.5" x14ac:dyDescent="0.2">
      <c r="J22" s="21" t="s">
        <v>81</v>
      </c>
      <c r="K22" s="21" t="s">
        <v>82</v>
      </c>
      <c r="L22" s="63">
        <v>2.0000000000000001E-4</v>
      </c>
      <c r="M22" s="63">
        <v>2.0000000000000001E-4</v>
      </c>
      <c r="N22" s="63">
        <v>2.0000000000000001E-4</v>
      </c>
      <c r="O22" s="63">
        <v>2.0000000000000001E-4</v>
      </c>
      <c r="P22" s="63">
        <v>2.0000000000000001E-4</v>
      </c>
      <c r="Q22" s="63">
        <v>2.0000000000000001E-4</v>
      </c>
      <c r="R22" s="63">
        <v>2.0000000000000001E-4</v>
      </c>
      <c r="S22" s="63">
        <v>2.0000000000000001E-4</v>
      </c>
      <c r="T22" s="63">
        <v>2.0000000000000001E-4</v>
      </c>
      <c r="U22" s="63">
        <v>2.0000000000000001E-4</v>
      </c>
    </row>
    <row r="23" spans="10:57" ht="16.5" x14ac:dyDescent="0.2">
      <c r="J23" s="21" t="s">
        <v>83</v>
      </c>
      <c r="K23" s="21" t="s">
        <v>84</v>
      </c>
      <c r="L23" s="36">
        <v>265</v>
      </c>
      <c r="M23" s="36">
        <v>265</v>
      </c>
      <c r="N23" s="36">
        <v>265</v>
      </c>
      <c r="O23" s="36">
        <v>265</v>
      </c>
      <c r="P23" s="36">
        <v>265</v>
      </c>
      <c r="Q23" s="36">
        <v>265</v>
      </c>
      <c r="R23" s="36">
        <v>265</v>
      </c>
      <c r="S23" s="36">
        <v>265</v>
      </c>
      <c r="T23" s="36">
        <v>265</v>
      </c>
      <c r="U23" s="36">
        <v>265</v>
      </c>
    </row>
    <row r="24" spans="10:57" ht="15.75" x14ac:dyDescent="0.2">
      <c r="J24" s="37" t="s">
        <v>85</v>
      </c>
      <c r="K24" s="21" t="s">
        <v>79</v>
      </c>
      <c r="L24" s="36">
        <f>L11*L22*L23</f>
        <v>64.758760842171483</v>
      </c>
      <c r="M24" s="36">
        <f t="shared" ref="M24:U24" si="12">M11*M22*M23</f>
        <v>64.758760842171483</v>
      </c>
      <c r="N24" s="36">
        <f t="shared" si="12"/>
        <v>64.758760842171483</v>
      </c>
      <c r="O24" s="36">
        <f t="shared" si="12"/>
        <v>64.758760842171483</v>
      </c>
      <c r="P24" s="36">
        <f t="shared" si="12"/>
        <v>64.758760842171483</v>
      </c>
      <c r="Q24" s="36">
        <f t="shared" si="12"/>
        <v>64.758760842171483</v>
      </c>
      <c r="R24" s="36">
        <f t="shared" si="12"/>
        <v>64.758760842171483</v>
      </c>
      <c r="S24" s="36">
        <f t="shared" si="12"/>
        <v>64.758760842171483</v>
      </c>
      <c r="T24" s="36">
        <f t="shared" si="12"/>
        <v>64.758760842171483</v>
      </c>
      <c r="U24" s="36">
        <f t="shared" si="12"/>
        <v>64.758760842171483</v>
      </c>
    </row>
    <row r="29" spans="10:57" ht="20.25" customHeight="1" x14ac:dyDescent="0.2"/>
    <row r="35" spans="22:22" x14ac:dyDescent="0.2">
      <c r="V35" s="42"/>
    </row>
  </sheetData>
  <mergeCells count="7">
    <mergeCell ref="J21:U21"/>
    <mergeCell ref="B2:H2"/>
    <mergeCell ref="J2:U2"/>
    <mergeCell ref="B3:H3"/>
    <mergeCell ref="B5:H5"/>
    <mergeCell ref="J12:U12"/>
    <mergeCell ref="J18:U18"/>
  </mergeCells>
  <pageMargins left="0.511811024" right="0.511811024" top="0.78740157499999996" bottom="0.78740157499999996" header="0.31496062000000002" footer="0.31496062000000002"/>
  <pageSetup orientation="portrait" horizontalDpi="4294967293"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2AF7-0FDC-4CBE-A2C6-D248E5E1F647}">
  <sheetPr>
    <tabColor theme="8" tint="0.39997558519241921"/>
  </sheetPr>
  <dimension ref="B1:K55"/>
  <sheetViews>
    <sheetView showGridLines="0" topLeftCell="A29" zoomScaleNormal="100" workbookViewId="0">
      <selection activeCell="C47" sqref="C47"/>
    </sheetView>
  </sheetViews>
  <sheetFormatPr defaultRowHeight="15" x14ac:dyDescent="0.25"/>
  <cols>
    <col min="1" max="1" width="9.140625" style="65"/>
    <col min="2" max="2" width="42.5703125" style="66" customWidth="1"/>
    <col min="3" max="3" width="12.5703125" style="67" customWidth="1"/>
    <col min="4" max="4" width="10.28515625" style="65" bestFit="1" customWidth="1"/>
    <col min="5" max="5" width="16.5703125" style="65" customWidth="1"/>
    <col min="6" max="6" width="11.7109375" style="65" customWidth="1"/>
    <col min="7" max="8" width="9.140625" style="65"/>
    <col min="9" max="9" width="11.5703125" style="65" bestFit="1" customWidth="1"/>
    <col min="10" max="10" width="10.5703125" style="65" customWidth="1"/>
    <col min="11" max="11" width="15" style="65" customWidth="1"/>
    <col min="12" max="16384" width="9.140625" style="65"/>
  </cols>
  <sheetData>
    <row r="1" spans="2:11" ht="15.75" thickBot="1" x14ac:dyDescent="0.3"/>
    <row r="2" spans="2:11" ht="35.25" customHeight="1" thickBot="1" x14ac:dyDescent="0.3">
      <c r="B2" s="14" t="s">
        <v>121</v>
      </c>
      <c r="C2" s="14">
        <v>3</v>
      </c>
      <c r="E2" s="160" t="s">
        <v>141</v>
      </c>
      <c r="F2" s="161"/>
      <c r="G2" s="161"/>
      <c r="H2" s="161"/>
      <c r="I2" s="161"/>
      <c r="J2" s="161"/>
      <c r="K2" s="162"/>
    </row>
    <row r="3" spans="2:11" ht="15.75" thickBot="1" x14ac:dyDescent="0.3">
      <c r="B3" s="158" t="s">
        <v>107</v>
      </c>
      <c r="C3" s="159"/>
      <c r="E3" s="77"/>
      <c r="F3" s="77"/>
      <c r="G3" s="77"/>
      <c r="H3" s="77"/>
      <c r="I3" s="77"/>
      <c r="J3" s="77"/>
      <c r="K3" s="77"/>
    </row>
    <row r="4" spans="2:11" ht="16.5" thickBot="1" x14ac:dyDescent="0.3">
      <c r="B4" s="17" t="s">
        <v>108</v>
      </c>
      <c r="C4" s="25">
        <f>K6</f>
        <v>45</v>
      </c>
      <c r="E4" s="170" t="s">
        <v>132</v>
      </c>
      <c r="F4" s="171"/>
      <c r="G4" s="171"/>
      <c r="H4" s="171"/>
      <c r="I4" s="171"/>
      <c r="J4" s="171"/>
      <c r="K4" s="172"/>
    </row>
    <row r="5" spans="2:11" ht="30.75" thickBot="1" x14ac:dyDescent="0.3">
      <c r="B5" s="17" t="s">
        <v>109</v>
      </c>
      <c r="C5" s="25">
        <f>K14</f>
        <v>319.53791130185982</v>
      </c>
      <c r="E5" s="114" t="s">
        <v>21</v>
      </c>
      <c r="F5" s="115">
        <v>2015</v>
      </c>
      <c r="G5" s="115">
        <v>2016</v>
      </c>
      <c r="H5" s="115">
        <v>2017</v>
      </c>
      <c r="I5" s="116">
        <v>2018</v>
      </c>
      <c r="J5" s="116">
        <v>2019</v>
      </c>
      <c r="K5" s="113" t="s">
        <v>136</v>
      </c>
    </row>
    <row r="6" spans="2:11" ht="15.75" x14ac:dyDescent="0.25">
      <c r="B6" s="17" t="s">
        <v>110</v>
      </c>
      <c r="C6" s="73">
        <f>C5*(C4/365)</f>
        <v>39.395084955023812</v>
      </c>
      <c r="E6" s="106" t="s">
        <v>25</v>
      </c>
      <c r="F6" s="107">
        <v>45</v>
      </c>
      <c r="G6" s="107">
        <v>45</v>
      </c>
      <c r="H6" s="107">
        <v>45</v>
      </c>
      <c r="I6" s="107">
        <v>45</v>
      </c>
      <c r="J6" s="107">
        <v>45</v>
      </c>
      <c r="K6" s="109">
        <f>(SUMPRODUCT(F6:J6,$F$11:$J$11)/$K$11)</f>
        <v>45</v>
      </c>
    </row>
    <row r="7" spans="2:11" ht="15.75" x14ac:dyDescent="0.25">
      <c r="B7" s="17" t="s">
        <v>111</v>
      </c>
      <c r="C7" s="25">
        <f>K22</f>
        <v>198</v>
      </c>
      <c r="E7" s="119" t="s">
        <v>26</v>
      </c>
      <c r="F7" s="83">
        <v>250</v>
      </c>
      <c r="G7" s="83">
        <v>250</v>
      </c>
      <c r="H7" s="83">
        <v>250</v>
      </c>
      <c r="I7" s="83">
        <v>250</v>
      </c>
      <c r="J7" s="83">
        <v>250</v>
      </c>
      <c r="K7" s="103">
        <f t="shared" ref="K7:K9" si="0">(SUMPRODUCT(F7:J7,$F$11:$J$11)/$K$11)</f>
        <v>250</v>
      </c>
    </row>
    <row r="8" spans="2:11" ht="30" x14ac:dyDescent="0.25">
      <c r="B8" s="17" t="s">
        <v>112</v>
      </c>
      <c r="C8" s="25">
        <f>K30</f>
        <v>320.27682403433477</v>
      </c>
      <c r="E8" s="82" t="s">
        <v>39</v>
      </c>
      <c r="F8" s="83">
        <v>50</v>
      </c>
      <c r="G8" s="83">
        <v>50</v>
      </c>
      <c r="H8" s="83">
        <v>50</v>
      </c>
      <c r="I8" s="83">
        <v>50</v>
      </c>
      <c r="J8" s="83">
        <v>50</v>
      </c>
      <c r="K8" s="103">
        <f t="shared" si="0"/>
        <v>50</v>
      </c>
    </row>
    <row r="9" spans="2:11" x14ac:dyDescent="0.25">
      <c r="B9" s="65"/>
      <c r="C9" s="65"/>
      <c r="E9" s="119" t="s">
        <v>41</v>
      </c>
      <c r="F9" s="83">
        <v>5</v>
      </c>
      <c r="G9" s="83">
        <v>5</v>
      </c>
      <c r="H9" s="83">
        <v>5</v>
      </c>
      <c r="I9" s="83">
        <v>5</v>
      </c>
      <c r="J9" s="83">
        <v>5</v>
      </c>
      <c r="K9" s="103">
        <f t="shared" si="0"/>
        <v>5</v>
      </c>
    </row>
    <row r="10" spans="2:11" x14ac:dyDescent="0.25">
      <c r="B10" s="65"/>
      <c r="C10" s="65"/>
      <c r="E10" s="119" t="s">
        <v>29</v>
      </c>
      <c r="F10" s="83">
        <v>3655</v>
      </c>
      <c r="G10" s="83">
        <v>6608</v>
      </c>
      <c r="H10" s="83">
        <v>6890</v>
      </c>
      <c r="I10" s="83">
        <v>6653</v>
      </c>
      <c r="J10" s="83">
        <v>2664</v>
      </c>
      <c r="K10" s="103">
        <f>(SUMPRODUCT(F10:J10,$F$11:$J$11)/$K$11)</f>
        <v>5968.283261802575</v>
      </c>
    </row>
    <row r="11" spans="2:11" ht="27.75" thickBot="1" x14ac:dyDescent="0.3">
      <c r="B11" s="65"/>
      <c r="C11" s="65"/>
      <c r="D11" s="35"/>
      <c r="E11" s="104" t="s">
        <v>138</v>
      </c>
      <c r="F11" s="117">
        <v>183</v>
      </c>
      <c r="G11" s="117">
        <v>365</v>
      </c>
      <c r="H11" s="117">
        <v>365</v>
      </c>
      <c r="I11" s="117">
        <v>365</v>
      </c>
      <c r="J11" s="117">
        <v>120</v>
      </c>
      <c r="K11" s="120">
        <f>SUM(F11:J11)</f>
        <v>1398</v>
      </c>
    </row>
    <row r="12" spans="2:11" ht="15.75" thickBot="1" x14ac:dyDescent="0.3">
      <c r="B12" s="14" t="s">
        <v>122</v>
      </c>
      <c r="C12" s="14">
        <v>3</v>
      </c>
      <c r="D12" s="35"/>
      <c r="E12" s="170" t="s">
        <v>133</v>
      </c>
      <c r="F12" s="171"/>
      <c r="G12" s="171"/>
      <c r="H12" s="171"/>
      <c r="I12" s="171"/>
      <c r="J12" s="171"/>
      <c r="K12" s="172"/>
    </row>
    <row r="13" spans="2:11" ht="27.75" thickBot="1" x14ac:dyDescent="0.3">
      <c r="B13" s="158" t="s">
        <v>107</v>
      </c>
      <c r="C13" s="159"/>
      <c r="D13" s="35"/>
      <c r="E13" s="110" t="s">
        <v>21</v>
      </c>
      <c r="F13" s="111">
        <v>2015</v>
      </c>
      <c r="G13" s="111">
        <v>2016</v>
      </c>
      <c r="H13" s="111">
        <v>2017</v>
      </c>
      <c r="I13" s="112">
        <v>2018</v>
      </c>
      <c r="J13" s="112">
        <v>2019</v>
      </c>
      <c r="K13" s="113" t="s">
        <v>136</v>
      </c>
    </row>
    <row r="14" spans="2:11" ht="15.75" x14ac:dyDescent="0.25">
      <c r="B14" s="17" t="s">
        <v>108</v>
      </c>
      <c r="C14" s="25">
        <f>K7</f>
        <v>250</v>
      </c>
      <c r="D14" s="35"/>
      <c r="E14" s="106" t="s">
        <v>25</v>
      </c>
      <c r="F14" s="107">
        <v>183</v>
      </c>
      <c r="G14" s="107">
        <v>365</v>
      </c>
      <c r="H14" s="107">
        <v>364</v>
      </c>
      <c r="I14" s="107">
        <v>364</v>
      </c>
      <c r="J14" s="107">
        <v>119</v>
      </c>
      <c r="K14" s="109">
        <f>(SUMPRODUCT(F14:J14,$F$11:$J$11)/$K$11)</f>
        <v>319.53791130185982</v>
      </c>
    </row>
    <row r="15" spans="2:11" ht="30" x14ac:dyDescent="0.25">
      <c r="B15" s="17" t="s">
        <v>109</v>
      </c>
      <c r="C15" s="25">
        <f>K15</f>
        <v>319.53791130185982</v>
      </c>
      <c r="D15" s="35"/>
      <c r="E15" s="119" t="s">
        <v>26</v>
      </c>
      <c r="F15" s="83">
        <v>183</v>
      </c>
      <c r="G15" s="83">
        <v>365</v>
      </c>
      <c r="H15" s="83">
        <v>364</v>
      </c>
      <c r="I15" s="83">
        <v>364</v>
      </c>
      <c r="J15" s="83">
        <v>119</v>
      </c>
      <c r="K15" s="103">
        <f t="shared" ref="K15:K17" si="1">(SUMPRODUCT(F15:J15,$F$11:$J$11)/$K$11)</f>
        <v>319.53791130185982</v>
      </c>
    </row>
    <row r="16" spans="2:11" ht="15.75" x14ac:dyDescent="0.25">
      <c r="B16" s="17" t="s">
        <v>110</v>
      </c>
      <c r="C16" s="73">
        <f>C15*(C14/365)</f>
        <v>218.86158308346563</v>
      </c>
      <c r="D16" s="35"/>
      <c r="E16" s="82" t="s">
        <v>39</v>
      </c>
      <c r="F16" s="83">
        <v>183</v>
      </c>
      <c r="G16" s="83">
        <v>365</v>
      </c>
      <c r="H16" s="83">
        <v>364</v>
      </c>
      <c r="I16" s="83">
        <v>364</v>
      </c>
      <c r="J16" s="83">
        <v>119</v>
      </c>
      <c r="K16" s="103">
        <f t="shared" si="1"/>
        <v>319.53791130185982</v>
      </c>
    </row>
    <row r="17" spans="2:11" ht="15.75" x14ac:dyDescent="0.25">
      <c r="B17" s="17" t="s">
        <v>111</v>
      </c>
      <c r="C17" s="25">
        <f>K23</f>
        <v>198</v>
      </c>
      <c r="D17" s="35"/>
      <c r="E17" s="119" t="s">
        <v>41</v>
      </c>
      <c r="F17" s="83">
        <v>183</v>
      </c>
      <c r="G17" s="83">
        <v>365</v>
      </c>
      <c r="H17" s="83">
        <v>364</v>
      </c>
      <c r="I17" s="83">
        <v>364</v>
      </c>
      <c r="J17" s="83">
        <v>119</v>
      </c>
      <c r="K17" s="103">
        <f t="shared" si="1"/>
        <v>319.53791130185982</v>
      </c>
    </row>
    <row r="18" spans="2:11" ht="30" x14ac:dyDescent="0.25">
      <c r="B18" s="17" t="s">
        <v>112</v>
      </c>
      <c r="C18" s="25">
        <f>K31</f>
        <v>320.27682403433477</v>
      </c>
      <c r="D18" s="35"/>
      <c r="E18" s="119" t="s">
        <v>29</v>
      </c>
      <c r="F18" s="83">
        <v>24.260738714090287</v>
      </c>
      <c r="G18" s="83">
        <v>26</v>
      </c>
      <c r="H18" s="83">
        <v>26</v>
      </c>
      <c r="I18" s="83">
        <v>26</v>
      </c>
      <c r="J18" s="83">
        <v>26</v>
      </c>
      <c r="K18" s="103">
        <f>(SUMPRODUCT(F18:J18,$F$11:$J$11)/$K$11)</f>
        <v>25.772328458282207</v>
      </c>
    </row>
    <row r="19" spans="2:11" ht="27.75" thickBot="1" x14ac:dyDescent="0.3">
      <c r="B19" s="65"/>
      <c r="C19" s="65"/>
      <c r="D19" s="35"/>
      <c r="E19" s="104" t="s">
        <v>138</v>
      </c>
      <c r="F19" s="117">
        <v>183</v>
      </c>
      <c r="G19" s="117">
        <v>365</v>
      </c>
      <c r="H19" s="117">
        <v>365</v>
      </c>
      <c r="I19" s="117">
        <v>365</v>
      </c>
      <c r="J19" s="117">
        <v>120</v>
      </c>
      <c r="K19" s="118">
        <f>SUM(F19:J19)</f>
        <v>1398</v>
      </c>
    </row>
    <row r="20" spans="2:11" ht="15.75" thickBot="1" x14ac:dyDescent="0.3">
      <c r="B20" s="65"/>
      <c r="C20" s="65"/>
      <c r="D20" s="35"/>
      <c r="E20" s="166" t="s">
        <v>134</v>
      </c>
      <c r="F20" s="167"/>
      <c r="G20" s="167"/>
      <c r="H20" s="167"/>
      <c r="I20" s="168"/>
      <c r="J20" s="168"/>
      <c r="K20" s="169"/>
    </row>
    <row r="21" spans="2:11" ht="27.75" thickBot="1" x14ac:dyDescent="0.3">
      <c r="B21" s="65"/>
      <c r="C21" s="65"/>
      <c r="D21" s="35"/>
      <c r="E21" s="78" t="s">
        <v>21</v>
      </c>
      <c r="F21" s="79">
        <v>2015</v>
      </c>
      <c r="G21" s="79">
        <v>2016</v>
      </c>
      <c r="H21" s="79">
        <v>2017</v>
      </c>
      <c r="I21" s="80">
        <v>2018</v>
      </c>
      <c r="J21" s="80">
        <v>2019</v>
      </c>
      <c r="K21" s="113" t="s">
        <v>136</v>
      </c>
    </row>
    <row r="22" spans="2:11" x14ac:dyDescent="0.25">
      <c r="B22" s="14" t="s">
        <v>142</v>
      </c>
      <c r="C22" s="14">
        <v>3</v>
      </c>
      <c r="D22" s="35"/>
      <c r="E22" s="106" t="s">
        <v>25</v>
      </c>
      <c r="F22" s="129">
        <v>198</v>
      </c>
      <c r="G22" s="129">
        <v>198</v>
      </c>
      <c r="H22" s="129">
        <v>198</v>
      </c>
      <c r="I22" s="129">
        <v>198</v>
      </c>
      <c r="J22" s="129">
        <v>198</v>
      </c>
      <c r="K22" s="125">
        <f>(SUMPRODUCT(F22:J22,$F$11:$J$11)/$K$11)</f>
        <v>198</v>
      </c>
    </row>
    <row r="23" spans="2:11" x14ac:dyDescent="0.25">
      <c r="B23" s="158" t="s">
        <v>107</v>
      </c>
      <c r="C23" s="159"/>
      <c r="D23" s="35"/>
      <c r="E23" s="119" t="s">
        <v>26</v>
      </c>
      <c r="F23" s="130">
        <v>198</v>
      </c>
      <c r="G23" s="130">
        <v>198</v>
      </c>
      <c r="H23" s="130">
        <v>198</v>
      </c>
      <c r="I23" s="130">
        <v>198</v>
      </c>
      <c r="J23" s="130">
        <v>198</v>
      </c>
      <c r="K23" s="126">
        <f t="shared" ref="K23:K25" si="2">(SUMPRODUCT(F23:J23,$F$11:$J$11)/$K$11)</f>
        <v>198</v>
      </c>
    </row>
    <row r="24" spans="2:11" ht="15.75" x14ac:dyDescent="0.25">
      <c r="B24" s="17" t="s">
        <v>108</v>
      </c>
      <c r="C24" s="25">
        <f>K8</f>
        <v>50</v>
      </c>
      <c r="D24" s="35"/>
      <c r="E24" s="82" t="s">
        <v>39</v>
      </c>
      <c r="F24" s="130">
        <v>198</v>
      </c>
      <c r="G24" s="130">
        <v>198</v>
      </c>
      <c r="H24" s="130">
        <v>198</v>
      </c>
      <c r="I24" s="130">
        <v>198</v>
      </c>
      <c r="J24" s="130">
        <v>198</v>
      </c>
      <c r="K24" s="126">
        <f t="shared" si="2"/>
        <v>198</v>
      </c>
    </row>
    <row r="25" spans="2:11" ht="30" x14ac:dyDescent="0.25">
      <c r="B25" s="17" t="s">
        <v>109</v>
      </c>
      <c r="C25" s="25">
        <f>K16</f>
        <v>319.53791130185982</v>
      </c>
      <c r="D25" s="35"/>
      <c r="E25" s="119" t="s">
        <v>41</v>
      </c>
      <c r="F25" s="130">
        <v>198</v>
      </c>
      <c r="G25" s="130">
        <v>198</v>
      </c>
      <c r="H25" s="130">
        <v>198</v>
      </c>
      <c r="I25" s="130">
        <v>198</v>
      </c>
      <c r="J25" s="130">
        <v>198</v>
      </c>
      <c r="K25" s="126">
        <f t="shared" si="2"/>
        <v>198</v>
      </c>
    </row>
    <row r="26" spans="2:11" ht="15.75" x14ac:dyDescent="0.25">
      <c r="B26" s="17" t="s">
        <v>110</v>
      </c>
      <c r="C26" s="73">
        <f>C25*(C24/365)</f>
        <v>43.772316616693125</v>
      </c>
      <c r="D26" s="35"/>
      <c r="E26" s="119" t="s">
        <v>29</v>
      </c>
      <c r="F26" s="130">
        <v>4.7506703146374827</v>
      </c>
      <c r="G26" s="130">
        <v>4.7494627723970932</v>
      </c>
      <c r="H26" s="130">
        <v>4.7515747460087079</v>
      </c>
      <c r="I26" s="130">
        <v>4.7352848339095139</v>
      </c>
      <c r="J26" s="130">
        <v>4.7510698198198202</v>
      </c>
      <c r="K26" s="126">
        <f>(SUMPRODUCT(F26:J26,$F$11:$J$11)/$K$11)</f>
        <v>4.7466085154163995</v>
      </c>
    </row>
    <row r="27" spans="2:11" ht="27.75" thickBot="1" x14ac:dyDescent="0.3">
      <c r="B27" s="17" t="s">
        <v>111</v>
      </c>
      <c r="C27" s="25">
        <f>K24</f>
        <v>198</v>
      </c>
      <c r="D27" s="35"/>
      <c r="E27" s="104" t="s">
        <v>138</v>
      </c>
      <c r="F27" s="117">
        <v>183</v>
      </c>
      <c r="G27" s="117">
        <v>365</v>
      </c>
      <c r="H27" s="117">
        <v>365</v>
      </c>
      <c r="I27" s="117">
        <v>365</v>
      </c>
      <c r="J27" s="117">
        <v>120</v>
      </c>
      <c r="K27" s="118">
        <f>SUM(F27:J27)</f>
        <v>1398</v>
      </c>
    </row>
    <row r="28" spans="2:11" ht="30" x14ac:dyDescent="0.25">
      <c r="B28" s="17" t="s">
        <v>112</v>
      </c>
      <c r="C28" s="25">
        <f>K32</f>
        <v>320.27682403433477</v>
      </c>
      <c r="D28" s="35"/>
      <c r="E28" s="173" t="s">
        <v>135</v>
      </c>
      <c r="F28" s="174"/>
      <c r="G28" s="174"/>
      <c r="H28" s="174"/>
      <c r="I28" s="175"/>
      <c r="J28" s="175"/>
      <c r="K28" s="176"/>
    </row>
    <row r="29" spans="2:11" ht="27.75" thickBot="1" x14ac:dyDescent="0.3">
      <c r="B29" s="65"/>
      <c r="C29" s="65"/>
      <c r="D29" s="35"/>
      <c r="E29" s="122" t="s">
        <v>21</v>
      </c>
      <c r="F29" s="123">
        <v>2015</v>
      </c>
      <c r="G29" s="123">
        <v>2016</v>
      </c>
      <c r="H29" s="123">
        <v>2017</v>
      </c>
      <c r="I29" s="124">
        <v>2018</v>
      </c>
      <c r="J29" s="124">
        <v>2019</v>
      </c>
      <c r="K29" s="121" t="s">
        <v>136</v>
      </c>
    </row>
    <row r="30" spans="2:11" x14ac:dyDescent="0.25">
      <c r="B30" s="65"/>
      <c r="C30" s="65"/>
      <c r="D30" s="35"/>
      <c r="E30" s="106" t="s">
        <v>25</v>
      </c>
      <c r="F30" s="107">
        <v>184</v>
      </c>
      <c r="G30" s="107">
        <v>365</v>
      </c>
      <c r="H30" s="107">
        <v>365</v>
      </c>
      <c r="I30" s="107">
        <v>365</v>
      </c>
      <c r="J30" s="107">
        <v>120</v>
      </c>
      <c r="K30" s="125">
        <f>(SUMPRODUCT(F30:J30,$F$11:$J$11)/$K$11)</f>
        <v>320.27682403433477</v>
      </c>
    </row>
    <row r="31" spans="2:11" x14ac:dyDescent="0.25">
      <c r="B31" s="65"/>
      <c r="C31" s="65"/>
      <c r="E31" s="119" t="s">
        <v>26</v>
      </c>
      <c r="F31" s="83">
        <v>184</v>
      </c>
      <c r="G31" s="83">
        <v>365</v>
      </c>
      <c r="H31" s="83">
        <v>365</v>
      </c>
      <c r="I31" s="83">
        <v>365</v>
      </c>
      <c r="J31" s="83">
        <v>120</v>
      </c>
      <c r="K31" s="126">
        <f t="shared" ref="K31:K33" si="3">(SUMPRODUCT(F31:J31,$F$11:$J$11)/$K$11)</f>
        <v>320.27682403433477</v>
      </c>
    </row>
    <row r="32" spans="2:11" x14ac:dyDescent="0.25">
      <c r="B32" s="14" t="s">
        <v>123</v>
      </c>
      <c r="C32" s="14">
        <v>3</v>
      </c>
      <c r="E32" s="82" t="s">
        <v>39</v>
      </c>
      <c r="F32" s="83">
        <v>184</v>
      </c>
      <c r="G32" s="83">
        <v>365</v>
      </c>
      <c r="H32" s="83">
        <v>365</v>
      </c>
      <c r="I32" s="83">
        <v>365</v>
      </c>
      <c r="J32" s="83">
        <v>120</v>
      </c>
      <c r="K32" s="126">
        <f t="shared" si="3"/>
        <v>320.27682403433477</v>
      </c>
    </row>
    <row r="33" spans="2:11" x14ac:dyDescent="0.25">
      <c r="B33" s="97" t="s">
        <v>107</v>
      </c>
      <c r="C33" s="98"/>
      <c r="E33" s="119" t="s">
        <v>41</v>
      </c>
      <c r="F33" s="83">
        <v>184</v>
      </c>
      <c r="G33" s="83">
        <v>365</v>
      </c>
      <c r="H33" s="83">
        <v>365</v>
      </c>
      <c r="I33" s="83">
        <v>365</v>
      </c>
      <c r="J33" s="83">
        <v>120</v>
      </c>
      <c r="K33" s="126">
        <f t="shared" si="3"/>
        <v>320.27682403433477</v>
      </c>
    </row>
    <row r="34" spans="2:11" ht="15.75" x14ac:dyDescent="0.25">
      <c r="B34" s="17" t="s">
        <v>108</v>
      </c>
      <c r="C34" s="25">
        <f>K9</f>
        <v>5</v>
      </c>
      <c r="E34" s="119" t="s">
        <v>29</v>
      </c>
      <c r="F34" s="83">
        <v>184</v>
      </c>
      <c r="G34" s="83">
        <v>365</v>
      </c>
      <c r="H34" s="83">
        <v>365</v>
      </c>
      <c r="I34" s="83">
        <v>365</v>
      </c>
      <c r="J34" s="83">
        <v>120</v>
      </c>
      <c r="K34" s="126">
        <f>(SUMPRODUCT(F34:J34,$F$11:$J$11)/$K$11)</f>
        <v>320.27682403433477</v>
      </c>
    </row>
    <row r="35" spans="2:11" ht="30.75" thickBot="1" x14ac:dyDescent="0.3">
      <c r="B35" s="17" t="s">
        <v>109</v>
      </c>
      <c r="C35" s="25">
        <f>K17</f>
        <v>319.53791130185982</v>
      </c>
      <c r="E35" s="104" t="s">
        <v>138</v>
      </c>
      <c r="F35" s="117">
        <v>183</v>
      </c>
      <c r="G35" s="117">
        <v>365</v>
      </c>
      <c r="H35" s="117">
        <v>365</v>
      </c>
      <c r="I35" s="117">
        <v>365</v>
      </c>
      <c r="J35" s="117">
        <v>120</v>
      </c>
      <c r="K35" s="118">
        <f>SUM(F35:J35)</f>
        <v>1398</v>
      </c>
    </row>
    <row r="36" spans="2:11" ht="15.75" x14ac:dyDescent="0.25">
      <c r="B36" s="17" t="s">
        <v>110</v>
      </c>
      <c r="C36" s="73">
        <f>C35*(C34/365)</f>
        <v>4.3772316616693123</v>
      </c>
    </row>
    <row r="37" spans="2:11" ht="15.75" x14ac:dyDescent="0.25">
      <c r="B37" s="17" t="s">
        <v>111</v>
      </c>
      <c r="C37" s="25">
        <f>K25</f>
        <v>198</v>
      </c>
    </row>
    <row r="38" spans="2:11" ht="30" x14ac:dyDescent="0.25">
      <c r="B38" s="17" t="s">
        <v>112</v>
      </c>
      <c r="C38" s="25">
        <f>K33</f>
        <v>320.27682403433477</v>
      </c>
    </row>
    <row r="40" spans="2:11" x14ac:dyDescent="0.25">
      <c r="B40" s="65"/>
      <c r="C40" s="65"/>
    </row>
    <row r="41" spans="2:11" x14ac:dyDescent="0.25">
      <c r="B41" s="65"/>
      <c r="C41" s="65"/>
    </row>
    <row r="42" spans="2:11" x14ac:dyDescent="0.25">
      <c r="B42" s="14" t="s">
        <v>124</v>
      </c>
      <c r="C42" s="14">
        <v>3</v>
      </c>
    </row>
    <row r="43" spans="2:11" x14ac:dyDescent="0.25">
      <c r="B43" s="158" t="s">
        <v>107</v>
      </c>
      <c r="C43" s="159"/>
    </row>
    <row r="44" spans="2:11" ht="33.75" customHeight="1" x14ac:dyDescent="0.25">
      <c r="B44" s="17" t="s">
        <v>108</v>
      </c>
      <c r="C44" s="25">
        <f>K10</f>
        <v>5968.283261802575</v>
      </c>
    </row>
    <row r="45" spans="2:11" ht="30" x14ac:dyDescent="0.25">
      <c r="B45" s="17" t="s">
        <v>109</v>
      </c>
      <c r="C45" s="25">
        <f>K18</f>
        <v>25.772328458282207</v>
      </c>
    </row>
    <row r="46" spans="2:11" ht="15.75" x14ac:dyDescent="0.25">
      <c r="B46" s="17" t="s">
        <v>110</v>
      </c>
      <c r="C46" s="73">
        <f>C45*(C44/365)</f>
        <v>421.41522343902426</v>
      </c>
    </row>
    <row r="47" spans="2:11" ht="15.75" x14ac:dyDescent="0.25">
      <c r="B47" s="17" t="s">
        <v>111</v>
      </c>
      <c r="C47" s="73">
        <f>K26</f>
        <v>4.7466085154163995</v>
      </c>
    </row>
    <row r="48" spans="2:11" ht="30" x14ac:dyDescent="0.25">
      <c r="B48" s="17" t="s">
        <v>112</v>
      </c>
      <c r="C48" s="25">
        <f>K34</f>
        <v>320.27682403433477</v>
      </c>
    </row>
    <row r="50" s="65" customFormat="1" ht="15.75" customHeight="1" x14ac:dyDescent="0.25"/>
    <row r="51" s="65" customFormat="1" x14ac:dyDescent="0.25"/>
    <row r="52" s="65" customFormat="1" x14ac:dyDescent="0.25"/>
    <row r="53" s="65" customFormat="1" x14ac:dyDescent="0.25"/>
    <row r="54" s="65" customFormat="1" x14ac:dyDescent="0.25"/>
    <row r="55" s="65" customFormat="1" x14ac:dyDescent="0.25"/>
  </sheetData>
  <mergeCells count="9">
    <mergeCell ref="B43:C43"/>
    <mergeCell ref="B23:C23"/>
    <mergeCell ref="E12:K12"/>
    <mergeCell ref="E20:K20"/>
    <mergeCell ref="E2:K2"/>
    <mergeCell ref="E4:K4"/>
    <mergeCell ref="E28:K28"/>
    <mergeCell ref="B3:C3"/>
    <mergeCell ref="B13:C13"/>
  </mergeCells>
  <pageMargins left="0.511811024" right="0.511811024" top="0.78740157499999996" bottom="0.78740157499999996" header="0.31496062000000002" footer="0.31496062000000002"/>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0131-424F-4717-BB31-23FB372A6607}">
  <sheetPr>
    <tabColor theme="2" tint="-0.499984740745262"/>
  </sheetPr>
  <dimension ref="A1:Z75"/>
  <sheetViews>
    <sheetView showGridLines="0" zoomScale="80" zoomScaleNormal="80" workbookViewId="0">
      <selection activeCell="I17" sqref="I17"/>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v>0</v>
      </c>
      <c r="R5" s="22">
        <f>$Q$5</f>
        <v>0</v>
      </c>
      <c r="S5" s="22">
        <f t="shared" ref="S5:Z5" si="0">$Q$5</f>
        <v>0</v>
      </c>
      <c r="T5" s="22">
        <f t="shared" si="0"/>
        <v>0</v>
      </c>
      <c r="U5" s="22">
        <f t="shared" si="0"/>
        <v>0</v>
      </c>
      <c r="V5" s="22">
        <f t="shared" si="0"/>
        <v>0</v>
      </c>
      <c r="W5" s="22">
        <f t="shared" si="0"/>
        <v>0</v>
      </c>
      <c r="X5" s="22">
        <f t="shared" si="0"/>
        <v>0</v>
      </c>
      <c r="Y5" s="22">
        <f t="shared" si="0"/>
        <v>0</v>
      </c>
      <c r="Z5" s="22">
        <f t="shared" si="0"/>
        <v>0</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v>0</v>
      </c>
      <c r="R6" s="22">
        <f>$Q$6</f>
        <v>0</v>
      </c>
      <c r="S6" s="22">
        <f t="shared" ref="S6:Z6" si="1">$Q$6</f>
        <v>0</v>
      </c>
      <c r="T6" s="22">
        <f t="shared" si="1"/>
        <v>0</v>
      </c>
      <c r="U6" s="22">
        <f t="shared" si="1"/>
        <v>0</v>
      </c>
      <c r="V6" s="22">
        <f t="shared" si="1"/>
        <v>0</v>
      </c>
      <c r="W6" s="22">
        <f t="shared" si="1"/>
        <v>0</v>
      </c>
      <c r="X6" s="22">
        <f t="shared" si="1"/>
        <v>0</v>
      </c>
      <c r="Y6" s="22">
        <f t="shared" si="1"/>
        <v>0</v>
      </c>
      <c r="Z6" s="22">
        <f t="shared" si="1"/>
        <v>0</v>
      </c>
    </row>
    <row r="7" spans="2:26" ht="15.75" x14ac:dyDescent="0.25">
      <c r="B7" s="24">
        <v>2021</v>
      </c>
      <c r="C7" s="3">
        <f>$M$7*$M$5*$M$4*$M$6*$M$17*Q$23*Q$41*$M$8</f>
        <v>0</v>
      </c>
      <c r="D7" s="3">
        <f>$M$7*$M$5*$M$4*$M$6*$M$17*Q$24*Q$42*$M$8</f>
        <v>0</v>
      </c>
      <c r="E7" s="3">
        <f>$M$7*$M$5*$M$4*$M$6*$M$17*Q$24*Q$42*$M$8</f>
        <v>0</v>
      </c>
      <c r="F7" s="3">
        <f>$M$7*$M$5*$M$4*$M$6*$M$17*Q$26*Q$44*$M$8</f>
        <v>0</v>
      </c>
      <c r="G7" s="3">
        <f>$M$7*$M$5*$M$4*$M$6*$M$25*Q$27*Q$45*$M$8</f>
        <v>0</v>
      </c>
      <c r="H7" s="25">
        <f>$M$7*$M$5*$M$4*$M$6*$M$25*Q$28*Q$46*$M$8</f>
        <v>0</v>
      </c>
      <c r="I7" s="26">
        <f>ROUNDDOWN($M$7*$M$5*$M$4*$M$6*$M$25*Q$29*Q$47*$M$8, )</f>
        <v>483</v>
      </c>
      <c r="J7" s="25">
        <f>ROUNDDOWN(SUM(C7:I7),)</f>
        <v>483</v>
      </c>
      <c r="L7" s="19" t="s">
        <v>33</v>
      </c>
      <c r="M7" s="20">
        <v>28</v>
      </c>
      <c r="N7" s="18" t="s">
        <v>34</v>
      </c>
      <c r="P7" s="21" t="s">
        <v>27</v>
      </c>
      <c r="Q7" s="22">
        <v>0</v>
      </c>
      <c r="R7" s="22">
        <f>$Q$7</f>
        <v>0</v>
      </c>
      <c r="S7" s="22">
        <f t="shared" ref="S7:Z7" si="2">$Q$7</f>
        <v>0</v>
      </c>
      <c r="T7" s="22">
        <f t="shared" si="2"/>
        <v>0</v>
      </c>
      <c r="U7" s="22">
        <f t="shared" si="2"/>
        <v>0</v>
      </c>
      <c r="V7" s="22">
        <f t="shared" si="2"/>
        <v>0</v>
      </c>
      <c r="W7" s="22">
        <f t="shared" si="2"/>
        <v>0</v>
      </c>
      <c r="X7" s="22">
        <f t="shared" si="2"/>
        <v>0</v>
      </c>
      <c r="Y7" s="22">
        <f t="shared" si="2"/>
        <v>0</v>
      </c>
      <c r="Z7" s="22">
        <f t="shared" si="2"/>
        <v>0</v>
      </c>
    </row>
    <row r="8" spans="2:26" ht="28.5" x14ac:dyDescent="0.25">
      <c r="B8" s="24">
        <v>2022</v>
      </c>
      <c r="C8" s="3">
        <f>$M$7*$M$5*$M$4*$M$6*$M$17*R$23*R$41*$M$8</f>
        <v>0</v>
      </c>
      <c r="D8" s="3">
        <f>$M$7*$M$5*$M$4*$M$6*$M$17*R$24*R$42*$M$8</f>
        <v>0</v>
      </c>
      <c r="E8" s="3">
        <f>$M$7*$M$5*$M$4*$M$6*$M$17*R$24*R$42*$M$8</f>
        <v>0</v>
      </c>
      <c r="F8" s="3">
        <f>$M$7*$M$5*$M$4*$M$6*$M$17*R$26*R$44*$M$8</f>
        <v>0</v>
      </c>
      <c r="G8" s="3">
        <f>$M$7*$M$5*$M$4*$M$6*$M$25*R$27*R$45*$M$8</f>
        <v>0</v>
      </c>
      <c r="H8" s="25">
        <f t="shared" ref="H8:H16" si="3">$M$7*$M$5*$M$4*$M$6*$M$25*Q$28*Q$46*$M$8</f>
        <v>0</v>
      </c>
      <c r="I8" s="26">
        <f>ROUNDDOWN($M$7*$M$5*$M$4*$M$6*$M$25*R$29*R$47*$M$8, )</f>
        <v>483</v>
      </c>
      <c r="J8" s="25">
        <f t="shared" ref="J8:J16" si="4">ROUNDDOWN(SUM(C8:I8),)</f>
        <v>483</v>
      </c>
      <c r="L8" s="19" t="s">
        <v>35</v>
      </c>
      <c r="M8" s="20">
        <v>1</v>
      </c>
      <c r="N8" s="18" t="s">
        <v>20</v>
      </c>
      <c r="P8" s="21" t="s">
        <v>28</v>
      </c>
      <c r="Q8" s="22">
        <v>0</v>
      </c>
      <c r="R8" s="22">
        <f>$Q$8</f>
        <v>0</v>
      </c>
      <c r="S8" s="22">
        <f t="shared" ref="S8:Z8" si="5">$Q$8</f>
        <v>0</v>
      </c>
      <c r="T8" s="22">
        <f t="shared" si="5"/>
        <v>0</v>
      </c>
      <c r="U8" s="22">
        <f t="shared" si="5"/>
        <v>0</v>
      </c>
      <c r="V8" s="22">
        <f t="shared" si="5"/>
        <v>0</v>
      </c>
      <c r="W8" s="22">
        <f t="shared" si="5"/>
        <v>0</v>
      </c>
      <c r="X8" s="22">
        <f t="shared" si="5"/>
        <v>0</v>
      </c>
      <c r="Y8" s="22">
        <f t="shared" si="5"/>
        <v>0</v>
      </c>
      <c r="Z8" s="22">
        <f t="shared" si="5"/>
        <v>0</v>
      </c>
    </row>
    <row r="9" spans="2:26" x14ac:dyDescent="0.25">
      <c r="B9" s="24">
        <v>2023</v>
      </c>
      <c r="C9" s="3">
        <f>$M$7*$M$5*$M$4*$M$6*$M$17*S$23*S$41*$M$8</f>
        <v>0</v>
      </c>
      <c r="D9" s="3">
        <f>$M$7*$M$5*$M$4*$M$6*$M$17*S$24*S$42*$M$8</f>
        <v>0</v>
      </c>
      <c r="E9" s="3">
        <f>$M$7*$M$5*$M$4*$M$6*$M$17*S$24*S$42*$M$8</f>
        <v>0</v>
      </c>
      <c r="F9" s="3">
        <f>$M$7*$M$5*$M$4*$M$6*$M$17*S$26*S$44*$M$8</f>
        <v>0</v>
      </c>
      <c r="G9" s="3">
        <f>$M$7*$M$5*$M$4*$M$6*$M$25*S$27*S$45*$M$8</f>
        <v>0</v>
      </c>
      <c r="H9" s="25">
        <f t="shared" si="3"/>
        <v>0</v>
      </c>
      <c r="I9" s="26">
        <f>ROUNDDOWN($M$7*$M$5*$M$4*$M$6*$M$25*S$29*S$47*$M$8, )</f>
        <v>483</v>
      </c>
      <c r="J9" s="25">
        <f t="shared" si="4"/>
        <v>483</v>
      </c>
      <c r="P9" s="21" t="s">
        <v>29</v>
      </c>
      <c r="Q9" s="22">
        <v>0</v>
      </c>
      <c r="R9" s="22">
        <f>$Q$9</f>
        <v>0</v>
      </c>
      <c r="S9" s="22">
        <f t="shared" ref="S9:Z9" si="6">$Q$9</f>
        <v>0</v>
      </c>
      <c r="T9" s="22">
        <f t="shared" si="6"/>
        <v>0</v>
      </c>
      <c r="U9" s="22">
        <f t="shared" si="6"/>
        <v>0</v>
      </c>
      <c r="V9" s="22">
        <f t="shared" si="6"/>
        <v>0</v>
      </c>
      <c r="W9" s="22">
        <f t="shared" si="6"/>
        <v>0</v>
      </c>
      <c r="X9" s="22">
        <f t="shared" si="6"/>
        <v>0</v>
      </c>
      <c r="Y9" s="22">
        <f t="shared" si="6"/>
        <v>0</v>
      </c>
      <c r="Z9" s="22">
        <f t="shared" si="6"/>
        <v>0</v>
      </c>
    </row>
    <row r="10" spans="2:26" ht="14.25" customHeight="1" x14ac:dyDescent="0.25">
      <c r="B10" s="24">
        <v>2024</v>
      </c>
      <c r="C10" s="3">
        <f>$M$7*$M$5*$M$4*$M$6*$M$17*T$23*T$41*$M$8</f>
        <v>0</v>
      </c>
      <c r="D10" s="3">
        <f>$M$7*$M$5*$M$4*$M$6*$M$17*T$24*T$42*$M$8</f>
        <v>0</v>
      </c>
      <c r="E10" s="3">
        <f>$M$7*$M$5*$M$4*$M$6*$M$17*T$24*T$42*$M$8</f>
        <v>0</v>
      </c>
      <c r="F10" s="3">
        <f>$M$7*$M$5*$M$4*$M$6*$M$17*T$26*T$44*$M$8</f>
        <v>0</v>
      </c>
      <c r="G10" s="3">
        <f>$M$7*$M$5*$M$4*$M$6*$M$25*T$27*T$45*$M$8</f>
        <v>0</v>
      </c>
      <c r="H10" s="25">
        <f t="shared" si="3"/>
        <v>0</v>
      </c>
      <c r="I10" s="26">
        <f>ROUNDDOWN($M$7*$M$5*$M$4*$M$6*$M$25*T$29*T$47*$M$8, )</f>
        <v>483</v>
      </c>
      <c r="J10" s="25">
        <f t="shared" si="4"/>
        <v>483</v>
      </c>
      <c r="L10" s="142" t="s">
        <v>120</v>
      </c>
      <c r="M10" s="143"/>
      <c r="N10" s="144"/>
      <c r="P10" s="21" t="s">
        <v>30</v>
      </c>
      <c r="Q10" s="22">
        <v>0</v>
      </c>
      <c r="R10" s="22">
        <f>$Q$10</f>
        <v>0</v>
      </c>
      <c r="S10" s="22">
        <f t="shared" ref="S10:Z10" si="7">$Q$10</f>
        <v>0</v>
      </c>
      <c r="T10" s="22">
        <f t="shared" si="7"/>
        <v>0</v>
      </c>
      <c r="U10" s="22">
        <f t="shared" si="7"/>
        <v>0</v>
      </c>
      <c r="V10" s="22">
        <f t="shared" si="7"/>
        <v>0</v>
      </c>
      <c r="W10" s="22">
        <f t="shared" si="7"/>
        <v>0</v>
      </c>
      <c r="X10" s="22">
        <f t="shared" si="7"/>
        <v>0</v>
      </c>
      <c r="Y10" s="22">
        <f t="shared" si="7"/>
        <v>0</v>
      </c>
      <c r="Z10" s="22">
        <f t="shared" si="7"/>
        <v>0</v>
      </c>
    </row>
    <row r="11" spans="2:26" x14ac:dyDescent="0.25">
      <c r="B11" s="24">
        <v>2025</v>
      </c>
      <c r="C11" s="3">
        <f>$M$7*$M$5*$M$4*$M$6*$M$17*U$23*U$41*$M$8</f>
        <v>0</v>
      </c>
      <c r="D11" s="3">
        <f>$M$7*$M$5*$M$4*$M$6*$M$17*U$24*U$42*$M$8</f>
        <v>0</v>
      </c>
      <c r="E11" s="3">
        <f>$M$7*$M$5*$M$4*$M$6*$M$17*U$24*U$42*$M$8</f>
        <v>0</v>
      </c>
      <c r="F11" s="3">
        <f>$M$7*$M$5*$M$4*$M$6*$M$17*U$26*U$44*$M$8</f>
        <v>0</v>
      </c>
      <c r="G11" s="3">
        <f>$M$7*$M$5*$M$4*$M$6*$M$25*U$27*U$45*$M$8</f>
        <v>0</v>
      </c>
      <c r="H11" s="25">
        <f t="shared" si="3"/>
        <v>0</v>
      </c>
      <c r="I11" s="26">
        <f>ROUNDDOWN($M$7*$M$5*$M$4*$M$6*$M$25*U$29*U$47*$M$8, )</f>
        <v>483</v>
      </c>
      <c r="J11" s="25">
        <f t="shared" si="4"/>
        <v>483</v>
      </c>
      <c r="L11" s="145"/>
      <c r="M11" s="146"/>
      <c r="N11" s="147"/>
      <c r="P11" s="21" t="s">
        <v>31</v>
      </c>
      <c r="Q11" s="22">
        <f>'Last MR Verified_Ramela'!C4</f>
        <v>3994.1111111111113</v>
      </c>
      <c r="R11" s="22">
        <f>$Q$11</f>
        <v>3994.1111111111113</v>
      </c>
      <c r="S11" s="22">
        <f t="shared" ref="S11:Z11" si="8">$Q$11</f>
        <v>3994.1111111111113</v>
      </c>
      <c r="T11" s="22">
        <f t="shared" si="8"/>
        <v>3994.1111111111113</v>
      </c>
      <c r="U11" s="22">
        <f t="shared" si="8"/>
        <v>3994.1111111111113</v>
      </c>
      <c r="V11" s="22">
        <f t="shared" si="8"/>
        <v>3994.1111111111113</v>
      </c>
      <c r="W11" s="22">
        <f t="shared" si="8"/>
        <v>3994.1111111111113</v>
      </c>
      <c r="X11" s="22">
        <f t="shared" si="8"/>
        <v>3994.1111111111113</v>
      </c>
      <c r="Y11" s="22">
        <f t="shared" si="8"/>
        <v>3994.1111111111113</v>
      </c>
      <c r="Z11" s="22">
        <f t="shared" si="8"/>
        <v>3994.1111111111113</v>
      </c>
    </row>
    <row r="12" spans="2:26" ht="15.75" x14ac:dyDescent="0.25">
      <c r="B12" s="24">
        <v>2026</v>
      </c>
      <c r="C12" s="3">
        <f>$M$7*$M$5*$M$4*$M$6*$M$17*V$23*V$41*$M$8</f>
        <v>0</v>
      </c>
      <c r="D12" s="3">
        <f>$M$7*$M$5*$M$4*$M$6*$M$17*V$24*V$42*$M$8</f>
        <v>0</v>
      </c>
      <c r="E12" s="3">
        <f>$M$7*$M$5*$M$4*$M$6*$M$17*V$24*V$42*$M$8</f>
        <v>0</v>
      </c>
      <c r="F12" s="3">
        <f>$M$7*$M$5*$M$4*$M$6*$M$17*V$26*V$44*$M$8</f>
        <v>0</v>
      </c>
      <c r="G12" s="3">
        <f>$M$7*$M$5*$M$4*$M$6*$M$25*V$27*V$45*$M$8</f>
        <v>0</v>
      </c>
      <c r="H12" s="25">
        <f t="shared" si="3"/>
        <v>0</v>
      </c>
      <c r="I12" s="26">
        <f>ROUNDDOWN($M$7*$M$5*$M$4*$M$6*$M$25*V$29*V$47*$M$8, )</f>
        <v>483</v>
      </c>
      <c r="J12" s="25">
        <f t="shared" si="4"/>
        <v>483</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$M$7*$M$5*$M$4*$M$6*$M$17*W$23*W$41*$M$8</f>
        <v>0</v>
      </c>
      <c r="D13" s="3">
        <f>$M$7*$M$5*$M$4*$M$6*$M$17*W$24*W$42*$M$8</f>
        <v>0</v>
      </c>
      <c r="E13" s="3">
        <f>$M$7*$M$5*$M$4*$M$6*$M$17*W$24*W$42*$M$8</f>
        <v>0</v>
      </c>
      <c r="F13" s="3">
        <f>$M$7*$M$5*$M$4*$M$6*$M$17*W$26*W$44*$M$8</f>
        <v>0</v>
      </c>
      <c r="G13" s="3">
        <f>$M$7*$M$5*$M$4*$M$6*$M$25*W$27*W$45*$M$8</f>
        <v>0</v>
      </c>
      <c r="H13" s="25">
        <f t="shared" si="3"/>
        <v>0</v>
      </c>
      <c r="I13" s="26">
        <f>ROUNDDOWN($M$7*$M$5*$M$4*$M$6*$M$25*W$29*W$47*$M$8, )</f>
        <v>483</v>
      </c>
      <c r="J13" s="25">
        <f t="shared" si="4"/>
        <v>483</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4.25" customHeight="1" x14ac:dyDescent="0.25">
      <c r="B14" s="24">
        <v>2028</v>
      </c>
      <c r="C14" s="3">
        <f>$M$7*$M$5*$M$4*$M$6*$M$17*X$23*X$41*$M$8</f>
        <v>0</v>
      </c>
      <c r="D14" s="3">
        <f>$M$7*$M$5*$M$4*$M$6*$M$17*X$24*X$42*$M$8</f>
        <v>0</v>
      </c>
      <c r="E14" s="3">
        <f>$M$7*$M$5*$M$4*$M$6*$M$17*X$24*X$42*$M$8</f>
        <v>0</v>
      </c>
      <c r="F14" s="3">
        <f>$M$7*$M$5*$M$4*$M$6*$M$17*X$26*X$44*$M$8</f>
        <v>0</v>
      </c>
      <c r="G14" s="3">
        <f>$M$7*$M$5*$M$4*$M$6*$M$25*X$27*X$45*$M$8</f>
        <v>0</v>
      </c>
      <c r="H14" s="25">
        <f t="shared" si="3"/>
        <v>0</v>
      </c>
      <c r="I14" s="26">
        <f>ROUNDDOWN($M$7*$M$5*$M$4*$M$6*$M$25*X$29*X$47*$M$8, )</f>
        <v>483</v>
      </c>
      <c r="J14" s="25">
        <f t="shared" si="4"/>
        <v>483</v>
      </c>
      <c r="L14" s="139" t="s">
        <v>37</v>
      </c>
      <c r="M14" s="140"/>
      <c r="N14" s="141"/>
      <c r="P14" s="21" t="s">
        <v>25</v>
      </c>
      <c r="Q14" s="22">
        <v>0</v>
      </c>
      <c r="R14" s="22">
        <f>$Q$14</f>
        <v>0</v>
      </c>
      <c r="S14" s="22">
        <f t="shared" ref="S14:Z14" si="9">$Q$14</f>
        <v>0</v>
      </c>
      <c r="T14" s="22">
        <f t="shared" si="9"/>
        <v>0</v>
      </c>
      <c r="U14" s="22">
        <f t="shared" si="9"/>
        <v>0</v>
      </c>
      <c r="V14" s="22">
        <f t="shared" si="9"/>
        <v>0</v>
      </c>
      <c r="W14" s="22">
        <f t="shared" si="9"/>
        <v>0</v>
      </c>
      <c r="X14" s="22">
        <f t="shared" si="9"/>
        <v>0</v>
      </c>
      <c r="Y14" s="22">
        <f t="shared" si="9"/>
        <v>0</v>
      </c>
      <c r="Z14" s="22">
        <f t="shared" si="9"/>
        <v>0</v>
      </c>
    </row>
    <row r="15" spans="2:26" x14ac:dyDescent="0.25">
      <c r="B15" s="24">
        <v>2029</v>
      </c>
      <c r="C15" s="3">
        <f>$M$7*$M$5*$M$4*$M$6*$M$17*Y$23*Y$41*$M$8</f>
        <v>0</v>
      </c>
      <c r="D15" s="3">
        <f>$M$7*$M$5*$M$4*$M$6*$M$17*Y$24*Y$42*$M$8</f>
        <v>0</v>
      </c>
      <c r="E15" s="3">
        <f>$M$7*$M$5*$M$4*$M$6*$M$17*Y$24*Y$42*$M$8</f>
        <v>0</v>
      </c>
      <c r="F15" s="3">
        <f>$M$7*$M$5*$M$4*$M$6*$M$17*Y$26*Y$44*$M$8</f>
        <v>0</v>
      </c>
      <c r="G15" s="3">
        <f>$M$7*$M$5*$M$4*$M$6*$M$25*Y$27*Y$45*$M$8</f>
        <v>0</v>
      </c>
      <c r="H15" s="25">
        <f t="shared" si="3"/>
        <v>0</v>
      </c>
      <c r="I15" s="26">
        <f>ROUNDDOWN($M$7*$M$5*$M$4*$M$6*$M$25*Y$29*Y$47*$M$8, )</f>
        <v>483</v>
      </c>
      <c r="J15" s="25">
        <f t="shared" si="4"/>
        <v>483</v>
      </c>
      <c r="L15" s="74" t="s">
        <v>40</v>
      </c>
      <c r="M15" s="75">
        <f>(1.7*(M19/1000))</f>
        <v>0.34849999999999998</v>
      </c>
      <c r="N15" s="74" t="s">
        <v>38</v>
      </c>
      <c r="P15" s="21" t="s">
        <v>26</v>
      </c>
      <c r="Q15" s="22">
        <v>0</v>
      </c>
      <c r="R15" s="22">
        <f>$Q$15</f>
        <v>0</v>
      </c>
      <c r="S15" s="22">
        <f t="shared" ref="S15:Z15" si="10">$Q$15</f>
        <v>0</v>
      </c>
      <c r="T15" s="22">
        <f t="shared" si="10"/>
        <v>0</v>
      </c>
      <c r="U15" s="22">
        <f t="shared" si="10"/>
        <v>0</v>
      </c>
      <c r="V15" s="22">
        <f t="shared" si="10"/>
        <v>0</v>
      </c>
      <c r="W15" s="22">
        <f t="shared" si="10"/>
        <v>0</v>
      </c>
      <c r="X15" s="22">
        <f t="shared" si="10"/>
        <v>0</v>
      </c>
      <c r="Y15" s="22">
        <f t="shared" si="10"/>
        <v>0</v>
      </c>
      <c r="Z15" s="22">
        <f t="shared" si="10"/>
        <v>0</v>
      </c>
    </row>
    <row r="16" spans="2:26" ht="14.25" customHeight="1" x14ac:dyDescent="0.25">
      <c r="B16" s="24">
        <v>2030</v>
      </c>
      <c r="C16" s="3">
        <f>$M$7*$M$5*$M$4*$M$6*$M$17*Z$23*Z$41*$M$8</f>
        <v>0</v>
      </c>
      <c r="D16" s="3">
        <f>$M$7*$M$5*$M$4*$M$6*$M$17*Z$24*Z$42*$M$8</f>
        <v>0</v>
      </c>
      <c r="E16" s="3">
        <f>$M$7*$M$5*$M$4*$M$6*$M$17*Z$24*Z$42*$M$8</f>
        <v>0</v>
      </c>
      <c r="F16" s="3">
        <f>$M$7*$M$5*$M$4*$M$6*$M$17*Z$26*Z$44*$M$8</f>
        <v>0</v>
      </c>
      <c r="G16" s="3">
        <f>$M$7*$M$5*$M$4*$M$6*$M$25*Z$27*Z$45*$M$8</f>
        <v>0</v>
      </c>
      <c r="H16" s="25">
        <f t="shared" si="3"/>
        <v>0</v>
      </c>
      <c r="I16" s="26">
        <f>ROUNDDOWN($M$7*$M$5*$M$4*$M$6*$M$25*Z$29*Z$47*$M$8, )</f>
        <v>483</v>
      </c>
      <c r="J16" s="25">
        <f t="shared" si="4"/>
        <v>483</v>
      </c>
      <c r="L16" s="139" t="s">
        <v>42</v>
      </c>
      <c r="M16" s="140"/>
      <c r="N16" s="141"/>
      <c r="P16" s="21" t="s">
        <v>39</v>
      </c>
      <c r="Q16" s="22">
        <v>0</v>
      </c>
      <c r="R16" s="22">
        <f>$Q$16</f>
        <v>0</v>
      </c>
      <c r="S16" s="22">
        <f t="shared" ref="S16:Z16" si="11">$Q$16</f>
        <v>0</v>
      </c>
      <c r="T16" s="22">
        <f t="shared" si="11"/>
        <v>0</v>
      </c>
      <c r="U16" s="22">
        <f t="shared" si="11"/>
        <v>0</v>
      </c>
      <c r="V16" s="22">
        <f t="shared" si="11"/>
        <v>0</v>
      </c>
      <c r="W16" s="22">
        <f t="shared" si="11"/>
        <v>0</v>
      </c>
      <c r="X16" s="22">
        <f t="shared" si="11"/>
        <v>0</v>
      </c>
      <c r="Y16" s="22">
        <f t="shared" si="11"/>
        <v>0</v>
      </c>
      <c r="Z16" s="22">
        <f t="shared" si="11"/>
        <v>0</v>
      </c>
    </row>
    <row r="17" spans="2:26" ht="15.75" x14ac:dyDescent="0.25">
      <c r="B17" s="28" t="s">
        <v>0</v>
      </c>
      <c r="C17" s="25">
        <f>ROUNDDOWN(SUM(C7:C16),)</f>
        <v>0</v>
      </c>
      <c r="D17" s="25">
        <f t="shared" ref="D17:H17" si="12">ROUNDDOWN(SUM(D7:D16),)</f>
        <v>0</v>
      </c>
      <c r="E17" s="25">
        <f t="shared" si="12"/>
        <v>0</v>
      </c>
      <c r="F17" s="25">
        <f t="shared" si="12"/>
        <v>0</v>
      </c>
      <c r="G17" s="25">
        <f t="shared" si="12"/>
        <v>0</v>
      </c>
      <c r="H17" s="25">
        <f t="shared" si="12"/>
        <v>0</v>
      </c>
      <c r="I17" s="25">
        <f>ROUNDDOWN(SUM(I7:I16),)</f>
        <v>4830</v>
      </c>
      <c r="J17" s="25">
        <f>ROUNDDOWN(SUM(J7:J16),)</f>
        <v>4830</v>
      </c>
      <c r="L17" s="74" t="s">
        <v>40</v>
      </c>
      <c r="M17" s="74">
        <f>0.45</f>
        <v>0.45</v>
      </c>
      <c r="N17" s="74" t="s">
        <v>43</v>
      </c>
      <c r="P17" s="21" t="s">
        <v>41</v>
      </c>
      <c r="Q17" s="22">
        <v>0</v>
      </c>
      <c r="R17" s="22">
        <f>$Q$17</f>
        <v>0</v>
      </c>
      <c r="S17" s="22">
        <f t="shared" ref="S17:Z17" si="13">$Q$17</f>
        <v>0</v>
      </c>
      <c r="T17" s="22">
        <f t="shared" si="13"/>
        <v>0</v>
      </c>
      <c r="U17" s="22">
        <f t="shared" si="13"/>
        <v>0</v>
      </c>
      <c r="V17" s="22">
        <f t="shared" si="13"/>
        <v>0</v>
      </c>
      <c r="W17" s="22">
        <f t="shared" si="13"/>
        <v>0</v>
      </c>
      <c r="X17" s="22">
        <f t="shared" si="13"/>
        <v>0</v>
      </c>
      <c r="Y17" s="22">
        <f t="shared" si="13"/>
        <v>0</v>
      </c>
      <c r="Z17" s="22">
        <f t="shared" si="13"/>
        <v>0</v>
      </c>
    </row>
    <row r="18" spans="2:26" ht="14.25" customHeight="1" x14ac:dyDescent="0.25">
      <c r="B18" s="29"/>
      <c r="C18" s="30"/>
      <c r="D18" s="30"/>
      <c r="E18" s="30"/>
      <c r="F18" s="30"/>
      <c r="G18" s="30"/>
      <c r="H18" s="30"/>
      <c r="I18" s="30"/>
      <c r="J18" s="30"/>
      <c r="L18" s="139" t="s">
        <v>46</v>
      </c>
      <c r="M18" s="140"/>
      <c r="N18" s="141"/>
      <c r="P18" s="21" t="s">
        <v>29</v>
      </c>
      <c r="Q18" s="22">
        <v>0</v>
      </c>
      <c r="R18" s="22">
        <f>$Q$18</f>
        <v>0</v>
      </c>
      <c r="S18" s="22">
        <f t="shared" ref="S18:Z18" si="14">$Q$18</f>
        <v>0</v>
      </c>
      <c r="T18" s="22">
        <f t="shared" si="14"/>
        <v>0</v>
      </c>
      <c r="U18" s="22">
        <f t="shared" si="14"/>
        <v>0</v>
      </c>
      <c r="V18" s="22">
        <f t="shared" si="14"/>
        <v>0</v>
      </c>
      <c r="W18" s="22">
        <f t="shared" si="14"/>
        <v>0</v>
      </c>
      <c r="X18" s="22">
        <f t="shared" si="14"/>
        <v>0</v>
      </c>
      <c r="Y18" s="22">
        <f t="shared" si="14"/>
        <v>0</v>
      </c>
      <c r="Z18" s="22">
        <f t="shared" si="14"/>
        <v>0</v>
      </c>
    </row>
    <row r="19" spans="2:26" ht="14.25" customHeight="1" x14ac:dyDescent="0.25">
      <c r="B19" s="29"/>
      <c r="C19" s="30"/>
      <c r="D19" s="30"/>
      <c r="E19" s="30"/>
      <c r="F19" s="30"/>
      <c r="G19" s="30"/>
      <c r="H19" s="30"/>
      <c r="I19" s="30"/>
      <c r="J19" s="30"/>
      <c r="L19" s="74" t="s">
        <v>40</v>
      </c>
      <c r="M19" s="74">
        <v>205</v>
      </c>
      <c r="N19" s="74" t="s">
        <v>47</v>
      </c>
      <c r="P19" s="21" t="s">
        <v>44</v>
      </c>
      <c r="Q19" s="22">
        <v>0</v>
      </c>
      <c r="R19" s="22">
        <f>$Q$19</f>
        <v>0</v>
      </c>
      <c r="S19" s="22">
        <f t="shared" ref="S19:Z19" si="15">$Q$19</f>
        <v>0</v>
      </c>
      <c r="T19" s="22">
        <f t="shared" si="15"/>
        <v>0</v>
      </c>
      <c r="U19" s="22">
        <f t="shared" si="15"/>
        <v>0</v>
      </c>
      <c r="V19" s="22">
        <f t="shared" si="15"/>
        <v>0</v>
      </c>
      <c r="W19" s="22">
        <f t="shared" si="15"/>
        <v>0</v>
      </c>
      <c r="X19" s="22">
        <f t="shared" si="15"/>
        <v>0</v>
      </c>
      <c r="Y19" s="22">
        <f t="shared" si="15"/>
        <v>0</v>
      </c>
      <c r="Z19" s="22">
        <f t="shared" si="15"/>
        <v>0</v>
      </c>
    </row>
    <row r="20" spans="2:26" x14ac:dyDescent="0.25">
      <c r="B20" s="30"/>
      <c r="C20" s="30"/>
      <c r="D20" s="30"/>
      <c r="E20" s="30"/>
      <c r="F20" s="30"/>
      <c r="G20" s="30"/>
      <c r="H20" s="30"/>
      <c r="I20" s="30"/>
      <c r="J20" s="30"/>
      <c r="L20" s="148" t="s">
        <v>131</v>
      </c>
      <c r="M20" s="149"/>
      <c r="N20" s="150"/>
      <c r="P20" s="21" t="s">
        <v>31</v>
      </c>
      <c r="Q20" s="22">
        <f>'Last MR Verified_Ramela'!C5</f>
        <v>107.64804530109986</v>
      </c>
      <c r="R20" s="22">
        <f>$Q$20</f>
        <v>107.64804530109986</v>
      </c>
      <c r="S20" s="22">
        <f t="shared" ref="S20:Z20" si="16">$Q$20</f>
        <v>107.64804530109986</v>
      </c>
      <c r="T20" s="22">
        <f t="shared" si="16"/>
        <v>107.64804530109986</v>
      </c>
      <c r="U20" s="22">
        <f t="shared" si="16"/>
        <v>107.64804530109986</v>
      </c>
      <c r="V20" s="22">
        <f t="shared" si="16"/>
        <v>107.64804530109986</v>
      </c>
      <c r="W20" s="22">
        <f t="shared" si="16"/>
        <v>107.64804530109986</v>
      </c>
      <c r="X20" s="22">
        <f t="shared" si="16"/>
        <v>107.64804530109986</v>
      </c>
      <c r="Y20" s="22">
        <f t="shared" si="16"/>
        <v>107.64804530109986</v>
      </c>
      <c r="Z20" s="22">
        <f t="shared" si="16"/>
        <v>107.64804530109986</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4.2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30"/>
      <c r="I23" s="30"/>
      <c r="J23" s="30"/>
      <c r="L23" s="74" t="s">
        <v>40</v>
      </c>
      <c r="M23" s="75">
        <f>(4.3*(M27/1000))</f>
        <v>0.25369999999999998</v>
      </c>
      <c r="N23" s="74" t="s">
        <v>38</v>
      </c>
      <c r="P23" s="21" t="s">
        <v>25</v>
      </c>
      <c r="Q23" s="31">
        <v>0</v>
      </c>
      <c r="R23" s="31">
        <f>$Q$23</f>
        <v>0</v>
      </c>
      <c r="S23" s="31">
        <f t="shared" ref="S23:Z23" si="17">$Q$23</f>
        <v>0</v>
      </c>
      <c r="T23" s="31">
        <f t="shared" si="17"/>
        <v>0</v>
      </c>
      <c r="U23" s="31">
        <f t="shared" si="17"/>
        <v>0</v>
      </c>
      <c r="V23" s="31">
        <f t="shared" si="17"/>
        <v>0</v>
      </c>
      <c r="W23" s="31">
        <f t="shared" si="17"/>
        <v>0</v>
      </c>
      <c r="X23" s="31">
        <f t="shared" si="17"/>
        <v>0</v>
      </c>
      <c r="Y23" s="31">
        <f t="shared" si="17"/>
        <v>0</v>
      </c>
      <c r="Z23" s="31">
        <f t="shared" si="17"/>
        <v>0</v>
      </c>
    </row>
    <row r="24" spans="2:26" ht="14.25" customHeight="1" x14ac:dyDescent="0.25">
      <c r="B24" s="30"/>
      <c r="C24" s="30"/>
      <c r="D24" s="30"/>
      <c r="E24" s="30"/>
      <c r="F24" s="30"/>
      <c r="G24" s="30"/>
      <c r="H24" s="30"/>
      <c r="I24" s="30"/>
      <c r="J24" s="30"/>
      <c r="L24" s="139" t="s">
        <v>42</v>
      </c>
      <c r="M24" s="140"/>
      <c r="N24" s="141"/>
      <c r="P24" s="21" t="s">
        <v>26</v>
      </c>
      <c r="Q24" s="31">
        <v>0</v>
      </c>
      <c r="R24" s="31">
        <f>$Q$24</f>
        <v>0</v>
      </c>
      <c r="S24" s="31">
        <f t="shared" ref="S24:Z24" si="18">$Q$24</f>
        <v>0</v>
      </c>
      <c r="T24" s="31">
        <f t="shared" si="18"/>
        <v>0</v>
      </c>
      <c r="U24" s="31">
        <f t="shared" si="18"/>
        <v>0</v>
      </c>
      <c r="V24" s="31">
        <f t="shared" si="18"/>
        <v>0</v>
      </c>
      <c r="W24" s="31">
        <f t="shared" si="18"/>
        <v>0</v>
      </c>
      <c r="X24" s="31">
        <f t="shared" si="18"/>
        <v>0</v>
      </c>
      <c r="Y24" s="31">
        <f t="shared" si="18"/>
        <v>0</v>
      </c>
      <c r="Z24" s="31">
        <f t="shared" si="18"/>
        <v>0</v>
      </c>
    </row>
    <row r="25" spans="2:26" ht="15.75" x14ac:dyDescent="0.25">
      <c r="B25" s="30"/>
      <c r="C25" s="30"/>
      <c r="D25" s="30"/>
      <c r="E25" s="30"/>
      <c r="F25" s="30"/>
      <c r="G25" s="30"/>
      <c r="H25" s="30"/>
      <c r="I25" s="30"/>
      <c r="J25" s="30"/>
      <c r="L25" s="74" t="s">
        <v>40</v>
      </c>
      <c r="M25" s="74">
        <f>0.45</f>
        <v>0.45</v>
      </c>
      <c r="N25" s="74" t="s">
        <v>43</v>
      </c>
      <c r="P25" s="21" t="s">
        <v>39</v>
      </c>
      <c r="Q25" s="31">
        <v>0</v>
      </c>
      <c r="R25" s="31">
        <f>$Q$25</f>
        <v>0</v>
      </c>
      <c r="S25" s="31">
        <f t="shared" ref="S25:Z25" si="19">$Q$25</f>
        <v>0</v>
      </c>
      <c r="T25" s="31">
        <f t="shared" si="19"/>
        <v>0</v>
      </c>
      <c r="U25" s="31">
        <f t="shared" si="19"/>
        <v>0</v>
      </c>
      <c r="V25" s="31">
        <f t="shared" si="19"/>
        <v>0</v>
      </c>
      <c r="W25" s="31">
        <f t="shared" si="19"/>
        <v>0</v>
      </c>
      <c r="X25" s="31">
        <f t="shared" si="19"/>
        <v>0</v>
      </c>
      <c r="Y25" s="31">
        <f t="shared" si="19"/>
        <v>0</v>
      </c>
      <c r="Z25" s="31">
        <f t="shared" si="19"/>
        <v>0</v>
      </c>
    </row>
    <row r="26" spans="2:26" ht="12.75" customHeight="1" x14ac:dyDescent="0.25">
      <c r="B26" s="30"/>
      <c r="C26" s="30"/>
      <c r="D26" s="30"/>
      <c r="E26" s="30"/>
      <c r="F26" s="30"/>
      <c r="G26" s="30"/>
      <c r="H26" s="30"/>
      <c r="I26" s="30"/>
      <c r="J26" s="30"/>
      <c r="L26" s="139" t="s">
        <v>46</v>
      </c>
      <c r="M26" s="140"/>
      <c r="N26" s="141"/>
      <c r="P26" s="21" t="s">
        <v>41</v>
      </c>
      <c r="Q26" s="31">
        <v>0</v>
      </c>
      <c r="R26" s="31">
        <f>$Q$26</f>
        <v>0</v>
      </c>
      <c r="S26" s="31">
        <f t="shared" ref="S26:Z26" si="20">$Q$26</f>
        <v>0</v>
      </c>
      <c r="T26" s="31">
        <f t="shared" si="20"/>
        <v>0</v>
      </c>
      <c r="U26" s="31">
        <f t="shared" si="20"/>
        <v>0</v>
      </c>
      <c r="V26" s="31">
        <f t="shared" si="20"/>
        <v>0</v>
      </c>
      <c r="W26" s="31">
        <f t="shared" si="20"/>
        <v>0</v>
      </c>
      <c r="X26" s="31">
        <f t="shared" si="20"/>
        <v>0</v>
      </c>
      <c r="Y26" s="31">
        <f t="shared" si="20"/>
        <v>0</v>
      </c>
      <c r="Z26" s="31">
        <f t="shared" si="20"/>
        <v>0</v>
      </c>
    </row>
    <row r="27" spans="2:26" ht="12.75" customHeight="1" x14ac:dyDescent="0.25">
      <c r="B27" s="30"/>
      <c r="C27" s="30"/>
      <c r="D27" s="30"/>
      <c r="E27" s="30"/>
      <c r="F27" s="30"/>
      <c r="G27" s="30"/>
      <c r="H27" s="30"/>
      <c r="I27" s="30"/>
      <c r="J27" s="30"/>
      <c r="L27" s="74" t="s">
        <v>40</v>
      </c>
      <c r="M27" s="74">
        <v>59</v>
      </c>
      <c r="N27" s="74" t="s">
        <v>47</v>
      </c>
      <c r="P27" s="21" t="s">
        <v>29</v>
      </c>
      <c r="Q27" s="31">
        <v>0</v>
      </c>
      <c r="R27" s="31">
        <f>$Q$27</f>
        <v>0</v>
      </c>
      <c r="S27" s="31">
        <f t="shared" ref="S27:Z27" si="21">$Q$27</f>
        <v>0</v>
      </c>
      <c r="T27" s="31">
        <f t="shared" si="21"/>
        <v>0</v>
      </c>
      <c r="U27" s="31">
        <f t="shared" si="21"/>
        <v>0</v>
      </c>
      <c r="V27" s="31">
        <f t="shared" si="21"/>
        <v>0</v>
      </c>
      <c r="W27" s="31">
        <f t="shared" si="21"/>
        <v>0</v>
      </c>
      <c r="X27" s="31">
        <f t="shared" si="21"/>
        <v>0</v>
      </c>
      <c r="Y27" s="31">
        <f t="shared" si="21"/>
        <v>0</v>
      </c>
      <c r="Z27" s="31">
        <f t="shared" si="21"/>
        <v>0</v>
      </c>
    </row>
    <row r="28" spans="2:26" x14ac:dyDescent="0.25">
      <c r="B28" s="30"/>
      <c r="C28" s="30"/>
      <c r="D28" s="30"/>
      <c r="E28" s="30"/>
      <c r="F28" s="30"/>
      <c r="G28" s="30"/>
      <c r="H28" s="30"/>
      <c r="I28" s="30"/>
      <c r="J28" s="30"/>
      <c r="L28" s="30"/>
      <c r="M28" s="30"/>
      <c r="N28" s="30"/>
      <c r="P28" s="21" t="s">
        <v>44</v>
      </c>
      <c r="Q28" s="31">
        <v>0</v>
      </c>
      <c r="R28" s="31">
        <f>$Q$28</f>
        <v>0</v>
      </c>
      <c r="S28" s="31">
        <f t="shared" ref="S28:Z28" si="22">$Q$28</f>
        <v>0</v>
      </c>
      <c r="T28" s="31">
        <f t="shared" si="22"/>
        <v>0</v>
      </c>
      <c r="U28" s="31">
        <f t="shared" si="22"/>
        <v>0</v>
      </c>
      <c r="V28" s="31">
        <f t="shared" si="22"/>
        <v>0</v>
      </c>
      <c r="W28" s="31">
        <f t="shared" si="22"/>
        <v>0</v>
      </c>
      <c r="X28" s="31">
        <f t="shared" si="22"/>
        <v>0</v>
      </c>
      <c r="Y28" s="31">
        <f t="shared" si="22"/>
        <v>0</v>
      </c>
      <c r="Z28" s="31">
        <f t="shared" si="22"/>
        <v>0</v>
      </c>
    </row>
    <row r="29" spans="2:26" x14ac:dyDescent="0.25">
      <c r="B29" s="30"/>
      <c r="C29" s="30"/>
      <c r="D29" s="30"/>
      <c r="E29" s="30"/>
      <c r="F29" s="30"/>
      <c r="G29" s="30"/>
      <c r="H29" s="30"/>
      <c r="I29" s="30"/>
      <c r="J29" s="30"/>
      <c r="L29" s="30"/>
      <c r="M29" s="30"/>
      <c r="N29" s="30"/>
      <c r="P29" s="21" t="s">
        <v>31</v>
      </c>
      <c r="Q29" s="22">
        <f>'Last MR Verified_Ramela'!C6</f>
        <v>1177.9678187027812</v>
      </c>
      <c r="R29" s="22">
        <f>$Q$29</f>
        <v>1177.9678187027812</v>
      </c>
      <c r="S29" s="22">
        <f t="shared" ref="S29:Z29" si="23">$Q$29</f>
        <v>1177.9678187027812</v>
      </c>
      <c r="T29" s="22">
        <f t="shared" si="23"/>
        <v>1177.9678187027812</v>
      </c>
      <c r="U29" s="22">
        <f t="shared" si="23"/>
        <v>1177.9678187027812</v>
      </c>
      <c r="V29" s="22">
        <f t="shared" si="23"/>
        <v>1177.9678187027812</v>
      </c>
      <c r="W29" s="22">
        <f t="shared" si="23"/>
        <v>1177.9678187027812</v>
      </c>
      <c r="X29" s="22">
        <f t="shared" si="23"/>
        <v>1177.9678187027812</v>
      </c>
      <c r="Y29" s="22">
        <f t="shared" si="23"/>
        <v>1177.9678187027812</v>
      </c>
      <c r="Z29" s="22">
        <f t="shared" si="23"/>
        <v>1177.9678187027812</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x14ac:dyDescent="0.25">
      <c r="C32" s="30"/>
      <c r="D32" s="30"/>
      <c r="E32" s="30"/>
      <c r="F32" s="30"/>
      <c r="G32" s="30"/>
      <c r="H32" s="30"/>
      <c r="I32" s="30"/>
      <c r="J32" s="30"/>
      <c r="L32" s="30"/>
      <c r="M32" s="30"/>
      <c r="N32" s="30"/>
      <c r="P32" s="21" t="s">
        <v>49</v>
      </c>
      <c r="Q32" s="128">
        <v>0</v>
      </c>
      <c r="R32" s="128">
        <f>$Q$32</f>
        <v>0</v>
      </c>
      <c r="S32" s="128">
        <f t="shared" ref="S32:Z32" si="24">$Q$32</f>
        <v>0</v>
      </c>
      <c r="T32" s="128">
        <f t="shared" si="24"/>
        <v>0</v>
      </c>
      <c r="U32" s="128">
        <f t="shared" si="24"/>
        <v>0</v>
      </c>
      <c r="V32" s="128">
        <f t="shared" si="24"/>
        <v>0</v>
      </c>
      <c r="W32" s="128">
        <f t="shared" si="24"/>
        <v>0</v>
      </c>
      <c r="X32" s="128">
        <f t="shared" si="24"/>
        <v>0</v>
      </c>
      <c r="Y32" s="128">
        <f t="shared" si="24"/>
        <v>0</v>
      </c>
      <c r="Z32" s="128">
        <f t="shared" si="24"/>
        <v>0</v>
      </c>
    </row>
    <row r="33" spans="3:26" x14ac:dyDescent="0.25">
      <c r="C33" s="30"/>
      <c r="D33" s="30"/>
      <c r="E33" s="30"/>
      <c r="F33" s="30"/>
      <c r="G33" s="30"/>
      <c r="H33" s="30"/>
      <c r="I33" s="30"/>
      <c r="J33" s="30"/>
      <c r="L33" s="30"/>
      <c r="M33" s="30"/>
      <c r="N33" s="30"/>
      <c r="P33" s="21" t="s">
        <v>26</v>
      </c>
      <c r="Q33" s="128">
        <v>0</v>
      </c>
      <c r="R33" s="128">
        <f>$Q$33</f>
        <v>0</v>
      </c>
      <c r="S33" s="128">
        <f t="shared" ref="S33:Z33" si="25">$Q$33</f>
        <v>0</v>
      </c>
      <c r="T33" s="128">
        <f t="shared" si="25"/>
        <v>0</v>
      </c>
      <c r="U33" s="128">
        <f t="shared" si="25"/>
        <v>0</v>
      </c>
      <c r="V33" s="128">
        <f t="shared" si="25"/>
        <v>0</v>
      </c>
      <c r="W33" s="128">
        <f t="shared" si="25"/>
        <v>0</v>
      </c>
      <c r="X33" s="128">
        <f t="shared" si="25"/>
        <v>0</v>
      </c>
      <c r="Y33" s="128">
        <f t="shared" si="25"/>
        <v>0</v>
      </c>
      <c r="Z33" s="128">
        <f t="shared" si="25"/>
        <v>0</v>
      </c>
    </row>
    <row r="34" spans="3:26" ht="14.25" customHeight="1" x14ac:dyDescent="0.25">
      <c r="C34" s="30"/>
      <c r="D34" s="30"/>
      <c r="E34" s="30"/>
      <c r="F34" s="30"/>
      <c r="G34" s="30"/>
      <c r="H34" s="30"/>
      <c r="I34" s="30"/>
      <c r="J34" s="30"/>
      <c r="L34" s="30"/>
      <c r="M34" s="30"/>
      <c r="N34" s="30"/>
      <c r="P34" s="21" t="s">
        <v>39</v>
      </c>
      <c r="Q34" s="128">
        <v>0</v>
      </c>
      <c r="R34" s="128">
        <f>$Q$34</f>
        <v>0</v>
      </c>
      <c r="S34" s="128">
        <f t="shared" ref="S34:Z34" si="26">$Q$34</f>
        <v>0</v>
      </c>
      <c r="T34" s="128">
        <f t="shared" si="26"/>
        <v>0</v>
      </c>
      <c r="U34" s="128">
        <f t="shared" si="26"/>
        <v>0</v>
      </c>
      <c r="V34" s="128">
        <f t="shared" si="26"/>
        <v>0</v>
      </c>
      <c r="W34" s="128">
        <f t="shared" si="26"/>
        <v>0</v>
      </c>
      <c r="X34" s="128">
        <f t="shared" si="26"/>
        <v>0</v>
      </c>
      <c r="Y34" s="128">
        <f t="shared" si="26"/>
        <v>0</v>
      </c>
      <c r="Z34" s="128">
        <f t="shared" si="26"/>
        <v>0</v>
      </c>
    </row>
    <row r="35" spans="3:26" ht="12.75" customHeight="1" x14ac:dyDescent="0.25">
      <c r="C35" s="30"/>
      <c r="D35" s="30"/>
      <c r="E35" s="30"/>
      <c r="F35" s="30"/>
      <c r="G35" s="30"/>
      <c r="H35" s="30"/>
      <c r="I35" s="30"/>
      <c r="J35" s="30"/>
      <c r="L35" s="30"/>
      <c r="M35" s="30"/>
      <c r="N35" s="30"/>
      <c r="P35" s="21" t="s">
        <v>41</v>
      </c>
      <c r="Q35" s="128">
        <v>0</v>
      </c>
      <c r="R35" s="128">
        <f>$Q$35</f>
        <v>0</v>
      </c>
      <c r="S35" s="128">
        <f t="shared" ref="S35:Z35" si="27">$Q$35</f>
        <v>0</v>
      </c>
      <c r="T35" s="128">
        <f t="shared" si="27"/>
        <v>0</v>
      </c>
      <c r="U35" s="128">
        <f t="shared" si="27"/>
        <v>0</v>
      </c>
      <c r="V35" s="128">
        <f t="shared" si="27"/>
        <v>0</v>
      </c>
      <c r="W35" s="128">
        <f t="shared" si="27"/>
        <v>0</v>
      </c>
      <c r="X35" s="128">
        <f t="shared" si="27"/>
        <v>0</v>
      </c>
      <c r="Y35" s="128">
        <f t="shared" si="27"/>
        <v>0</v>
      </c>
      <c r="Z35" s="128">
        <f t="shared" si="27"/>
        <v>0</v>
      </c>
    </row>
    <row r="36" spans="3:26" x14ac:dyDescent="0.25">
      <c r="C36" s="30"/>
      <c r="D36" s="30"/>
      <c r="E36" s="30"/>
      <c r="F36" s="30"/>
      <c r="G36" s="30"/>
      <c r="H36" s="30"/>
      <c r="I36" s="30"/>
      <c r="J36" s="30"/>
      <c r="L36" s="30"/>
      <c r="M36" s="30"/>
      <c r="N36" s="30"/>
      <c r="P36" s="21" t="s">
        <v>50</v>
      </c>
      <c r="Q36" s="128">
        <v>0</v>
      </c>
      <c r="R36" s="128">
        <f>$Q$36</f>
        <v>0</v>
      </c>
      <c r="S36" s="128">
        <f t="shared" ref="S36:Z36" si="28">$Q$36</f>
        <v>0</v>
      </c>
      <c r="T36" s="128">
        <f t="shared" si="28"/>
        <v>0</v>
      </c>
      <c r="U36" s="128">
        <f t="shared" si="28"/>
        <v>0</v>
      </c>
      <c r="V36" s="128">
        <f t="shared" si="28"/>
        <v>0</v>
      </c>
      <c r="W36" s="128">
        <f t="shared" si="28"/>
        <v>0</v>
      </c>
      <c r="X36" s="128">
        <f t="shared" si="28"/>
        <v>0</v>
      </c>
      <c r="Y36" s="128">
        <f t="shared" si="28"/>
        <v>0</v>
      </c>
      <c r="Z36" s="128">
        <f t="shared" si="28"/>
        <v>0</v>
      </c>
    </row>
    <row r="37" spans="3:26" ht="15" customHeight="1" x14ac:dyDescent="0.25">
      <c r="C37" s="30"/>
      <c r="D37" s="30"/>
      <c r="E37" s="30"/>
      <c r="F37" s="30"/>
      <c r="G37" s="30"/>
      <c r="H37" s="30"/>
      <c r="I37" s="30"/>
      <c r="J37" s="30"/>
      <c r="L37" s="30"/>
      <c r="M37" s="30"/>
      <c r="N37" s="30"/>
      <c r="P37" s="21" t="s">
        <v>30</v>
      </c>
      <c r="Q37" s="128">
        <v>0</v>
      </c>
      <c r="R37" s="128">
        <f>$Q$37</f>
        <v>0</v>
      </c>
      <c r="S37" s="128">
        <f t="shared" ref="S37:Z37" si="29">$Q$37</f>
        <v>0</v>
      </c>
      <c r="T37" s="128">
        <f t="shared" si="29"/>
        <v>0</v>
      </c>
      <c r="U37" s="128">
        <f t="shared" si="29"/>
        <v>0</v>
      </c>
      <c r="V37" s="128">
        <f t="shared" si="29"/>
        <v>0</v>
      </c>
      <c r="W37" s="128">
        <f t="shared" si="29"/>
        <v>0</v>
      </c>
      <c r="X37" s="128">
        <f t="shared" si="29"/>
        <v>0</v>
      </c>
      <c r="Y37" s="128">
        <f t="shared" si="29"/>
        <v>0</v>
      </c>
      <c r="Z37" s="128">
        <f t="shared" si="29"/>
        <v>0</v>
      </c>
    </row>
    <row r="38" spans="3:26" x14ac:dyDescent="0.25">
      <c r="C38" s="30"/>
      <c r="D38" s="30"/>
      <c r="E38" s="30"/>
      <c r="F38" s="30"/>
      <c r="G38" s="30"/>
      <c r="H38" s="30"/>
      <c r="I38" s="30"/>
      <c r="J38" s="30"/>
      <c r="L38" s="30"/>
      <c r="M38" s="30"/>
      <c r="N38" s="30"/>
      <c r="P38" s="21" t="s">
        <v>31</v>
      </c>
      <c r="Q38" s="128">
        <f>'Last MR Verified_Ramela'!C7</f>
        <v>56.557151314328827</v>
      </c>
      <c r="R38" s="128">
        <f>$Q$38</f>
        <v>56.557151314328827</v>
      </c>
      <c r="S38" s="128">
        <f t="shared" ref="S38:Z38" si="30">$Q$38</f>
        <v>56.557151314328827</v>
      </c>
      <c r="T38" s="128">
        <f t="shared" si="30"/>
        <v>56.557151314328827</v>
      </c>
      <c r="U38" s="128">
        <f t="shared" si="30"/>
        <v>56.557151314328827</v>
      </c>
      <c r="V38" s="128">
        <f t="shared" si="30"/>
        <v>56.557151314328827</v>
      </c>
      <c r="W38" s="128">
        <f t="shared" si="30"/>
        <v>56.557151314328827</v>
      </c>
      <c r="X38" s="128">
        <f t="shared" si="30"/>
        <v>56.557151314328827</v>
      </c>
      <c r="Y38" s="128">
        <f t="shared" si="30"/>
        <v>56.557151314328827</v>
      </c>
      <c r="Z38" s="128">
        <f t="shared" si="30"/>
        <v>56.557151314328827</v>
      </c>
    </row>
    <row r="39" spans="3:26" x14ac:dyDescent="0.25">
      <c r="C39" s="30"/>
      <c r="D39" s="30"/>
      <c r="E39" s="30"/>
      <c r="F39" s="30"/>
      <c r="G39" s="30"/>
      <c r="H39" s="30"/>
      <c r="I39" s="30"/>
      <c r="J39" s="30"/>
      <c r="L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31">
        <f>(Q32/$M$19)*$M$15*Q50</f>
        <v>0</v>
      </c>
      <c r="R41" s="22">
        <f t="shared" ref="R41:Z47" si="31">$Q41</f>
        <v>0</v>
      </c>
      <c r="S41" s="22">
        <f t="shared" si="31"/>
        <v>0</v>
      </c>
      <c r="T41" s="22">
        <f t="shared" si="31"/>
        <v>0</v>
      </c>
      <c r="U41" s="22">
        <f t="shared" si="31"/>
        <v>0</v>
      </c>
      <c r="V41" s="22">
        <f t="shared" si="31"/>
        <v>0</v>
      </c>
      <c r="W41" s="22">
        <f t="shared" si="31"/>
        <v>0</v>
      </c>
      <c r="X41" s="22">
        <f t="shared" si="31"/>
        <v>0</v>
      </c>
      <c r="Y41" s="22">
        <f t="shared" si="31"/>
        <v>0</v>
      </c>
      <c r="Z41" s="22">
        <f t="shared" si="31"/>
        <v>0</v>
      </c>
    </row>
    <row r="42" spans="3:26" x14ac:dyDescent="0.25">
      <c r="L42" s="32"/>
      <c r="M42" s="33"/>
      <c r="N42" s="33"/>
      <c r="P42" s="21" t="s">
        <v>26</v>
      </c>
      <c r="Q42" s="31">
        <f>(Q33/$M$19)*$M$15*Q51</f>
        <v>0</v>
      </c>
      <c r="R42" s="22">
        <f t="shared" si="31"/>
        <v>0</v>
      </c>
      <c r="S42" s="22">
        <f t="shared" si="31"/>
        <v>0</v>
      </c>
      <c r="T42" s="22">
        <f t="shared" si="31"/>
        <v>0</v>
      </c>
      <c r="U42" s="22">
        <f t="shared" si="31"/>
        <v>0</v>
      </c>
      <c r="V42" s="22">
        <f t="shared" si="31"/>
        <v>0</v>
      </c>
      <c r="W42" s="22">
        <f t="shared" si="31"/>
        <v>0</v>
      </c>
      <c r="X42" s="22">
        <f t="shared" si="31"/>
        <v>0</v>
      </c>
      <c r="Y42" s="22">
        <f t="shared" si="31"/>
        <v>0</v>
      </c>
      <c r="Z42" s="22">
        <f t="shared" si="31"/>
        <v>0</v>
      </c>
    </row>
    <row r="43" spans="3:26" x14ac:dyDescent="0.25">
      <c r="L43" s="32"/>
      <c r="M43" s="33"/>
      <c r="N43" s="33"/>
      <c r="P43" s="21" t="s">
        <v>39</v>
      </c>
      <c r="Q43" s="31">
        <f>(Q34/$M$19)*$M$15*Q52</f>
        <v>0</v>
      </c>
      <c r="R43" s="22">
        <f t="shared" si="31"/>
        <v>0</v>
      </c>
      <c r="S43" s="22">
        <f t="shared" si="31"/>
        <v>0</v>
      </c>
      <c r="T43" s="22">
        <f t="shared" si="31"/>
        <v>0</v>
      </c>
      <c r="U43" s="22">
        <f t="shared" si="31"/>
        <v>0</v>
      </c>
      <c r="V43" s="22">
        <f t="shared" si="31"/>
        <v>0</v>
      </c>
      <c r="W43" s="22">
        <f t="shared" si="31"/>
        <v>0</v>
      </c>
      <c r="X43" s="22">
        <f t="shared" si="31"/>
        <v>0</v>
      </c>
      <c r="Y43" s="22">
        <f t="shared" si="31"/>
        <v>0</v>
      </c>
      <c r="Z43" s="22">
        <f t="shared" si="31"/>
        <v>0</v>
      </c>
    </row>
    <row r="44" spans="3:26" x14ac:dyDescent="0.25">
      <c r="L44" s="32"/>
      <c r="M44" s="33"/>
      <c r="N44" s="33"/>
      <c r="P44" s="21" t="s">
        <v>41</v>
      </c>
      <c r="Q44" s="31">
        <f>(Q35/$M$19)*$M$15*Q53</f>
        <v>0</v>
      </c>
      <c r="R44" s="22">
        <f t="shared" si="31"/>
        <v>0</v>
      </c>
      <c r="S44" s="22">
        <f t="shared" si="31"/>
        <v>0</v>
      </c>
      <c r="T44" s="22">
        <f t="shared" si="31"/>
        <v>0</v>
      </c>
      <c r="U44" s="22">
        <f t="shared" si="31"/>
        <v>0</v>
      </c>
      <c r="V44" s="22">
        <f t="shared" si="31"/>
        <v>0</v>
      </c>
      <c r="W44" s="22">
        <f t="shared" si="31"/>
        <v>0</v>
      </c>
      <c r="X44" s="22">
        <f t="shared" si="31"/>
        <v>0</v>
      </c>
      <c r="Y44" s="22">
        <f t="shared" si="31"/>
        <v>0</v>
      </c>
      <c r="Z44" s="22">
        <f t="shared" si="31"/>
        <v>0</v>
      </c>
    </row>
    <row r="45" spans="3:26" x14ac:dyDescent="0.25">
      <c r="P45" s="21" t="s">
        <v>50</v>
      </c>
      <c r="Q45" s="31">
        <f>(Q36/$M$27)*$M$23*Q54</f>
        <v>0</v>
      </c>
      <c r="R45" s="22">
        <f t="shared" si="31"/>
        <v>0</v>
      </c>
      <c r="S45" s="22">
        <f t="shared" si="31"/>
        <v>0</v>
      </c>
      <c r="T45" s="22">
        <f t="shared" si="31"/>
        <v>0</v>
      </c>
      <c r="U45" s="22">
        <f t="shared" si="31"/>
        <v>0</v>
      </c>
      <c r="V45" s="22">
        <f t="shared" si="31"/>
        <v>0</v>
      </c>
      <c r="W45" s="22">
        <f t="shared" si="31"/>
        <v>0</v>
      </c>
      <c r="X45" s="22">
        <f t="shared" si="31"/>
        <v>0</v>
      </c>
      <c r="Y45" s="22">
        <f t="shared" si="31"/>
        <v>0</v>
      </c>
      <c r="Z45" s="22">
        <f t="shared" si="31"/>
        <v>0</v>
      </c>
    </row>
    <row r="46" spans="3:26" x14ac:dyDescent="0.25">
      <c r="P46" s="21" t="s">
        <v>30</v>
      </c>
      <c r="Q46" s="31">
        <f>(Q37/$M$27)*$M$23*Q55</f>
        <v>0</v>
      </c>
      <c r="R46" s="22">
        <f t="shared" si="31"/>
        <v>0</v>
      </c>
      <c r="S46" s="22">
        <f t="shared" si="31"/>
        <v>0</v>
      </c>
      <c r="T46" s="22">
        <f t="shared" si="31"/>
        <v>0</v>
      </c>
      <c r="U46" s="22">
        <f t="shared" si="31"/>
        <v>0</v>
      </c>
      <c r="V46" s="22">
        <f t="shared" si="31"/>
        <v>0</v>
      </c>
      <c r="W46" s="22">
        <f t="shared" si="31"/>
        <v>0</v>
      </c>
      <c r="X46" s="22">
        <f t="shared" si="31"/>
        <v>0</v>
      </c>
      <c r="Y46" s="22">
        <f t="shared" si="31"/>
        <v>0</v>
      </c>
      <c r="Z46" s="22">
        <f t="shared" si="31"/>
        <v>0</v>
      </c>
    </row>
    <row r="47" spans="3:26" x14ac:dyDescent="0.25">
      <c r="P47" s="21" t="s">
        <v>31</v>
      </c>
      <c r="Q47" s="31">
        <f>(Q38/$M$27)*$M$23*Q56</f>
        <v>70.851028689836852</v>
      </c>
      <c r="R47" s="22">
        <f t="shared" si="31"/>
        <v>70.851028689836852</v>
      </c>
      <c r="S47" s="22">
        <f t="shared" si="31"/>
        <v>70.851028689836852</v>
      </c>
      <c r="T47" s="22">
        <f t="shared" si="31"/>
        <v>70.851028689836852</v>
      </c>
      <c r="U47" s="22">
        <f t="shared" si="31"/>
        <v>70.851028689836852</v>
      </c>
      <c r="V47" s="22">
        <f t="shared" si="31"/>
        <v>70.851028689836852</v>
      </c>
      <c r="W47" s="22">
        <f t="shared" si="31"/>
        <v>70.851028689836852</v>
      </c>
      <c r="X47" s="22">
        <f t="shared" si="31"/>
        <v>70.851028689836852</v>
      </c>
      <c r="Y47" s="22">
        <f t="shared" si="31"/>
        <v>70.851028689836852</v>
      </c>
      <c r="Z47" s="22">
        <f t="shared" si="31"/>
        <v>70.851028689836852</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25">
        <v>0</v>
      </c>
      <c r="R50" s="22">
        <f>$Q$50</f>
        <v>0</v>
      </c>
      <c r="S50" s="22">
        <f t="shared" ref="S50:Z50" si="32">$Q$50</f>
        <v>0</v>
      </c>
      <c r="T50" s="22">
        <f t="shared" si="32"/>
        <v>0</v>
      </c>
      <c r="U50" s="22">
        <f t="shared" si="32"/>
        <v>0</v>
      </c>
      <c r="V50" s="22">
        <f t="shared" si="32"/>
        <v>0</v>
      </c>
      <c r="W50" s="22">
        <f t="shared" si="32"/>
        <v>0</v>
      </c>
      <c r="X50" s="22">
        <f t="shared" si="32"/>
        <v>0</v>
      </c>
      <c r="Y50" s="22">
        <f t="shared" si="32"/>
        <v>0</v>
      </c>
      <c r="Z50" s="22">
        <f t="shared" si="32"/>
        <v>0</v>
      </c>
    </row>
    <row r="51" spans="15:26" x14ac:dyDescent="0.25">
      <c r="O51" s="30"/>
      <c r="P51" s="21" t="s">
        <v>26</v>
      </c>
      <c r="Q51" s="25">
        <v>0</v>
      </c>
      <c r="R51" s="22">
        <f>$Q$51</f>
        <v>0</v>
      </c>
      <c r="S51" s="22">
        <f t="shared" ref="S51:Z51" si="33">$Q$51</f>
        <v>0</v>
      </c>
      <c r="T51" s="22">
        <f t="shared" si="33"/>
        <v>0</v>
      </c>
      <c r="U51" s="22">
        <f t="shared" si="33"/>
        <v>0</v>
      </c>
      <c r="V51" s="22">
        <f t="shared" si="33"/>
        <v>0</v>
      </c>
      <c r="W51" s="22">
        <f t="shared" si="33"/>
        <v>0</v>
      </c>
      <c r="X51" s="22">
        <f t="shared" si="33"/>
        <v>0</v>
      </c>
      <c r="Y51" s="22">
        <f t="shared" si="33"/>
        <v>0</v>
      </c>
      <c r="Z51" s="22">
        <f t="shared" si="33"/>
        <v>0</v>
      </c>
    </row>
    <row r="52" spans="15:26" x14ac:dyDescent="0.25">
      <c r="O52" s="30"/>
      <c r="P52" s="21" t="s">
        <v>39</v>
      </c>
      <c r="Q52" s="25">
        <v>0</v>
      </c>
      <c r="R52" s="22">
        <f>$Q$52</f>
        <v>0</v>
      </c>
      <c r="S52" s="22">
        <f t="shared" ref="S52:Z52" si="34">$Q$52</f>
        <v>0</v>
      </c>
      <c r="T52" s="22">
        <f t="shared" si="34"/>
        <v>0</v>
      </c>
      <c r="U52" s="22">
        <f t="shared" si="34"/>
        <v>0</v>
      </c>
      <c r="V52" s="22">
        <f t="shared" si="34"/>
        <v>0</v>
      </c>
      <c r="W52" s="22">
        <f t="shared" si="34"/>
        <v>0</v>
      </c>
      <c r="X52" s="22">
        <f t="shared" si="34"/>
        <v>0</v>
      </c>
      <c r="Y52" s="22">
        <f t="shared" si="34"/>
        <v>0</v>
      </c>
      <c r="Z52" s="22">
        <f t="shared" si="34"/>
        <v>0</v>
      </c>
    </row>
    <row r="53" spans="15:26" x14ac:dyDescent="0.25">
      <c r="O53" s="30"/>
      <c r="P53" s="21" t="s">
        <v>41</v>
      </c>
      <c r="Q53" s="25">
        <v>0</v>
      </c>
      <c r="R53" s="22">
        <f>$Q$53</f>
        <v>0</v>
      </c>
      <c r="S53" s="22">
        <f t="shared" ref="S53:Z53" si="35">$Q$53</f>
        <v>0</v>
      </c>
      <c r="T53" s="22">
        <f t="shared" si="35"/>
        <v>0</v>
      </c>
      <c r="U53" s="22">
        <f t="shared" si="35"/>
        <v>0</v>
      </c>
      <c r="V53" s="22">
        <f t="shared" si="35"/>
        <v>0</v>
      </c>
      <c r="W53" s="22">
        <f t="shared" si="35"/>
        <v>0</v>
      </c>
      <c r="X53" s="22">
        <f t="shared" si="35"/>
        <v>0</v>
      </c>
      <c r="Y53" s="22">
        <f t="shared" si="35"/>
        <v>0</v>
      </c>
      <c r="Z53" s="22">
        <f t="shared" si="35"/>
        <v>0</v>
      </c>
    </row>
    <row r="54" spans="15:26" x14ac:dyDescent="0.25">
      <c r="O54" s="30"/>
      <c r="P54" s="21" t="s">
        <v>50</v>
      </c>
      <c r="Q54" s="25">
        <v>0</v>
      </c>
      <c r="R54" s="22">
        <f>$Q$54</f>
        <v>0</v>
      </c>
      <c r="S54" s="22">
        <f t="shared" ref="S54:Z54" si="36">$Q$54</f>
        <v>0</v>
      </c>
      <c r="T54" s="22">
        <f t="shared" si="36"/>
        <v>0</v>
      </c>
      <c r="U54" s="22">
        <f t="shared" si="36"/>
        <v>0</v>
      </c>
      <c r="V54" s="22">
        <f t="shared" si="36"/>
        <v>0</v>
      </c>
      <c r="W54" s="22">
        <f t="shared" si="36"/>
        <v>0</v>
      </c>
      <c r="X54" s="22">
        <f t="shared" si="36"/>
        <v>0</v>
      </c>
      <c r="Y54" s="22">
        <f t="shared" si="36"/>
        <v>0</v>
      </c>
      <c r="Z54" s="22">
        <f t="shared" si="36"/>
        <v>0</v>
      </c>
    </row>
    <row r="55" spans="15:26" x14ac:dyDescent="0.25">
      <c r="O55" s="30"/>
      <c r="P55" s="21" t="s">
        <v>30</v>
      </c>
      <c r="Q55" s="18">
        <v>0</v>
      </c>
      <c r="R55" s="22">
        <f>$Q$55</f>
        <v>0</v>
      </c>
      <c r="S55" s="22">
        <f t="shared" ref="S55:Z55" si="37">$Q$55</f>
        <v>0</v>
      </c>
      <c r="T55" s="22">
        <f t="shared" si="37"/>
        <v>0</v>
      </c>
      <c r="U55" s="22">
        <f t="shared" si="37"/>
        <v>0</v>
      </c>
      <c r="V55" s="22">
        <f t="shared" si="37"/>
        <v>0</v>
      </c>
      <c r="W55" s="22">
        <f t="shared" si="37"/>
        <v>0</v>
      </c>
      <c r="X55" s="22">
        <f t="shared" si="37"/>
        <v>0</v>
      </c>
      <c r="Y55" s="22">
        <f t="shared" si="37"/>
        <v>0</v>
      </c>
      <c r="Z55" s="22">
        <f t="shared" si="37"/>
        <v>0</v>
      </c>
    </row>
    <row r="56" spans="15:26" x14ac:dyDescent="0.25">
      <c r="O56" s="30"/>
      <c r="P56" s="21" t="s">
        <v>31</v>
      </c>
      <c r="Q56" s="90">
        <f>'Last MR Verified_Ramela'!C8</f>
        <v>291.33333333333331</v>
      </c>
      <c r="R56" s="90">
        <f>$Q$56</f>
        <v>291.33333333333331</v>
      </c>
      <c r="S56" s="90">
        <f t="shared" ref="S56:Z56" si="38">$Q$56</f>
        <v>291.33333333333331</v>
      </c>
      <c r="T56" s="90">
        <f t="shared" si="38"/>
        <v>291.33333333333331</v>
      </c>
      <c r="U56" s="90">
        <f t="shared" si="38"/>
        <v>291.33333333333331</v>
      </c>
      <c r="V56" s="90">
        <f t="shared" si="38"/>
        <v>291.33333333333331</v>
      </c>
      <c r="W56" s="90">
        <f t="shared" si="38"/>
        <v>291.33333333333331</v>
      </c>
      <c r="X56" s="90">
        <f t="shared" si="38"/>
        <v>291.33333333333331</v>
      </c>
      <c r="Y56" s="90">
        <f t="shared" si="38"/>
        <v>291.33333333333331</v>
      </c>
      <c r="Z56" s="90">
        <f t="shared" si="38"/>
        <v>291.33333333333331</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P48:Z48"/>
    <mergeCell ref="P30:Z30"/>
    <mergeCell ref="P39:Z39"/>
    <mergeCell ref="P21:Z21"/>
    <mergeCell ref="L22:N22"/>
    <mergeCell ref="L24:N24"/>
    <mergeCell ref="L26:N26"/>
    <mergeCell ref="L20:N20"/>
    <mergeCell ref="B2:J2"/>
    <mergeCell ref="L2:N2"/>
    <mergeCell ref="L14:N14"/>
    <mergeCell ref="L16:N16"/>
    <mergeCell ref="L18:N18"/>
    <mergeCell ref="P2:Z2"/>
    <mergeCell ref="P3:Z3"/>
    <mergeCell ref="B5:J5"/>
    <mergeCell ref="L10:N11"/>
    <mergeCell ref="L12:N12"/>
    <mergeCell ref="P12:Z12"/>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B9663-6672-41C1-B850-7038E12AC2AD}">
  <sheetPr>
    <tabColor theme="2" tint="-0.499984740745262"/>
  </sheetPr>
  <dimension ref="A1:BE34"/>
  <sheetViews>
    <sheetView showGridLines="0" topLeftCell="K1" zoomScale="80" zoomScaleNormal="80" workbookViewId="0">
      <selection activeCell="L13" sqref="L13"/>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ht="15.75" x14ac:dyDescent="0.2">
      <c r="B4" s="157" t="s">
        <v>56</v>
      </c>
      <c r="C4" s="157"/>
      <c r="D4" s="157"/>
      <c r="E4" s="157"/>
      <c r="F4" s="157"/>
      <c r="G4" s="157"/>
      <c r="H4" s="157"/>
      <c r="I4" s="35"/>
      <c r="J4" s="21" t="s">
        <v>26</v>
      </c>
      <c r="K4" s="36">
        <v>11</v>
      </c>
      <c r="L4" s="36">
        <f>BEy_Ramela!Q24*BEy_Ramela!Q51*K4</f>
        <v>0</v>
      </c>
      <c r="M4" s="36">
        <f>$L$4</f>
        <v>0</v>
      </c>
      <c r="N4" s="36">
        <f t="shared" ref="N4:U4" si="0">$L$4</f>
        <v>0</v>
      </c>
      <c r="O4" s="36">
        <f t="shared" si="0"/>
        <v>0</v>
      </c>
      <c r="P4" s="36">
        <f t="shared" si="0"/>
        <v>0</v>
      </c>
      <c r="Q4" s="36">
        <f t="shared" si="0"/>
        <v>0</v>
      </c>
      <c r="R4" s="36">
        <f t="shared" si="0"/>
        <v>0</v>
      </c>
      <c r="S4" s="36">
        <f t="shared" si="0"/>
        <v>0</v>
      </c>
      <c r="T4" s="36">
        <f t="shared" si="0"/>
        <v>0</v>
      </c>
      <c r="U4" s="36">
        <f t="shared" si="0"/>
        <v>0</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23" t="s">
        <v>2</v>
      </c>
      <c r="C5" s="23" t="s">
        <v>57</v>
      </c>
      <c r="D5" s="23" t="s">
        <v>58</v>
      </c>
      <c r="E5" s="23" t="s">
        <v>59</v>
      </c>
      <c r="F5" s="23" t="s">
        <v>60</v>
      </c>
      <c r="G5" s="23" t="s">
        <v>61</v>
      </c>
      <c r="H5" s="23" t="s">
        <v>62</v>
      </c>
      <c r="I5" s="35"/>
      <c r="J5" s="21" t="s">
        <v>39</v>
      </c>
      <c r="K5" s="36">
        <v>18</v>
      </c>
      <c r="L5" s="36">
        <f>BEy_Ramela!Q25*BEy_Ramela!Q52*K5</f>
        <v>0</v>
      </c>
      <c r="M5" s="36">
        <f>$L$5</f>
        <v>0</v>
      </c>
      <c r="N5" s="36">
        <f t="shared" ref="N5:U5" si="1">$L$5</f>
        <v>0</v>
      </c>
      <c r="O5" s="36">
        <f t="shared" si="1"/>
        <v>0</v>
      </c>
      <c r="P5" s="36">
        <f t="shared" si="1"/>
        <v>0</v>
      </c>
      <c r="Q5" s="36">
        <f t="shared" si="1"/>
        <v>0</v>
      </c>
      <c r="R5" s="36">
        <f t="shared" si="1"/>
        <v>0</v>
      </c>
      <c r="S5" s="36">
        <f t="shared" si="1"/>
        <v>0</v>
      </c>
      <c r="T5" s="36">
        <f t="shared" si="1"/>
        <v>0</v>
      </c>
      <c r="U5" s="36">
        <f t="shared" si="1"/>
        <v>0</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x14ac:dyDescent="0.2">
      <c r="B6" s="24">
        <v>2021</v>
      </c>
      <c r="C6" s="36">
        <f>L16</f>
        <v>3.8366034762628094</v>
      </c>
      <c r="D6" s="37">
        <v>0</v>
      </c>
      <c r="E6" s="36">
        <f>L19</f>
        <v>94.16894630036191</v>
      </c>
      <c r="F6" s="41">
        <f>L23</f>
        <v>89.124181319985396</v>
      </c>
      <c r="G6" s="37">
        <v>0</v>
      </c>
      <c r="H6" s="36">
        <f>ROUNDDOWN(SUM(C6:G6),)</f>
        <v>187</v>
      </c>
      <c r="I6" s="35"/>
      <c r="J6" s="21" t="s">
        <v>41</v>
      </c>
      <c r="K6" s="36">
        <v>6</v>
      </c>
      <c r="L6" s="36">
        <f>BEy_Ramela!Q26*BEy_Ramela!Q53*K6</f>
        <v>0</v>
      </c>
      <c r="M6" s="36">
        <f>$L$6</f>
        <v>0</v>
      </c>
      <c r="N6" s="36">
        <f t="shared" ref="N6:U6" si="2">$L$6</f>
        <v>0</v>
      </c>
      <c r="O6" s="36">
        <f t="shared" si="2"/>
        <v>0</v>
      </c>
      <c r="P6" s="36">
        <f t="shared" si="2"/>
        <v>0</v>
      </c>
      <c r="Q6" s="36">
        <f t="shared" si="2"/>
        <v>0</v>
      </c>
      <c r="R6" s="36">
        <f t="shared" si="2"/>
        <v>0</v>
      </c>
      <c r="S6" s="36">
        <f t="shared" si="2"/>
        <v>0</v>
      </c>
      <c r="T6" s="36">
        <f t="shared" si="2"/>
        <v>0</v>
      </c>
      <c r="U6" s="36">
        <f t="shared" si="2"/>
        <v>0</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5">
      <c r="A7" s="39"/>
      <c r="B7" s="24">
        <v>2022</v>
      </c>
      <c r="C7" s="36">
        <f>M16</f>
        <v>3.8366034762628094</v>
      </c>
      <c r="D7" s="37">
        <v>0</v>
      </c>
      <c r="E7" s="36">
        <f>M19</f>
        <v>94.16894630036191</v>
      </c>
      <c r="F7" s="41">
        <f>M23</f>
        <v>89.124181319985396</v>
      </c>
      <c r="G7" s="37">
        <v>0</v>
      </c>
      <c r="H7" s="36">
        <f t="shared" ref="H7:H15" si="3">ROUNDDOWN(SUM(C7:G7),)</f>
        <v>187</v>
      </c>
      <c r="J7" s="21" t="s">
        <v>29</v>
      </c>
      <c r="K7" s="36">
        <f>K8</f>
        <v>0.95</v>
      </c>
      <c r="L7" s="36">
        <f>BEy_Ramela!Q27*BEy_Ramela!Q54*K7</f>
        <v>0</v>
      </c>
      <c r="M7" s="36">
        <f>$L$7</f>
        <v>0</v>
      </c>
      <c r="N7" s="36">
        <f t="shared" ref="N7:U7" si="4">$L$7</f>
        <v>0</v>
      </c>
      <c r="O7" s="36">
        <f t="shared" si="4"/>
        <v>0</v>
      </c>
      <c r="P7" s="36">
        <f t="shared" si="4"/>
        <v>0</v>
      </c>
      <c r="Q7" s="36">
        <f t="shared" si="4"/>
        <v>0</v>
      </c>
      <c r="R7" s="36">
        <f t="shared" si="4"/>
        <v>0</v>
      </c>
      <c r="S7" s="36">
        <f t="shared" si="4"/>
        <v>0</v>
      </c>
      <c r="T7" s="36">
        <f t="shared" si="4"/>
        <v>0</v>
      </c>
      <c r="U7" s="36">
        <f t="shared" si="4"/>
        <v>0</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2023</v>
      </c>
      <c r="C8" s="36">
        <f>N16</f>
        <v>3.8366034762628094</v>
      </c>
      <c r="D8" s="37">
        <v>0</v>
      </c>
      <c r="E8" s="36">
        <f>N19</f>
        <v>94.16894630036191</v>
      </c>
      <c r="F8" s="41">
        <f>N23</f>
        <v>89.124181319985396</v>
      </c>
      <c r="G8" s="37">
        <v>0</v>
      </c>
      <c r="H8" s="36">
        <f t="shared" si="3"/>
        <v>187</v>
      </c>
      <c r="J8" s="21" t="s">
        <v>44</v>
      </c>
      <c r="K8" s="36">
        <v>0.95</v>
      </c>
      <c r="L8" s="36">
        <f>BEy_Ramela!Q28*BEy_Ramela!Q55*K8</f>
        <v>0</v>
      </c>
      <c r="M8" s="36">
        <f>$L$8</f>
        <v>0</v>
      </c>
      <c r="N8" s="36">
        <f t="shared" ref="N8:U8" si="5">$L$8</f>
        <v>0</v>
      </c>
      <c r="O8" s="36">
        <f t="shared" si="5"/>
        <v>0</v>
      </c>
      <c r="P8" s="36">
        <f t="shared" si="5"/>
        <v>0</v>
      </c>
      <c r="Q8" s="36">
        <f t="shared" si="5"/>
        <v>0</v>
      </c>
      <c r="R8" s="36">
        <f t="shared" si="5"/>
        <v>0</v>
      </c>
      <c r="S8" s="36">
        <f t="shared" si="5"/>
        <v>0</v>
      </c>
      <c r="T8" s="36">
        <f t="shared" si="5"/>
        <v>0</v>
      </c>
      <c r="U8" s="36">
        <f t="shared" si="5"/>
        <v>0</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2024</v>
      </c>
      <c r="C9" s="36">
        <f>O16</f>
        <v>3.8366034762628094</v>
      </c>
      <c r="D9" s="37">
        <v>0</v>
      </c>
      <c r="E9" s="36">
        <f>O19</f>
        <v>94.16894630036191</v>
      </c>
      <c r="F9" s="41">
        <f>O23</f>
        <v>89.124181319985396</v>
      </c>
      <c r="G9" s="37">
        <v>0</v>
      </c>
      <c r="H9" s="36">
        <f t="shared" si="3"/>
        <v>187</v>
      </c>
      <c r="J9" s="21" t="s">
        <v>31</v>
      </c>
      <c r="K9" s="36">
        <v>4.9000000000000004</v>
      </c>
      <c r="L9" s="36">
        <f>BEy_Ramela!Q29*BEy_Ramela!Q56*K9</f>
        <v>1681588.326792177</v>
      </c>
      <c r="M9" s="36">
        <f>$L$9</f>
        <v>1681588.326792177</v>
      </c>
      <c r="N9" s="36">
        <f t="shared" ref="N9:U9" si="6">$L$9</f>
        <v>1681588.326792177</v>
      </c>
      <c r="O9" s="36">
        <f t="shared" si="6"/>
        <v>1681588.326792177</v>
      </c>
      <c r="P9" s="36">
        <f t="shared" si="6"/>
        <v>1681588.326792177</v>
      </c>
      <c r="Q9" s="36">
        <f t="shared" si="6"/>
        <v>1681588.326792177</v>
      </c>
      <c r="R9" s="36">
        <f t="shared" si="6"/>
        <v>1681588.326792177</v>
      </c>
      <c r="S9" s="36">
        <f t="shared" si="6"/>
        <v>1681588.326792177</v>
      </c>
      <c r="T9" s="36">
        <f t="shared" si="6"/>
        <v>1681588.326792177</v>
      </c>
      <c r="U9" s="36">
        <f t="shared" si="6"/>
        <v>1681588.326792177</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
      <c r="B10" s="24">
        <v>2025</v>
      </c>
      <c r="C10" s="36">
        <f>P16</f>
        <v>3.8366034762628094</v>
      </c>
      <c r="D10" s="37">
        <v>0</v>
      </c>
      <c r="E10" s="36">
        <f>P19</f>
        <v>94.16894630036191</v>
      </c>
      <c r="F10" s="41">
        <f>P23</f>
        <v>89.124181319985396</v>
      </c>
      <c r="G10" s="37">
        <v>0</v>
      </c>
      <c r="H10" s="36">
        <f t="shared" si="3"/>
        <v>187</v>
      </c>
      <c r="J10" s="40" t="s">
        <v>63</v>
      </c>
      <c r="K10" s="21" t="s">
        <v>64</v>
      </c>
      <c r="L10" s="36">
        <f t="shared" ref="L10:U10" si="7">SUM(L4:L9)/1000</f>
        <v>1681.588326792177</v>
      </c>
      <c r="M10" s="36">
        <f t="shared" si="7"/>
        <v>1681.588326792177</v>
      </c>
      <c r="N10" s="36">
        <f t="shared" si="7"/>
        <v>1681.588326792177</v>
      </c>
      <c r="O10" s="36">
        <f t="shared" si="7"/>
        <v>1681.588326792177</v>
      </c>
      <c r="P10" s="36">
        <f t="shared" si="7"/>
        <v>1681.588326792177</v>
      </c>
      <c r="Q10" s="36">
        <f t="shared" si="7"/>
        <v>1681.588326792177</v>
      </c>
      <c r="R10" s="36">
        <f t="shared" si="7"/>
        <v>1681.588326792177</v>
      </c>
      <c r="S10" s="36">
        <f t="shared" si="7"/>
        <v>1681.588326792177</v>
      </c>
      <c r="T10" s="36">
        <f t="shared" si="7"/>
        <v>1681.588326792177</v>
      </c>
      <c r="U10" s="36">
        <f t="shared" si="7"/>
        <v>1681.588326792177</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ht="19.5" customHeight="1" x14ac:dyDescent="0.2">
      <c r="B11" s="24">
        <v>2026</v>
      </c>
      <c r="C11" s="36">
        <f>S16</f>
        <v>3.8366034762628094</v>
      </c>
      <c r="D11" s="37">
        <v>0</v>
      </c>
      <c r="E11" s="36">
        <f>Q19</f>
        <v>94.16894630036191</v>
      </c>
      <c r="F11" s="41">
        <f>Q23</f>
        <v>89.124181319985396</v>
      </c>
      <c r="G11" s="37">
        <v>0</v>
      </c>
      <c r="H11" s="36">
        <f t="shared" si="3"/>
        <v>187</v>
      </c>
      <c r="J11" s="152" t="s">
        <v>65</v>
      </c>
      <c r="K11" s="153"/>
      <c r="L11" s="153"/>
      <c r="M11" s="153"/>
      <c r="N11" s="153"/>
      <c r="O11" s="153"/>
      <c r="P11" s="153"/>
      <c r="Q11" s="153"/>
      <c r="R11" s="153"/>
      <c r="S11" s="153"/>
      <c r="T11" s="153"/>
      <c r="U11" s="153"/>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2027</v>
      </c>
      <c r="C12" s="36">
        <f>T16</f>
        <v>3.8366034762628094</v>
      </c>
      <c r="D12" s="37">
        <v>0</v>
      </c>
      <c r="E12" s="36">
        <f>T19</f>
        <v>94.16894630036191</v>
      </c>
      <c r="F12" s="41">
        <f>R23</f>
        <v>89.124181319985396</v>
      </c>
      <c r="G12" s="37">
        <v>0</v>
      </c>
      <c r="H12" s="36">
        <f t="shared" si="3"/>
        <v>187</v>
      </c>
      <c r="J12" s="21" t="s">
        <v>66</v>
      </c>
      <c r="K12" s="21" t="s">
        <v>67</v>
      </c>
      <c r="L12" s="36">
        <v>0.01</v>
      </c>
      <c r="M12" s="36">
        <v>0.01</v>
      </c>
      <c r="N12" s="36">
        <v>0.01</v>
      </c>
      <c r="O12" s="36">
        <v>0.01</v>
      </c>
      <c r="P12" s="36">
        <v>0.01</v>
      </c>
      <c r="Q12" s="36">
        <v>0.01</v>
      </c>
      <c r="R12" s="36">
        <v>0.01</v>
      </c>
      <c r="S12" s="36">
        <v>0.01</v>
      </c>
      <c r="T12" s="36">
        <v>0.01</v>
      </c>
      <c r="U12" s="36">
        <v>0.01</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5.75" x14ac:dyDescent="0.2">
      <c r="B13" s="24">
        <v>2028</v>
      </c>
      <c r="C13" s="36">
        <f>U16</f>
        <v>3.8366034762628094</v>
      </c>
      <c r="D13" s="37">
        <v>0</v>
      </c>
      <c r="E13" s="36">
        <f>R19</f>
        <v>94.16894630036191</v>
      </c>
      <c r="F13" s="41">
        <f>S23</f>
        <v>89.124181319985396</v>
      </c>
      <c r="G13" s="37">
        <v>0</v>
      </c>
      <c r="H13" s="36">
        <f t="shared" si="3"/>
        <v>187</v>
      </c>
      <c r="J13" s="21" t="s">
        <v>68</v>
      </c>
      <c r="K13" s="21" t="s">
        <v>69</v>
      </c>
      <c r="L13" s="36">
        <f t="shared" ref="L13:U13" si="8">L12*L10</f>
        <v>16.81588326792177</v>
      </c>
      <c r="M13" s="36">
        <f t="shared" si="8"/>
        <v>16.81588326792177</v>
      </c>
      <c r="N13" s="36">
        <f t="shared" si="8"/>
        <v>16.81588326792177</v>
      </c>
      <c r="O13" s="36">
        <f t="shared" si="8"/>
        <v>16.81588326792177</v>
      </c>
      <c r="P13" s="36">
        <f t="shared" si="8"/>
        <v>16.81588326792177</v>
      </c>
      <c r="Q13" s="36">
        <f t="shared" si="8"/>
        <v>16.81588326792177</v>
      </c>
      <c r="R13" s="36">
        <f t="shared" si="8"/>
        <v>16.81588326792177</v>
      </c>
      <c r="S13" s="36">
        <f t="shared" si="8"/>
        <v>16.81588326792177</v>
      </c>
      <c r="T13" s="36">
        <f t="shared" si="8"/>
        <v>16.81588326792177</v>
      </c>
      <c r="U13" s="36">
        <f t="shared" si="8"/>
        <v>16.81588326792177</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2029</v>
      </c>
      <c r="C14" s="36">
        <f>T16</f>
        <v>3.8366034762628094</v>
      </c>
      <c r="D14" s="37">
        <v>0</v>
      </c>
      <c r="E14" s="36">
        <f>S19</f>
        <v>94.16894630036191</v>
      </c>
      <c r="F14" s="41">
        <f>T23</f>
        <v>89.124181319985396</v>
      </c>
      <c r="G14" s="37">
        <v>0</v>
      </c>
      <c r="H14" s="36">
        <f t="shared" si="3"/>
        <v>187</v>
      </c>
      <c r="J14" s="21" t="s">
        <v>70</v>
      </c>
      <c r="K14" s="21" t="s">
        <v>71</v>
      </c>
      <c r="L14" s="36">
        <f>'Emission Factor of the Grid'!$L$30</f>
        <v>0.19012795894291856</v>
      </c>
      <c r="M14" s="36">
        <f>'Emission Factor of the Grid'!$L$30</f>
        <v>0.19012795894291856</v>
      </c>
      <c r="N14" s="36">
        <f>'Emission Factor of the Grid'!$L$30</f>
        <v>0.19012795894291856</v>
      </c>
      <c r="O14" s="36">
        <f>'Emission Factor of the Grid'!$L$30</f>
        <v>0.19012795894291856</v>
      </c>
      <c r="P14" s="36">
        <f>'Emission Factor of the Grid'!$L$30</f>
        <v>0.19012795894291856</v>
      </c>
      <c r="Q14" s="36">
        <f>'Emission Factor of the Grid'!$L$30</f>
        <v>0.19012795894291856</v>
      </c>
      <c r="R14" s="36">
        <f>'Emission Factor of the Grid'!$L$30</f>
        <v>0.19012795894291856</v>
      </c>
      <c r="S14" s="36">
        <f>'Emission Factor of the Grid'!$L$30</f>
        <v>0.19012795894291856</v>
      </c>
      <c r="T14" s="36">
        <f>'Emission Factor of the Grid'!$L$30</f>
        <v>0.19012795894291856</v>
      </c>
      <c r="U14" s="36">
        <f>'Emission Factor of the Grid'!$L$30</f>
        <v>0.19012795894291856</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2030</v>
      </c>
      <c r="C15" s="36">
        <f>U16</f>
        <v>3.8366034762628094</v>
      </c>
      <c r="D15" s="37">
        <v>0</v>
      </c>
      <c r="E15" s="36">
        <f>T19</f>
        <v>94.16894630036191</v>
      </c>
      <c r="F15" s="41">
        <f>U23</f>
        <v>89.124181319985396</v>
      </c>
      <c r="G15" s="37">
        <v>0</v>
      </c>
      <c r="H15" s="36">
        <f t="shared" si="3"/>
        <v>187</v>
      </c>
      <c r="J15" s="21" t="s">
        <v>72</v>
      </c>
      <c r="K15" s="21" t="s">
        <v>73</v>
      </c>
      <c r="L15" s="70">
        <v>0.2</v>
      </c>
      <c r="M15" s="70">
        <v>0.2</v>
      </c>
      <c r="N15" s="70">
        <v>0.2</v>
      </c>
      <c r="O15" s="70">
        <v>0.2</v>
      </c>
      <c r="P15" s="70">
        <v>0.2</v>
      </c>
      <c r="Q15" s="70">
        <v>0.2</v>
      </c>
      <c r="R15" s="70">
        <v>0.2</v>
      </c>
      <c r="S15" s="70">
        <v>0.2</v>
      </c>
      <c r="T15" s="70">
        <v>0.2</v>
      </c>
      <c r="U15" s="70">
        <v>0.2</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J16" s="21" t="s">
        <v>117</v>
      </c>
      <c r="K16" s="21" t="s">
        <v>74</v>
      </c>
      <c r="L16" s="36">
        <f>L13*L14*(1+L15)</f>
        <v>3.8366034762628094</v>
      </c>
      <c r="M16" s="36">
        <f t="shared" ref="M16:U16" si="9">M13*M14*(1+M15)</f>
        <v>3.8366034762628094</v>
      </c>
      <c r="N16" s="36">
        <f t="shared" si="9"/>
        <v>3.8366034762628094</v>
      </c>
      <c r="O16" s="36">
        <f t="shared" si="9"/>
        <v>3.8366034762628094</v>
      </c>
      <c r="P16" s="36">
        <f t="shared" si="9"/>
        <v>3.8366034762628094</v>
      </c>
      <c r="Q16" s="36">
        <f t="shared" si="9"/>
        <v>3.8366034762628094</v>
      </c>
      <c r="R16" s="36">
        <f t="shared" si="9"/>
        <v>3.8366034762628094</v>
      </c>
      <c r="S16" s="36">
        <f t="shared" si="9"/>
        <v>3.8366034762628094</v>
      </c>
      <c r="T16" s="36">
        <f t="shared" si="9"/>
        <v>3.8366034762628094</v>
      </c>
      <c r="U16" s="36">
        <f t="shared" si="9"/>
        <v>3.8366034762628094</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152" t="s">
        <v>75</v>
      </c>
      <c r="K17" s="153"/>
      <c r="L17" s="153"/>
      <c r="M17" s="153"/>
      <c r="N17" s="153"/>
      <c r="O17" s="153"/>
      <c r="P17" s="153"/>
      <c r="Q17" s="153"/>
      <c r="R17" s="153"/>
      <c r="S17" s="153"/>
      <c r="T17" s="153"/>
      <c r="U17" s="153"/>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6.5" x14ac:dyDescent="0.2">
      <c r="J18" s="21" t="s">
        <v>76</v>
      </c>
      <c r="K18" s="21" t="s">
        <v>77</v>
      </c>
      <c r="L18" s="62">
        <v>2E-3</v>
      </c>
      <c r="M18" s="62">
        <v>2E-3</v>
      </c>
      <c r="N18" s="62">
        <v>2E-3</v>
      </c>
      <c r="O18" s="62">
        <v>2E-3</v>
      </c>
      <c r="P18" s="62">
        <v>2E-3</v>
      </c>
      <c r="Q18" s="62">
        <v>2E-3</v>
      </c>
      <c r="R18" s="62">
        <v>2E-3</v>
      </c>
      <c r="S18" s="62">
        <v>2E-3</v>
      </c>
      <c r="T18" s="62">
        <v>2E-3</v>
      </c>
      <c r="U18" s="62">
        <v>2E-3</v>
      </c>
    </row>
    <row r="19" spans="10:57" ht="15.75" x14ac:dyDescent="0.2">
      <c r="J19" s="21" t="s">
        <v>78</v>
      </c>
      <c r="K19" s="21" t="s">
        <v>79</v>
      </c>
      <c r="L19" s="36">
        <f>L10*L18*BEy_Ramela!M7</f>
        <v>94.16894630036191</v>
      </c>
      <c r="M19" s="36">
        <f>$L$19</f>
        <v>94.16894630036191</v>
      </c>
      <c r="N19" s="36">
        <f t="shared" ref="N19:U19" si="10">$L$19</f>
        <v>94.16894630036191</v>
      </c>
      <c r="O19" s="36">
        <f t="shared" si="10"/>
        <v>94.16894630036191</v>
      </c>
      <c r="P19" s="36">
        <f t="shared" si="10"/>
        <v>94.16894630036191</v>
      </c>
      <c r="Q19" s="36">
        <f t="shared" si="10"/>
        <v>94.16894630036191</v>
      </c>
      <c r="R19" s="36">
        <f t="shared" si="10"/>
        <v>94.16894630036191</v>
      </c>
      <c r="S19" s="36">
        <f t="shared" si="10"/>
        <v>94.16894630036191</v>
      </c>
      <c r="T19" s="36">
        <f t="shared" si="10"/>
        <v>94.16894630036191</v>
      </c>
      <c r="U19" s="36">
        <f t="shared" si="10"/>
        <v>94.16894630036191</v>
      </c>
    </row>
    <row r="20" spans="10:57" ht="15.75" x14ac:dyDescent="0.2">
      <c r="J20" s="152" t="s">
        <v>80</v>
      </c>
      <c r="K20" s="153"/>
      <c r="L20" s="153"/>
      <c r="M20" s="153"/>
      <c r="N20" s="153"/>
      <c r="O20" s="153"/>
      <c r="P20" s="153"/>
      <c r="Q20" s="153"/>
      <c r="R20" s="153"/>
      <c r="S20" s="153"/>
      <c r="T20" s="153"/>
      <c r="U20" s="153"/>
    </row>
    <row r="21" spans="10:57" ht="16.5" x14ac:dyDescent="0.2">
      <c r="J21" s="21" t="s">
        <v>81</v>
      </c>
      <c r="K21" s="21" t="s">
        <v>82</v>
      </c>
      <c r="L21" s="63">
        <v>2.0000000000000001E-4</v>
      </c>
      <c r="M21" s="63">
        <v>2.0000000000000001E-4</v>
      </c>
      <c r="N21" s="63">
        <v>2.0000000000000001E-4</v>
      </c>
      <c r="O21" s="63">
        <v>2.0000000000000001E-4</v>
      </c>
      <c r="P21" s="63">
        <v>2.0000000000000001E-4</v>
      </c>
      <c r="Q21" s="63">
        <v>2.0000000000000001E-4</v>
      </c>
      <c r="R21" s="63">
        <v>2.0000000000000001E-4</v>
      </c>
      <c r="S21" s="63">
        <v>2.0000000000000001E-4</v>
      </c>
      <c r="T21" s="63">
        <v>2.0000000000000001E-4</v>
      </c>
      <c r="U21" s="63">
        <v>2.0000000000000001E-4</v>
      </c>
    </row>
    <row r="22" spans="10:57" ht="16.5" x14ac:dyDescent="0.2">
      <c r="J22" s="21" t="s">
        <v>83</v>
      </c>
      <c r="K22" s="21" t="s">
        <v>84</v>
      </c>
      <c r="L22" s="36">
        <v>265</v>
      </c>
      <c r="M22" s="36">
        <v>265</v>
      </c>
      <c r="N22" s="36">
        <v>265</v>
      </c>
      <c r="O22" s="36">
        <v>265</v>
      </c>
      <c r="P22" s="36">
        <v>265</v>
      </c>
      <c r="Q22" s="36">
        <v>265</v>
      </c>
      <c r="R22" s="36">
        <v>265</v>
      </c>
      <c r="S22" s="36">
        <v>265</v>
      </c>
      <c r="T22" s="36">
        <v>265</v>
      </c>
      <c r="U22" s="36">
        <v>265</v>
      </c>
    </row>
    <row r="23" spans="10:57" ht="15.75" x14ac:dyDescent="0.2">
      <c r="J23" s="37" t="s">
        <v>85</v>
      </c>
      <c r="K23" s="21" t="s">
        <v>79</v>
      </c>
      <c r="L23" s="36">
        <f t="shared" ref="L23:U23" si="11">L10*L21*L22</f>
        <v>89.124181319985396</v>
      </c>
      <c r="M23" s="36">
        <f t="shared" si="11"/>
        <v>89.124181319985396</v>
      </c>
      <c r="N23" s="36">
        <f t="shared" si="11"/>
        <v>89.124181319985396</v>
      </c>
      <c r="O23" s="36">
        <f t="shared" si="11"/>
        <v>89.124181319985396</v>
      </c>
      <c r="P23" s="36">
        <f t="shared" si="11"/>
        <v>89.124181319985396</v>
      </c>
      <c r="Q23" s="36">
        <f t="shared" si="11"/>
        <v>89.124181319985396</v>
      </c>
      <c r="R23" s="36">
        <f t="shared" si="11"/>
        <v>89.124181319985396</v>
      </c>
      <c r="S23" s="36">
        <f t="shared" si="11"/>
        <v>89.124181319985396</v>
      </c>
      <c r="T23" s="36">
        <f t="shared" si="11"/>
        <v>89.124181319985396</v>
      </c>
      <c r="U23" s="36">
        <f t="shared" si="11"/>
        <v>89.124181319985396</v>
      </c>
    </row>
    <row r="28" spans="10:57" ht="20.25" customHeight="1" x14ac:dyDescent="0.2"/>
    <row r="34" spans="22:22" x14ac:dyDescent="0.2">
      <c r="V34" s="42"/>
    </row>
  </sheetData>
  <mergeCells count="7">
    <mergeCell ref="J20:U20"/>
    <mergeCell ref="B2:H2"/>
    <mergeCell ref="J2:U2"/>
    <mergeCell ref="B3:H3"/>
    <mergeCell ref="B4:H4"/>
    <mergeCell ref="J11:U11"/>
    <mergeCell ref="J17:U17"/>
  </mergeCells>
  <pageMargins left="0.511811024" right="0.511811024" top="0.78740157499999996" bottom="0.78740157499999996" header="0.31496062000000002" footer="0.31496062000000002"/>
  <pageSetup orientation="portrait" horizontalDpi="4294967293"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DC91-BCF1-4783-8711-6129059D3B7A}">
  <sheetPr>
    <tabColor theme="2" tint="-0.499984740745262"/>
  </sheetPr>
  <dimension ref="A1:K45"/>
  <sheetViews>
    <sheetView showGridLines="0" topLeftCell="A8" zoomScaleNormal="100" workbookViewId="0">
      <selection activeCell="M17" sqref="M17"/>
    </sheetView>
  </sheetViews>
  <sheetFormatPr defaultRowHeight="15" x14ac:dyDescent="0.25"/>
  <cols>
    <col min="1" max="1" width="9.140625" style="65"/>
    <col min="2" max="2" width="42.5703125" style="66" customWidth="1"/>
    <col min="3" max="3" width="12.5703125" style="67" customWidth="1"/>
    <col min="4" max="4" width="10.28515625" style="65" bestFit="1" customWidth="1"/>
    <col min="5" max="5" width="15.42578125" style="65" customWidth="1"/>
    <col min="6" max="6" width="11.7109375" style="65" customWidth="1"/>
    <col min="7" max="8" width="9.140625" style="65"/>
    <col min="9" max="9" width="11.5703125" style="65" bestFit="1" customWidth="1"/>
    <col min="10" max="10" width="10.5703125" style="65" customWidth="1"/>
    <col min="11" max="11" width="14.7109375" style="65" customWidth="1"/>
    <col min="12" max="16384" width="9.140625" style="65"/>
  </cols>
  <sheetData>
    <row r="1" spans="2:11" ht="15.75" thickBot="1" x14ac:dyDescent="0.3"/>
    <row r="2" spans="2:11" ht="35.25" customHeight="1" thickBot="1" x14ac:dyDescent="0.3">
      <c r="B2" s="14" t="s">
        <v>119</v>
      </c>
      <c r="C2" s="14">
        <v>3</v>
      </c>
      <c r="E2" s="160" t="s">
        <v>144</v>
      </c>
      <c r="F2" s="161"/>
      <c r="G2" s="161"/>
      <c r="H2" s="161"/>
      <c r="I2" s="161"/>
      <c r="J2" s="161"/>
      <c r="K2" s="162"/>
    </row>
    <row r="3" spans="2:11" ht="15.75" thickBot="1" x14ac:dyDescent="0.3">
      <c r="B3" s="158" t="s">
        <v>107</v>
      </c>
      <c r="C3" s="159"/>
      <c r="E3" s="77"/>
      <c r="F3" s="77"/>
      <c r="G3" s="77"/>
      <c r="H3" s="77"/>
      <c r="I3" s="77"/>
      <c r="J3" s="77"/>
      <c r="K3" s="77"/>
    </row>
    <row r="4" spans="2:11" ht="15.75" x14ac:dyDescent="0.25">
      <c r="B4" s="17" t="s">
        <v>108</v>
      </c>
      <c r="C4" s="25">
        <f>K6</f>
        <v>3994.1111111111113</v>
      </c>
      <c r="E4" s="163" t="s">
        <v>132</v>
      </c>
      <c r="F4" s="164"/>
      <c r="G4" s="164"/>
      <c r="H4" s="164"/>
      <c r="I4" s="164"/>
      <c r="J4" s="164"/>
      <c r="K4" s="165"/>
    </row>
    <row r="5" spans="2:11" ht="30" x14ac:dyDescent="0.25">
      <c r="B5" s="17" t="s">
        <v>109</v>
      </c>
      <c r="C5" s="25">
        <f>K10</f>
        <v>107.64804530109986</v>
      </c>
      <c r="E5" s="78" t="s">
        <v>21</v>
      </c>
      <c r="F5" s="79">
        <v>2015</v>
      </c>
      <c r="G5" s="79">
        <v>2016</v>
      </c>
      <c r="H5" s="79">
        <v>2017</v>
      </c>
      <c r="I5" s="80">
        <v>2018</v>
      </c>
      <c r="J5" s="80">
        <v>2019</v>
      </c>
      <c r="K5" s="81" t="s">
        <v>136</v>
      </c>
    </row>
    <row r="6" spans="2:11" ht="15.75" x14ac:dyDescent="0.25">
      <c r="B6" s="17" t="s">
        <v>110</v>
      </c>
      <c r="C6" s="25">
        <f>C5*(C4/365)</f>
        <v>1177.9678187027812</v>
      </c>
      <c r="E6" s="82" t="s">
        <v>31</v>
      </c>
      <c r="F6" s="83">
        <v>3061</v>
      </c>
      <c r="G6" s="83">
        <v>4543</v>
      </c>
      <c r="H6" s="83">
        <v>3039</v>
      </c>
      <c r="I6" s="83">
        <v>4393</v>
      </c>
      <c r="J6" s="83">
        <v>0</v>
      </c>
      <c r="K6" s="93">
        <f>(SUMPRODUCT(F6:J6,F7:J7)/K7)</f>
        <v>3994.1111111111113</v>
      </c>
    </row>
    <row r="7" spans="2:11" ht="27.75" thickBot="1" x14ac:dyDescent="0.3">
      <c r="B7" s="17" t="s">
        <v>111</v>
      </c>
      <c r="C7" s="25">
        <f>K14</f>
        <v>56.557151314328827</v>
      </c>
      <c r="E7" s="91" t="s">
        <v>138</v>
      </c>
      <c r="F7" s="83">
        <v>114</v>
      </c>
      <c r="G7" s="83">
        <v>342</v>
      </c>
      <c r="H7" s="83">
        <v>228</v>
      </c>
      <c r="I7" s="83">
        <v>342</v>
      </c>
      <c r="J7" s="83">
        <v>0</v>
      </c>
      <c r="K7" s="89">
        <f>SUM(F7:J7)</f>
        <v>1026</v>
      </c>
    </row>
    <row r="8" spans="2:11" ht="30" x14ac:dyDescent="0.25">
      <c r="B8" s="17" t="s">
        <v>112</v>
      </c>
      <c r="C8" s="90">
        <f>K18</f>
        <v>291.33333333333331</v>
      </c>
      <c r="E8" s="163" t="s">
        <v>133</v>
      </c>
      <c r="F8" s="164"/>
      <c r="G8" s="164"/>
      <c r="H8" s="164"/>
      <c r="I8" s="164"/>
      <c r="J8" s="164"/>
      <c r="K8" s="165"/>
    </row>
    <row r="9" spans="2:11" ht="27" x14ac:dyDescent="0.25">
      <c r="B9" s="67"/>
      <c r="D9" s="35"/>
      <c r="E9" s="78" t="s">
        <v>21</v>
      </c>
      <c r="F9" s="79">
        <v>2015</v>
      </c>
      <c r="G9" s="79">
        <v>2016</v>
      </c>
      <c r="H9" s="79">
        <v>2017</v>
      </c>
      <c r="I9" s="80">
        <v>2018</v>
      </c>
      <c r="J9" s="80">
        <v>2019</v>
      </c>
      <c r="K9" s="81" t="s">
        <v>136</v>
      </c>
    </row>
    <row r="10" spans="2:11" x14ac:dyDescent="0.25">
      <c r="B10" s="67"/>
      <c r="D10" s="35"/>
      <c r="E10" s="82" t="s">
        <v>31</v>
      </c>
      <c r="F10" s="83">
        <v>56.832407709898725</v>
      </c>
      <c r="G10" s="83">
        <v>114</v>
      </c>
      <c r="H10" s="83">
        <v>114</v>
      </c>
      <c r="I10" s="83">
        <v>114</v>
      </c>
      <c r="J10" s="83">
        <v>0</v>
      </c>
      <c r="K10" s="93">
        <f>(SUMPRODUCT(F10:J10,F11:J11)/K11)</f>
        <v>107.64804530109986</v>
      </c>
    </row>
    <row r="11" spans="2:11" ht="27.75" thickBot="1" x14ac:dyDescent="0.3">
      <c r="D11" s="35"/>
      <c r="E11" s="91" t="s">
        <v>138</v>
      </c>
      <c r="F11" s="83">
        <v>114</v>
      </c>
      <c r="G11" s="83">
        <v>342</v>
      </c>
      <c r="H11" s="83">
        <v>228</v>
      </c>
      <c r="I11" s="83">
        <v>342</v>
      </c>
      <c r="J11" s="83">
        <v>0</v>
      </c>
      <c r="K11" s="89">
        <f>SUM(F11:J11)</f>
        <v>1026</v>
      </c>
    </row>
    <row r="12" spans="2:11" x14ac:dyDescent="0.25">
      <c r="D12" s="35"/>
      <c r="E12" s="166" t="s">
        <v>134</v>
      </c>
      <c r="F12" s="167"/>
      <c r="G12" s="167"/>
      <c r="H12" s="167"/>
      <c r="I12" s="168"/>
      <c r="J12" s="168"/>
      <c r="K12" s="169"/>
    </row>
    <row r="13" spans="2:11" ht="27" x14ac:dyDescent="0.25">
      <c r="D13" s="35"/>
      <c r="E13" s="78" t="s">
        <v>21</v>
      </c>
      <c r="F13" s="79">
        <v>2015</v>
      </c>
      <c r="G13" s="79">
        <v>2016</v>
      </c>
      <c r="H13" s="79">
        <v>2017</v>
      </c>
      <c r="I13" s="80">
        <v>2018</v>
      </c>
      <c r="J13" s="80">
        <v>2019</v>
      </c>
      <c r="K13" s="81" t="s">
        <v>136</v>
      </c>
    </row>
    <row r="14" spans="2:11" x14ac:dyDescent="0.25">
      <c r="D14" s="35"/>
      <c r="E14" s="82" t="s">
        <v>31</v>
      </c>
      <c r="F14" s="83">
        <v>63.107618686255151</v>
      </c>
      <c r="G14" s="83">
        <v>68.958231876809563</v>
      </c>
      <c r="H14" s="83">
        <v>49.86276492164933</v>
      </c>
      <c r="I14" s="83">
        <v>46.435505889658984</v>
      </c>
      <c r="J14" s="83">
        <v>0</v>
      </c>
      <c r="K14" s="94">
        <f>(SUMPRODUCT(F14:J14,F15:J15)/K15)</f>
        <v>56.557151314328827</v>
      </c>
    </row>
    <row r="15" spans="2:11" ht="27.75" thickBot="1" x14ac:dyDescent="0.3">
      <c r="D15" s="35"/>
      <c r="E15" s="91" t="s">
        <v>138</v>
      </c>
      <c r="F15" s="83">
        <v>114</v>
      </c>
      <c r="G15" s="83">
        <v>342</v>
      </c>
      <c r="H15" s="83">
        <v>228</v>
      </c>
      <c r="I15" s="83">
        <v>342</v>
      </c>
      <c r="J15" s="83">
        <v>0</v>
      </c>
      <c r="K15" s="89">
        <f>SUM(F15:J15)</f>
        <v>1026</v>
      </c>
    </row>
    <row r="16" spans="2:11" x14ac:dyDescent="0.25">
      <c r="D16" s="35"/>
      <c r="E16" s="166" t="s">
        <v>135</v>
      </c>
      <c r="F16" s="167"/>
      <c r="G16" s="167"/>
      <c r="H16" s="167"/>
      <c r="I16" s="168"/>
      <c r="J16" s="168"/>
      <c r="K16" s="169"/>
    </row>
    <row r="17" spans="1:11" ht="27" x14ac:dyDescent="0.25">
      <c r="D17" s="35"/>
      <c r="E17" s="78" t="s">
        <v>21</v>
      </c>
      <c r="F17" s="79">
        <v>2015</v>
      </c>
      <c r="G17" s="79">
        <v>2016</v>
      </c>
      <c r="H17" s="79">
        <v>2017</v>
      </c>
      <c r="I17" s="80">
        <v>2018</v>
      </c>
      <c r="J17" s="80">
        <v>2019</v>
      </c>
      <c r="K17" s="81" t="s">
        <v>136</v>
      </c>
    </row>
    <row r="18" spans="1:11" x14ac:dyDescent="0.25">
      <c r="D18" s="35"/>
      <c r="E18" s="82" t="s">
        <v>31</v>
      </c>
      <c r="F18" s="85">
        <v>114</v>
      </c>
      <c r="G18" s="85">
        <v>342</v>
      </c>
      <c r="H18" s="85">
        <v>228</v>
      </c>
      <c r="I18" s="85">
        <v>342</v>
      </c>
      <c r="J18" s="85">
        <v>0</v>
      </c>
      <c r="K18" s="94">
        <f>(SUMPRODUCT(F18:J18,F19:J19)/K19)</f>
        <v>291.33333333333331</v>
      </c>
    </row>
    <row r="19" spans="1:11" ht="27.75" thickBot="1" x14ac:dyDescent="0.3">
      <c r="A19" s="35"/>
      <c r="B19" s="35"/>
      <c r="C19" s="35"/>
      <c r="D19" s="35"/>
      <c r="E19" s="92" t="s">
        <v>138</v>
      </c>
      <c r="F19" s="84">
        <v>114</v>
      </c>
      <c r="G19" s="84">
        <v>342</v>
      </c>
      <c r="H19" s="84">
        <v>228</v>
      </c>
      <c r="I19" s="84">
        <v>342</v>
      </c>
      <c r="J19" s="84">
        <v>0</v>
      </c>
      <c r="K19" s="86">
        <f>SUM(F19:J19)</f>
        <v>1026</v>
      </c>
    </row>
    <row r="20" spans="1:11" x14ac:dyDescent="0.25">
      <c r="A20" s="35"/>
      <c r="B20" s="35"/>
      <c r="C20" s="35"/>
      <c r="D20" s="35"/>
    </row>
    <row r="21" spans="1:11" x14ac:dyDescent="0.25">
      <c r="A21" s="35"/>
      <c r="B21" s="35"/>
      <c r="C21" s="65"/>
    </row>
    <row r="22" spans="1:11" x14ac:dyDescent="0.25">
      <c r="A22" s="35"/>
      <c r="B22" s="35"/>
      <c r="C22" s="65"/>
    </row>
    <row r="23" spans="1:11" x14ac:dyDescent="0.25">
      <c r="A23" s="35"/>
      <c r="B23" s="35"/>
      <c r="C23" s="65"/>
    </row>
    <row r="24" spans="1:11" x14ac:dyDescent="0.25">
      <c r="A24" s="35"/>
      <c r="B24" s="35"/>
      <c r="C24" s="65"/>
    </row>
    <row r="25" spans="1:11" x14ac:dyDescent="0.25">
      <c r="A25" s="35"/>
      <c r="B25" s="35"/>
      <c r="C25" s="65"/>
    </row>
    <row r="26" spans="1:11" x14ac:dyDescent="0.25">
      <c r="A26" s="35"/>
      <c r="B26" s="35"/>
      <c r="C26" s="65"/>
    </row>
    <row r="27" spans="1:11" x14ac:dyDescent="0.25">
      <c r="A27" s="35"/>
      <c r="B27" s="35"/>
      <c r="C27" s="65"/>
    </row>
    <row r="28" spans="1:11" x14ac:dyDescent="0.25">
      <c r="A28" s="35"/>
      <c r="B28" s="35"/>
      <c r="C28" s="65"/>
    </row>
    <row r="29" spans="1:11" x14ac:dyDescent="0.25">
      <c r="A29" s="35"/>
      <c r="B29" s="35"/>
      <c r="C29" s="65"/>
    </row>
    <row r="30" spans="1:11" x14ac:dyDescent="0.25">
      <c r="A30" s="35"/>
      <c r="B30" s="35"/>
      <c r="C30" s="35"/>
      <c r="D30" s="35"/>
    </row>
    <row r="31" spans="1:11" x14ac:dyDescent="0.25">
      <c r="A31" s="35"/>
      <c r="B31" s="35"/>
      <c r="C31" s="35"/>
      <c r="D31" s="35"/>
    </row>
    <row r="32" spans="1:11" x14ac:dyDescent="0.25">
      <c r="A32" s="35"/>
      <c r="B32" s="35"/>
      <c r="C32" s="35"/>
      <c r="D32" s="35"/>
    </row>
    <row r="33" spans="1:4" x14ac:dyDescent="0.25">
      <c r="A33" s="35"/>
      <c r="B33" s="35"/>
      <c r="C33" s="35"/>
      <c r="D33" s="35"/>
    </row>
    <row r="34" spans="1:4" x14ac:dyDescent="0.25">
      <c r="A34" s="35"/>
      <c r="B34" s="35"/>
      <c r="C34" s="35"/>
      <c r="D34" s="35"/>
    </row>
    <row r="35" spans="1:4" x14ac:dyDescent="0.25">
      <c r="A35" s="35"/>
      <c r="B35" s="35"/>
      <c r="C35" s="35"/>
      <c r="D35" s="35"/>
    </row>
    <row r="36" spans="1:4" x14ac:dyDescent="0.25">
      <c r="A36" s="35"/>
      <c r="B36" s="35"/>
      <c r="C36" s="35"/>
      <c r="D36" s="35"/>
    </row>
    <row r="37" spans="1:4" x14ac:dyDescent="0.25">
      <c r="A37" s="35"/>
      <c r="B37" s="35"/>
      <c r="C37" s="35"/>
      <c r="D37" s="35"/>
    </row>
    <row r="38" spans="1:4" x14ac:dyDescent="0.25">
      <c r="A38" s="35"/>
      <c r="B38" s="35"/>
      <c r="C38" s="35"/>
      <c r="D38" s="35"/>
    </row>
    <row r="39" spans="1:4" x14ac:dyDescent="0.25">
      <c r="A39" s="35"/>
      <c r="B39" s="35"/>
      <c r="C39" s="35"/>
      <c r="D39" s="35"/>
    </row>
    <row r="40" spans="1:4" x14ac:dyDescent="0.25">
      <c r="A40" s="35"/>
      <c r="B40" s="35"/>
      <c r="C40" s="35"/>
      <c r="D40" s="35"/>
    </row>
    <row r="41" spans="1:4" x14ac:dyDescent="0.25">
      <c r="A41" s="35"/>
      <c r="B41" s="35"/>
      <c r="C41" s="35"/>
      <c r="D41" s="35"/>
    </row>
    <row r="42" spans="1:4" x14ac:dyDescent="0.25">
      <c r="A42" s="35"/>
      <c r="B42" s="35"/>
      <c r="C42" s="35"/>
      <c r="D42" s="35"/>
    </row>
    <row r="43" spans="1:4" x14ac:dyDescent="0.25">
      <c r="A43" s="35"/>
      <c r="B43" s="35"/>
      <c r="C43" s="35"/>
      <c r="D43" s="35"/>
    </row>
    <row r="44" spans="1:4" x14ac:dyDescent="0.25">
      <c r="A44" s="35"/>
      <c r="B44" s="35"/>
      <c r="C44" s="35"/>
      <c r="D44" s="35"/>
    </row>
    <row r="45" spans="1:4" x14ac:dyDescent="0.25">
      <c r="A45" s="35"/>
      <c r="B45" s="35"/>
      <c r="C45" s="35"/>
      <c r="D45" s="35"/>
    </row>
  </sheetData>
  <mergeCells count="6">
    <mergeCell ref="E16:K16"/>
    <mergeCell ref="B3:C3"/>
    <mergeCell ref="E2:K2"/>
    <mergeCell ref="E4:K4"/>
    <mergeCell ref="E8:K8"/>
    <mergeCell ref="E12:K12"/>
  </mergeCells>
  <pageMargins left="0.511811024" right="0.511811024" top="0.78740157499999996" bottom="0.78740157499999996" header="0.31496062000000002" footer="0.31496062000000002"/>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050E-2EB1-44A2-8EED-0F0908DA6BB7}">
  <sheetPr>
    <tabColor theme="9"/>
  </sheetPr>
  <dimension ref="A1:Z75"/>
  <sheetViews>
    <sheetView showGridLines="0" zoomScale="80" zoomScaleNormal="80" workbookViewId="0">
      <selection activeCell="I17" sqref="I17"/>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v>0</v>
      </c>
      <c r="R5" s="22">
        <f>$Q$5</f>
        <v>0</v>
      </c>
      <c r="S5" s="22">
        <f t="shared" ref="S5:Z5" si="0">$Q$5</f>
        <v>0</v>
      </c>
      <c r="T5" s="22">
        <f t="shared" si="0"/>
        <v>0</v>
      </c>
      <c r="U5" s="22">
        <f t="shared" si="0"/>
        <v>0</v>
      </c>
      <c r="V5" s="22">
        <f t="shared" si="0"/>
        <v>0</v>
      </c>
      <c r="W5" s="22">
        <f t="shared" si="0"/>
        <v>0</v>
      </c>
      <c r="X5" s="22">
        <f t="shared" si="0"/>
        <v>0</v>
      </c>
      <c r="Y5" s="22">
        <f t="shared" si="0"/>
        <v>0</v>
      </c>
      <c r="Z5" s="22">
        <f t="shared" si="0"/>
        <v>0</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v>0</v>
      </c>
      <c r="R6" s="22">
        <f>$Q$6</f>
        <v>0</v>
      </c>
      <c r="S6" s="22">
        <f t="shared" ref="S6:Z6" si="1">$Q$6</f>
        <v>0</v>
      </c>
      <c r="T6" s="22">
        <f t="shared" si="1"/>
        <v>0</v>
      </c>
      <c r="U6" s="22">
        <f t="shared" si="1"/>
        <v>0</v>
      </c>
      <c r="V6" s="22">
        <f t="shared" si="1"/>
        <v>0</v>
      </c>
      <c r="W6" s="22">
        <f t="shared" si="1"/>
        <v>0</v>
      </c>
      <c r="X6" s="22">
        <f t="shared" si="1"/>
        <v>0</v>
      </c>
      <c r="Y6" s="22">
        <f t="shared" si="1"/>
        <v>0</v>
      </c>
      <c r="Z6" s="22">
        <f t="shared" si="1"/>
        <v>0</v>
      </c>
    </row>
    <row r="7" spans="2:26" ht="15.75" x14ac:dyDescent="0.25">
      <c r="B7" s="24">
        <v>2021</v>
      </c>
      <c r="C7" s="3">
        <f>$M$7*$M$5*$M$4*$M$6*$M$17*Q$23*Q$41*$M$8</f>
        <v>0</v>
      </c>
      <c r="D7" s="3">
        <f>$M$7*$M$5*$M$4*$M$6*$M$17*Q$24*Q$42*$M$8</f>
        <v>0</v>
      </c>
      <c r="E7" s="3">
        <f>$M$7*$M$5*$M$4*$M$6*$M$17*Q$24*Q$42*$M$8</f>
        <v>0</v>
      </c>
      <c r="F7" s="3">
        <f>$M$7*$M$5*$M$4*$M$6*$M$17*Q$26*Q$44*$M$8</f>
        <v>0</v>
      </c>
      <c r="G7" s="3">
        <f>$M$7*$M$5*$M$4*$M$6*$M$25*Q$27*Q$45*$M$8</f>
        <v>0</v>
      </c>
      <c r="H7" s="25">
        <f>$M$7*$M$5*$M$4*$M$6*$M$25*Q$28*Q$46*$M$8</f>
        <v>0</v>
      </c>
      <c r="I7" s="26">
        <f>ROUNDDOWN($M$7*$M$5*$M$4*$M$6*$M$25*Q$29*Q$47*$M$8, )</f>
        <v>1035</v>
      </c>
      <c r="J7" s="25">
        <f>ROUNDDOWN(SUM(C7:I7),)</f>
        <v>1035</v>
      </c>
      <c r="L7" s="19" t="s">
        <v>33</v>
      </c>
      <c r="M7" s="20">
        <v>28</v>
      </c>
      <c r="N7" s="18" t="s">
        <v>34</v>
      </c>
      <c r="P7" s="21" t="s">
        <v>27</v>
      </c>
      <c r="Q7" s="22">
        <v>0</v>
      </c>
      <c r="R7" s="22">
        <f>$Q$7</f>
        <v>0</v>
      </c>
      <c r="S7" s="22">
        <f t="shared" ref="S7:Z7" si="2">$Q$7</f>
        <v>0</v>
      </c>
      <c r="T7" s="22">
        <f t="shared" si="2"/>
        <v>0</v>
      </c>
      <c r="U7" s="22">
        <f t="shared" si="2"/>
        <v>0</v>
      </c>
      <c r="V7" s="22">
        <f t="shared" si="2"/>
        <v>0</v>
      </c>
      <c r="W7" s="22">
        <f t="shared" si="2"/>
        <v>0</v>
      </c>
      <c r="X7" s="22">
        <f t="shared" si="2"/>
        <v>0</v>
      </c>
      <c r="Y7" s="22">
        <f t="shared" si="2"/>
        <v>0</v>
      </c>
      <c r="Z7" s="22">
        <f t="shared" si="2"/>
        <v>0</v>
      </c>
    </row>
    <row r="8" spans="2:26" ht="28.5" x14ac:dyDescent="0.25">
      <c r="B8" s="24">
        <v>2022</v>
      </c>
      <c r="C8" s="3">
        <f>$M$7*$M$5*$M$4*$M$6*$M$17*R$23*R$41*$M$8</f>
        <v>0</v>
      </c>
      <c r="D8" s="3">
        <f>$M$7*$M$5*$M$4*$M$6*$M$17*R$24*R$42*$M$8</f>
        <v>0</v>
      </c>
      <c r="E8" s="3">
        <f>$M$7*$M$5*$M$4*$M$6*$M$17*R$24*R$42*$M$8</f>
        <v>0</v>
      </c>
      <c r="F8" s="3">
        <f>$M$7*$M$5*$M$4*$M$6*$M$17*R$26*R$44*$M$8</f>
        <v>0</v>
      </c>
      <c r="G8" s="3">
        <f>$M$7*$M$5*$M$4*$M$6*$M$25*R$27*R$45*$M$8</f>
        <v>0</v>
      </c>
      <c r="H8" s="25">
        <f t="shared" ref="H8:H16" si="3">$M$7*$M$5*$M$4*$M$6*$M$25*Q$28*Q$46*$M$8</f>
        <v>0</v>
      </c>
      <c r="I8" s="26">
        <f>ROUNDDOWN($M$7*$M$5*$M$4*$M$6*$M$25*R$29*R$47*$M$8, )</f>
        <v>1035</v>
      </c>
      <c r="J8" s="25">
        <f t="shared" ref="J8:J16" si="4">ROUNDDOWN(SUM(C8:I8),)</f>
        <v>1035</v>
      </c>
      <c r="L8" s="19" t="s">
        <v>35</v>
      </c>
      <c r="M8" s="20">
        <v>1</v>
      </c>
      <c r="N8" s="18" t="s">
        <v>20</v>
      </c>
      <c r="P8" s="21" t="s">
        <v>28</v>
      </c>
      <c r="Q8" s="22">
        <v>0</v>
      </c>
      <c r="R8" s="22">
        <f>$Q$8</f>
        <v>0</v>
      </c>
      <c r="S8" s="22">
        <f t="shared" ref="S8:Z8" si="5">$Q$8</f>
        <v>0</v>
      </c>
      <c r="T8" s="22">
        <f t="shared" si="5"/>
        <v>0</v>
      </c>
      <c r="U8" s="22">
        <f t="shared" si="5"/>
        <v>0</v>
      </c>
      <c r="V8" s="22">
        <f t="shared" si="5"/>
        <v>0</v>
      </c>
      <c r="W8" s="22">
        <f t="shared" si="5"/>
        <v>0</v>
      </c>
      <c r="X8" s="22">
        <f t="shared" si="5"/>
        <v>0</v>
      </c>
      <c r="Y8" s="22">
        <f t="shared" si="5"/>
        <v>0</v>
      </c>
      <c r="Z8" s="22">
        <f t="shared" si="5"/>
        <v>0</v>
      </c>
    </row>
    <row r="9" spans="2:26" x14ac:dyDescent="0.25">
      <c r="B9" s="24">
        <v>2023</v>
      </c>
      <c r="C9" s="3">
        <f>$M$7*$M$5*$M$4*$M$6*$M$17*S$23*S$41*$M$8</f>
        <v>0</v>
      </c>
      <c r="D9" s="3">
        <f>$M$7*$M$5*$M$4*$M$6*$M$17*S$24*S$42*$M$8</f>
        <v>0</v>
      </c>
      <c r="E9" s="3">
        <f>$M$7*$M$5*$M$4*$M$6*$M$17*S$24*S$42*$M$8</f>
        <v>0</v>
      </c>
      <c r="F9" s="3">
        <f>$M$7*$M$5*$M$4*$M$6*$M$17*S$26*S$44*$M$8</f>
        <v>0</v>
      </c>
      <c r="G9" s="3">
        <f>$M$7*$M$5*$M$4*$M$6*$M$25*S$27*S$45*$M$8</f>
        <v>0</v>
      </c>
      <c r="H9" s="25">
        <f t="shared" si="3"/>
        <v>0</v>
      </c>
      <c r="I9" s="26">
        <f>ROUNDDOWN($M$7*$M$5*$M$4*$M$6*$M$25*S$29*S$47*$M$8, )</f>
        <v>1035</v>
      </c>
      <c r="J9" s="25">
        <f t="shared" si="4"/>
        <v>1035</v>
      </c>
      <c r="P9" s="21" t="s">
        <v>29</v>
      </c>
      <c r="Q9" s="22">
        <v>0</v>
      </c>
      <c r="R9" s="22">
        <f>$Q$9</f>
        <v>0</v>
      </c>
      <c r="S9" s="22">
        <f t="shared" ref="S9:Z9" si="6">$Q$9</f>
        <v>0</v>
      </c>
      <c r="T9" s="22">
        <f t="shared" si="6"/>
        <v>0</v>
      </c>
      <c r="U9" s="22">
        <f t="shared" si="6"/>
        <v>0</v>
      </c>
      <c r="V9" s="22">
        <f t="shared" si="6"/>
        <v>0</v>
      </c>
      <c r="W9" s="22">
        <f t="shared" si="6"/>
        <v>0</v>
      </c>
      <c r="X9" s="22">
        <f t="shared" si="6"/>
        <v>0</v>
      </c>
      <c r="Y9" s="22">
        <f t="shared" si="6"/>
        <v>0</v>
      </c>
      <c r="Z9" s="22">
        <f t="shared" si="6"/>
        <v>0</v>
      </c>
    </row>
    <row r="10" spans="2:26" ht="14.25" customHeight="1" x14ac:dyDescent="0.25">
      <c r="B10" s="24">
        <v>2024</v>
      </c>
      <c r="C10" s="3">
        <f>$M$7*$M$5*$M$4*$M$6*$M$17*T$23*T$41*$M$8</f>
        <v>0</v>
      </c>
      <c r="D10" s="3">
        <f>$M$7*$M$5*$M$4*$M$6*$M$17*T$24*T$42*$M$8</f>
        <v>0</v>
      </c>
      <c r="E10" s="3">
        <f>$M$7*$M$5*$M$4*$M$6*$M$17*T$24*T$42*$M$8</f>
        <v>0</v>
      </c>
      <c r="F10" s="3">
        <f>$M$7*$M$5*$M$4*$M$6*$M$17*T$26*T$44*$M$8</f>
        <v>0</v>
      </c>
      <c r="G10" s="3">
        <f>$M$7*$M$5*$M$4*$M$6*$M$25*T$27*T$45*$M$8</f>
        <v>0</v>
      </c>
      <c r="H10" s="25">
        <f t="shared" si="3"/>
        <v>0</v>
      </c>
      <c r="I10" s="26">
        <f>ROUNDDOWN($M$7*$M$5*$M$4*$M$6*$M$25*T$29*T$47*$M$8, )</f>
        <v>1035</v>
      </c>
      <c r="J10" s="25">
        <f t="shared" si="4"/>
        <v>1035</v>
      </c>
      <c r="L10" s="142" t="s">
        <v>120</v>
      </c>
      <c r="M10" s="143"/>
      <c r="N10" s="144"/>
      <c r="P10" s="21" t="s">
        <v>30</v>
      </c>
      <c r="Q10" s="22">
        <v>0</v>
      </c>
      <c r="R10" s="22">
        <f>$Q$10</f>
        <v>0</v>
      </c>
      <c r="S10" s="22">
        <f t="shared" ref="S10:Z10" si="7">$Q$10</f>
        <v>0</v>
      </c>
      <c r="T10" s="22">
        <f t="shared" si="7"/>
        <v>0</v>
      </c>
      <c r="U10" s="22">
        <f t="shared" si="7"/>
        <v>0</v>
      </c>
      <c r="V10" s="22">
        <f t="shared" si="7"/>
        <v>0</v>
      </c>
      <c r="W10" s="22">
        <f t="shared" si="7"/>
        <v>0</v>
      </c>
      <c r="X10" s="22">
        <f t="shared" si="7"/>
        <v>0</v>
      </c>
      <c r="Y10" s="22">
        <f t="shared" si="7"/>
        <v>0</v>
      </c>
      <c r="Z10" s="22">
        <f t="shared" si="7"/>
        <v>0</v>
      </c>
    </row>
    <row r="11" spans="2:26" x14ac:dyDescent="0.25">
      <c r="B11" s="24">
        <v>2025</v>
      </c>
      <c r="C11" s="3">
        <f>$M$7*$M$5*$M$4*$M$6*$M$17*U$23*U$41*$M$8</f>
        <v>0</v>
      </c>
      <c r="D11" s="3">
        <f>$M$7*$M$5*$M$4*$M$6*$M$17*U$24*U$42*$M$8</f>
        <v>0</v>
      </c>
      <c r="E11" s="3">
        <f>$M$7*$M$5*$M$4*$M$6*$M$17*U$24*U$42*$M$8</f>
        <v>0</v>
      </c>
      <c r="F11" s="3">
        <f>$M$7*$M$5*$M$4*$M$6*$M$17*U$26*U$44*$M$8</f>
        <v>0</v>
      </c>
      <c r="G11" s="3">
        <f>$M$7*$M$5*$M$4*$M$6*$M$25*U$27*U$45*$M$8</f>
        <v>0</v>
      </c>
      <c r="H11" s="25">
        <f t="shared" si="3"/>
        <v>0</v>
      </c>
      <c r="I11" s="26">
        <f>ROUNDDOWN($M$7*$M$5*$M$4*$M$6*$M$25*U$29*U$47*$M$8, )</f>
        <v>1035</v>
      </c>
      <c r="J11" s="25">
        <f t="shared" si="4"/>
        <v>1035</v>
      </c>
      <c r="L11" s="145"/>
      <c r="M11" s="146"/>
      <c r="N11" s="147"/>
      <c r="P11" s="21" t="s">
        <v>31</v>
      </c>
      <c r="Q11" s="22">
        <f>'Last MR_Colonia Suspiro'!C4</f>
        <v>7638.565055762082</v>
      </c>
      <c r="R11" s="22">
        <f>$Q$11</f>
        <v>7638.565055762082</v>
      </c>
      <c r="S11" s="22">
        <f t="shared" ref="S11:Z11" si="8">$Q$11</f>
        <v>7638.565055762082</v>
      </c>
      <c r="T11" s="22">
        <f t="shared" si="8"/>
        <v>7638.565055762082</v>
      </c>
      <c r="U11" s="22">
        <f t="shared" si="8"/>
        <v>7638.565055762082</v>
      </c>
      <c r="V11" s="22">
        <f t="shared" si="8"/>
        <v>7638.565055762082</v>
      </c>
      <c r="W11" s="22">
        <f t="shared" si="8"/>
        <v>7638.565055762082</v>
      </c>
      <c r="X11" s="22">
        <f t="shared" si="8"/>
        <v>7638.565055762082</v>
      </c>
      <c r="Y11" s="22">
        <f t="shared" si="8"/>
        <v>7638.565055762082</v>
      </c>
      <c r="Z11" s="22">
        <f t="shared" si="8"/>
        <v>7638.565055762082</v>
      </c>
    </row>
    <row r="12" spans="2:26" ht="15.75" x14ac:dyDescent="0.25">
      <c r="B12" s="24">
        <v>2026</v>
      </c>
      <c r="C12" s="3">
        <f>$M$7*$M$5*$M$4*$M$6*$M$17*V$23*V$41*$M$8</f>
        <v>0</v>
      </c>
      <c r="D12" s="3">
        <f>$M$7*$M$5*$M$4*$M$6*$M$17*V$24*V$42*$M$8</f>
        <v>0</v>
      </c>
      <c r="E12" s="3">
        <f>$M$7*$M$5*$M$4*$M$6*$M$17*V$24*V$42*$M$8</f>
        <v>0</v>
      </c>
      <c r="F12" s="3">
        <f>$M$7*$M$5*$M$4*$M$6*$M$17*V$26*V$44*$M$8</f>
        <v>0</v>
      </c>
      <c r="G12" s="3">
        <f>$M$7*$M$5*$M$4*$M$6*$M$25*V$27*V$45*$M$8</f>
        <v>0</v>
      </c>
      <c r="H12" s="25">
        <f t="shared" si="3"/>
        <v>0</v>
      </c>
      <c r="I12" s="26">
        <f>ROUNDDOWN($M$7*$M$5*$M$4*$M$6*$M$25*V$29*V$47*$M$8, )</f>
        <v>1035</v>
      </c>
      <c r="J12" s="25">
        <f t="shared" si="4"/>
        <v>1035</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$M$7*$M$5*$M$4*$M$6*$M$17*W$23*W$41*$M$8</f>
        <v>0</v>
      </c>
      <c r="D13" s="3">
        <f>$M$7*$M$5*$M$4*$M$6*$M$17*W$24*W$42*$M$8</f>
        <v>0</v>
      </c>
      <c r="E13" s="3">
        <f>$M$7*$M$5*$M$4*$M$6*$M$17*W$24*W$42*$M$8</f>
        <v>0</v>
      </c>
      <c r="F13" s="3">
        <f>$M$7*$M$5*$M$4*$M$6*$M$17*W$26*W$44*$M$8</f>
        <v>0</v>
      </c>
      <c r="G13" s="3">
        <f>$M$7*$M$5*$M$4*$M$6*$M$25*W$27*W$45*$M$8</f>
        <v>0</v>
      </c>
      <c r="H13" s="25">
        <f t="shared" si="3"/>
        <v>0</v>
      </c>
      <c r="I13" s="26">
        <f>ROUNDDOWN($M$7*$M$5*$M$4*$M$6*$M$25*W$29*W$47*$M$8, )</f>
        <v>1035</v>
      </c>
      <c r="J13" s="25">
        <f t="shared" si="4"/>
        <v>1035</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4.25" customHeight="1" x14ac:dyDescent="0.25">
      <c r="B14" s="24">
        <v>2028</v>
      </c>
      <c r="C14" s="3">
        <f>$M$7*$M$5*$M$4*$M$6*$M$17*X$23*X$41*$M$8</f>
        <v>0</v>
      </c>
      <c r="D14" s="3">
        <f>$M$7*$M$5*$M$4*$M$6*$M$17*X$24*X$42*$M$8</f>
        <v>0</v>
      </c>
      <c r="E14" s="3">
        <f>$M$7*$M$5*$M$4*$M$6*$M$17*X$24*X$42*$M$8</f>
        <v>0</v>
      </c>
      <c r="F14" s="3">
        <f>$M$7*$M$5*$M$4*$M$6*$M$17*X$26*X$44*$M$8</f>
        <v>0</v>
      </c>
      <c r="G14" s="3">
        <f>$M$7*$M$5*$M$4*$M$6*$M$25*X$27*X$45*$M$8</f>
        <v>0</v>
      </c>
      <c r="H14" s="25">
        <f t="shared" si="3"/>
        <v>0</v>
      </c>
      <c r="I14" s="26">
        <f>ROUNDDOWN($M$7*$M$5*$M$4*$M$6*$M$25*X$29*X$47*$M$8, )</f>
        <v>1035</v>
      </c>
      <c r="J14" s="25">
        <f t="shared" si="4"/>
        <v>1035</v>
      </c>
      <c r="L14" s="139" t="s">
        <v>37</v>
      </c>
      <c r="M14" s="140"/>
      <c r="N14" s="141"/>
      <c r="P14" s="21" t="s">
        <v>25</v>
      </c>
      <c r="Q14" s="22">
        <v>0</v>
      </c>
      <c r="R14" s="22">
        <f>$Q$14</f>
        <v>0</v>
      </c>
      <c r="S14" s="22">
        <f t="shared" ref="S14:Z14" si="9">$Q$14</f>
        <v>0</v>
      </c>
      <c r="T14" s="22">
        <f t="shared" si="9"/>
        <v>0</v>
      </c>
      <c r="U14" s="22">
        <f t="shared" si="9"/>
        <v>0</v>
      </c>
      <c r="V14" s="22">
        <f t="shared" si="9"/>
        <v>0</v>
      </c>
      <c r="W14" s="22">
        <f t="shared" si="9"/>
        <v>0</v>
      </c>
      <c r="X14" s="22">
        <f t="shared" si="9"/>
        <v>0</v>
      </c>
      <c r="Y14" s="22">
        <f t="shared" si="9"/>
        <v>0</v>
      </c>
      <c r="Z14" s="22">
        <f t="shared" si="9"/>
        <v>0</v>
      </c>
    </row>
    <row r="15" spans="2:26" x14ac:dyDescent="0.25">
      <c r="B15" s="24">
        <v>2029</v>
      </c>
      <c r="C15" s="3">
        <f>$M$7*$M$5*$M$4*$M$6*$M$17*Y$23*Y$41*$M$8</f>
        <v>0</v>
      </c>
      <c r="D15" s="3">
        <f>$M$7*$M$5*$M$4*$M$6*$M$17*Y$24*Y$42*$M$8</f>
        <v>0</v>
      </c>
      <c r="E15" s="3">
        <f>$M$7*$M$5*$M$4*$M$6*$M$17*Y$24*Y$42*$M$8</f>
        <v>0</v>
      </c>
      <c r="F15" s="3">
        <f>$M$7*$M$5*$M$4*$M$6*$M$17*Y$26*Y$44*$M$8</f>
        <v>0</v>
      </c>
      <c r="G15" s="3">
        <f>$M$7*$M$5*$M$4*$M$6*$M$25*Y$27*Y$45*$M$8</f>
        <v>0</v>
      </c>
      <c r="H15" s="25">
        <f t="shared" si="3"/>
        <v>0</v>
      </c>
      <c r="I15" s="26">
        <f>ROUNDDOWN($M$7*$M$5*$M$4*$M$6*$M$25*Y$29*Y$47*$M$8, )</f>
        <v>1035</v>
      </c>
      <c r="J15" s="25">
        <f t="shared" si="4"/>
        <v>1035</v>
      </c>
      <c r="L15" s="74" t="s">
        <v>40</v>
      </c>
      <c r="M15" s="75">
        <f>(1.7*(M19/1000))</f>
        <v>0.34849999999999998</v>
      </c>
      <c r="N15" s="74" t="s">
        <v>38</v>
      </c>
      <c r="P15" s="21" t="s">
        <v>26</v>
      </c>
      <c r="Q15" s="22">
        <v>0</v>
      </c>
      <c r="R15" s="22">
        <f>$Q$15</f>
        <v>0</v>
      </c>
      <c r="S15" s="22">
        <f t="shared" ref="S15:Z15" si="10">$Q$15</f>
        <v>0</v>
      </c>
      <c r="T15" s="22">
        <f t="shared" si="10"/>
        <v>0</v>
      </c>
      <c r="U15" s="22">
        <f t="shared" si="10"/>
        <v>0</v>
      </c>
      <c r="V15" s="22">
        <f t="shared" si="10"/>
        <v>0</v>
      </c>
      <c r="W15" s="22">
        <f t="shared" si="10"/>
        <v>0</v>
      </c>
      <c r="X15" s="22">
        <f t="shared" si="10"/>
        <v>0</v>
      </c>
      <c r="Y15" s="22">
        <f t="shared" si="10"/>
        <v>0</v>
      </c>
      <c r="Z15" s="22">
        <f t="shared" si="10"/>
        <v>0</v>
      </c>
    </row>
    <row r="16" spans="2:26" ht="14.25" customHeight="1" x14ac:dyDescent="0.25">
      <c r="B16" s="24">
        <v>2030</v>
      </c>
      <c r="C16" s="3">
        <f>$M$7*$M$5*$M$4*$M$6*$M$17*Z$23*Z$41*$M$8</f>
        <v>0</v>
      </c>
      <c r="D16" s="3">
        <f>$M$7*$M$5*$M$4*$M$6*$M$17*Z$24*Z$42*$M$8</f>
        <v>0</v>
      </c>
      <c r="E16" s="3">
        <f>$M$7*$M$5*$M$4*$M$6*$M$17*Z$24*Z$42*$M$8</f>
        <v>0</v>
      </c>
      <c r="F16" s="3">
        <f>$M$7*$M$5*$M$4*$M$6*$M$17*Z$26*Z$44*$M$8</f>
        <v>0</v>
      </c>
      <c r="G16" s="3">
        <f>$M$7*$M$5*$M$4*$M$6*$M$25*Z$27*Z$45*$M$8</f>
        <v>0</v>
      </c>
      <c r="H16" s="25">
        <f t="shared" si="3"/>
        <v>0</v>
      </c>
      <c r="I16" s="26">
        <f>ROUNDDOWN($M$7*$M$5*$M$4*$M$6*$M$25*Z$29*Z$47*$M$8, )</f>
        <v>1035</v>
      </c>
      <c r="J16" s="25">
        <f t="shared" si="4"/>
        <v>1035</v>
      </c>
      <c r="L16" s="139" t="s">
        <v>42</v>
      </c>
      <c r="M16" s="140"/>
      <c r="N16" s="141"/>
      <c r="P16" s="21" t="s">
        <v>39</v>
      </c>
      <c r="Q16" s="22">
        <v>0</v>
      </c>
      <c r="R16" s="22">
        <f>$Q$16</f>
        <v>0</v>
      </c>
      <c r="S16" s="22">
        <f t="shared" ref="S16:Z16" si="11">$Q$16</f>
        <v>0</v>
      </c>
      <c r="T16" s="22">
        <f t="shared" si="11"/>
        <v>0</v>
      </c>
      <c r="U16" s="22">
        <f t="shared" si="11"/>
        <v>0</v>
      </c>
      <c r="V16" s="22">
        <f t="shared" si="11"/>
        <v>0</v>
      </c>
      <c r="W16" s="22">
        <f t="shared" si="11"/>
        <v>0</v>
      </c>
      <c r="X16" s="22">
        <f t="shared" si="11"/>
        <v>0</v>
      </c>
      <c r="Y16" s="22">
        <f t="shared" si="11"/>
        <v>0</v>
      </c>
      <c r="Z16" s="22">
        <f t="shared" si="11"/>
        <v>0</v>
      </c>
    </row>
    <row r="17" spans="2:26" ht="15.75" x14ac:dyDescent="0.25">
      <c r="B17" s="28" t="s">
        <v>0</v>
      </c>
      <c r="C17" s="25">
        <f>ROUNDDOWN(SUM(C7:C16),)</f>
        <v>0</v>
      </c>
      <c r="D17" s="25">
        <f t="shared" ref="D17:H17" si="12">ROUNDDOWN(SUM(D7:D16),)</f>
        <v>0</v>
      </c>
      <c r="E17" s="25">
        <f t="shared" si="12"/>
        <v>0</v>
      </c>
      <c r="F17" s="25">
        <f t="shared" si="12"/>
        <v>0</v>
      </c>
      <c r="G17" s="25">
        <f t="shared" si="12"/>
        <v>0</v>
      </c>
      <c r="H17" s="25">
        <f t="shared" si="12"/>
        <v>0</v>
      </c>
      <c r="I17" s="25">
        <f>ROUNDDOWN(SUM(I7:I16),)</f>
        <v>10350</v>
      </c>
      <c r="J17" s="25">
        <f>ROUNDDOWN(SUM(J7:J16),)</f>
        <v>10350</v>
      </c>
      <c r="L17" s="74" t="s">
        <v>40</v>
      </c>
      <c r="M17" s="74">
        <f>0.45</f>
        <v>0.45</v>
      </c>
      <c r="N17" s="74" t="s">
        <v>43</v>
      </c>
      <c r="P17" s="21" t="s">
        <v>41</v>
      </c>
      <c r="Q17" s="22">
        <v>0</v>
      </c>
      <c r="R17" s="22">
        <f>$Q$17</f>
        <v>0</v>
      </c>
      <c r="S17" s="22">
        <f t="shared" ref="S17:Z17" si="13">$Q$17</f>
        <v>0</v>
      </c>
      <c r="T17" s="22">
        <f t="shared" si="13"/>
        <v>0</v>
      </c>
      <c r="U17" s="22">
        <f t="shared" si="13"/>
        <v>0</v>
      </c>
      <c r="V17" s="22">
        <f t="shared" si="13"/>
        <v>0</v>
      </c>
      <c r="W17" s="22">
        <f t="shared" si="13"/>
        <v>0</v>
      </c>
      <c r="X17" s="22">
        <f t="shared" si="13"/>
        <v>0</v>
      </c>
      <c r="Y17" s="22">
        <f t="shared" si="13"/>
        <v>0</v>
      </c>
      <c r="Z17" s="22">
        <f t="shared" si="13"/>
        <v>0</v>
      </c>
    </row>
    <row r="18" spans="2:26" ht="14.25" customHeight="1" x14ac:dyDescent="0.25">
      <c r="B18" s="29"/>
      <c r="C18" s="30"/>
      <c r="D18" s="30"/>
      <c r="E18" s="30"/>
      <c r="F18" s="30"/>
      <c r="G18" s="30"/>
      <c r="H18" s="30"/>
      <c r="I18" s="30"/>
      <c r="J18" s="30"/>
      <c r="L18" s="139" t="s">
        <v>46</v>
      </c>
      <c r="M18" s="140"/>
      <c r="N18" s="141"/>
      <c r="P18" s="21" t="s">
        <v>29</v>
      </c>
      <c r="Q18" s="22">
        <v>0</v>
      </c>
      <c r="R18" s="22">
        <f>$Q$18</f>
        <v>0</v>
      </c>
      <c r="S18" s="22">
        <f t="shared" ref="S18:Z18" si="14">$Q$18</f>
        <v>0</v>
      </c>
      <c r="T18" s="22">
        <f t="shared" si="14"/>
        <v>0</v>
      </c>
      <c r="U18" s="22">
        <f t="shared" si="14"/>
        <v>0</v>
      </c>
      <c r="V18" s="22">
        <f t="shared" si="14"/>
        <v>0</v>
      </c>
      <c r="W18" s="22">
        <f t="shared" si="14"/>
        <v>0</v>
      </c>
      <c r="X18" s="22">
        <f t="shared" si="14"/>
        <v>0</v>
      </c>
      <c r="Y18" s="22">
        <f t="shared" si="14"/>
        <v>0</v>
      </c>
      <c r="Z18" s="22">
        <f t="shared" si="14"/>
        <v>0</v>
      </c>
    </row>
    <row r="19" spans="2:26" ht="14.25" customHeight="1" x14ac:dyDescent="0.25">
      <c r="B19" s="29"/>
      <c r="C19" s="30"/>
      <c r="D19" s="30"/>
      <c r="E19" s="30"/>
      <c r="F19" s="30"/>
      <c r="G19" s="30"/>
      <c r="H19" s="30"/>
      <c r="I19" s="30"/>
      <c r="J19" s="30"/>
      <c r="L19" s="74" t="s">
        <v>40</v>
      </c>
      <c r="M19" s="74">
        <v>205</v>
      </c>
      <c r="N19" s="74" t="s">
        <v>47</v>
      </c>
      <c r="P19" s="21" t="s">
        <v>44</v>
      </c>
      <c r="Q19" s="22">
        <v>0</v>
      </c>
      <c r="R19" s="22">
        <f>$Q$19</f>
        <v>0</v>
      </c>
      <c r="S19" s="22">
        <f t="shared" ref="S19:Z19" si="15">$Q$19</f>
        <v>0</v>
      </c>
      <c r="T19" s="22">
        <f t="shared" si="15"/>
        <v>0</v>
      </c>
      <c r="U19" s="22">
        <f t="shared" si="15"/>
        <v>0</v>
      </c>
      <c r="V19" s="22">
        <f t="shared" si="15"/>
        <v>0</v>
      </c>
      <c r="W19" s="22">
        <f t="shared" si="15"/>
        <v>0</v>
      </c>
      <c r="X19" s="22">
        <f t="shared" si="15"/>
        <v>0</v>
      </c>
      <c r="Y19" s="22">
        <f t="shared" si="15"/>
        <v>0</v>
      </c>
      <c r="Z19" s="22">
        <f t="shared" si="15"/>
        <v>0</v>
      </c>
    </row>
    <row r="20" spans="2:26" x14ac:dyDescent="0.25">
      <c r="B20" s="30"/>
      <c r="C20" s="30"/>
      <c r="D20" s="30"/>
      <c r="E20" s="30"/>
      <c r="F20" s="30"/>
      <c r="G20" s="30"/>
      <c r="H20" s="30"/>
      <c r="I20" s="30"/>
      <c r="J20" s="30"/>
      <c r="L20" s="148" t="s">
        <v>131</v>
      </c>
      <c r="M20" s="149"/>
      <c r="N20" s="150"/>
      <c r="P20" s="21" t="s">
        <v>31</v>
      </c>
      <c r="Q20" s="22">
        <f>'Last MR_Colonia Suspiro'!C5</f>
        <v>114.16566933182195</v>
      </c>
      <c r="R20" s="22">
        <f>$Q$20</f>
        <v>114.16566933182195</v>
      </c>
      <c r="S20" s="22">
        <f t="shared" ref="S20:Z20" si="16">$Q$20</f>
        <v>114.16566933182195</v>
      </c>
      <c r="T20" s="22">
        <f t="shared" si="16"/>
        <v>114.16566933182195</v>
      </c>
      <c r="U20" s="22">
        <f t="shared" si="16"/>
        <v>114.16566933182195</v>
      </c>
      <c r="V20" s="22">
        <f t="shared" si="16"/>
        <v>114.16566933182195</v>
      </c>
      <c r="W20" s="22">
        <f t="shared" si="16"/>
        <v>114.16566933182195</v>
      </c>
      <c r="X20" s="22">
        <f t="shared" si="16"/>
        <v>114.16566933182195</v>
      </c>
      <c r="Y20" s="22">
        <f t="shared" si="16"/>
        <v>114.16566933182195</v>
      </c>
      <c r="Z20" s="22">
        <f t="shared" si="16"/>
        <v>114.16566933182195</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4.2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30"/>
      <c r="I23" s="30"/>
      <c r="J23" s="30"/>
      <c r="L23" s="74" t="s">
        <v>40</v>
      </c>
      <c r="M23" s="75">
        <f>(4.3*(M27/1000))</f>
        <v>0.25369999999999998</v>
      </c>
      <c r="N23" s="74" t="s">
        <v>38</v>
      </c>
      <c r="P23" s="21" t="s">
        <v>25</v>
      </c>
      <c r="Q23" s="31">
        <v>0</v>
      </c>
      <c r="R23" s="31">
        <f>$Q$23</f>
        <v>0</v>
      </c>
      <c r="S23" s="31">
        <f t="shared" ref="S23:Z23" si="17">$Q$23</f>
        <v>0</v>
      </c>
      <c r="T23" s="31">
        <f t="shared" si="17"/>
        <v>0</v>
      </c>
      <c r="U23" s="31">
        <f t="shared" si="17"/>
        <v>0</v>
      </c>
      <c r="V23" s="31">
        <f t="shared" si="17"/>
        <v>0</v>
      </c>
      <c r="W23" s="31">
        <f t="shared" si="17"/>
        <v>0</v>
      </c>
      <c r="X23" s="31">
        <f t="shared" si="17"/>
        <v>0</v>
      </c>
      <c r="Y23" s="31">
        <f t="shared" si="17"/>
        <v>0</v>
      </c>
      <c r="Z23" s="31">
        <f t="shared" si="17"/>
        <v>0</v>
      </c>
    </row>
    <row r="24" spans="2:26" ht="14.25" customHeight="1" x14ac:dyDescent="0.25">
      <c r="B24" s="30"/>
      <c r="C24" s="30"/>
      <c r="D24" s="30"/>
      <c r="E24" s="30"/>
      <c r="F24" s="30"/>
      <c r="G24" s="30"/>
      <c r="H24" s="30"/>
      <c r="I24" s="30"/>
      <c r="J24" s="30"/>
      <c r="L24" s="139" t="s">
        <v>42</v>
      </c>
      <c r="M24" s="140"/>
      <c r="N24" s="141"/>
      <c r="P24" s="21" t="s">
        <v>26</v>
      </c>
      <c r="Q24" s="31">
        <v>0</v>
      </c>
      <c r="R24" s="31">
        <f>$Q$24</f>
        <v>0</v>
      </c>
      <c r="S24" s="31">
        <f t="shared" ref="S24:Z24" si="18">$Q$24</f>
        <v>0</v>
      </c>
      <c r="T24" s="31">
        <f t="shared" si="18"/>
        <v>0</v>
      </c>
      <c r="U24" s="31">
        <f t="shared" si="18"/>
        <v>0</v>
      </c>
      <c r="V24" s="31">
        <f t="shared" si="18"/>
        <v>0</v>
      </c>
      <c r="W24" s="31">
        <f t="shared" si="18"/>
        <v>0</v>
      </c>
      <c r="X24" s="31">
        <f t="shared" si="18"/>
        <v>0</v>
      </c>
      <c r="Y24" s="31">
        <f t="shared" si="18"/>
        <v>0</v>
      </c>
      <c r="Z24" s="31">
        <f t="shared" si="18"/>
        <v>0</v>
      </c>
    </row>
    <row r="25" spans="2:26" ht="15.75" x14ac:dyDescent="0.25">
      <c r="B25" s="30"/>
      <c r="C25" s="30"/>
      <c r="D25" s="30"/>
      <c r="E25" s="30"/>
      <c r="F25" s="30"/>
      <c r="G25" s="30"/>
      <c r="H25" s="30"/>
      <c r="I25" s="30"/>
      <c r="J25" s="30"/>
      <c r="L25" s="74" t="s">
        <v>40</v>
      </c>
      <c r="M25" s="74">
        <f>0.45</f>
        <v>0.45</v>
      </c>
      <c r="N25" s="74" t="s">
        <v>43</v>
      </c>
      <c r="P25" s="21" t="s">
        <v>39</v>
      </c>
      <c r="Q25" s="31">
        <v>0</v>
      </c>
      <c r="R25" s="31">
        <f>$Q$25</f>
        <v>0</v>
      </c>
      <c r="S25" s="31">
        <f t="shared" ref="S25:Z25" si="19">$Q$25</f>
        <v>0</v>
      </c>
      <c r="T25" s="31">
        <f t="shared" si="19"/>
        <v>0</v>
      </c>
      <c r="U25" s="31">
        <f t="shared" si="19"/>
        <v>0</v>
      </c>
      <c r="V25" s="31">
        <f t="shared" si="19"/>
        <v>0</v>
      </c>
      <c r="W25" s="31">
        <f t="shared" si="19"/>
        <v>0</v>
      </c>
      <c r="X25" s="31">
        <f t="shared" si="19"/>
        <v>0</v>
      </c>
      <c r="Y25" s="31">
        <f t="shared" si="19"/>
        <v>0</v>
      </c>
      <c r="Z25" s="31">
        <f t="shared" si="19"/>
        <v>0</v>
      </c>
    </row>
    <row r="26" spans="2:26" ht="12.75" customHeight="1" x14ac:dyDescent="0.25">
      <c r="B26" s="30"/>
      <c r="C26" s="30"/>
      <c r="D26" s="30"/>
      <c r="E26" s="30"/>
      <c r="F26" s="30"/>
      <c r="G26" s="30"/>
      <c r="H26" s="30"/>
      <c r="I26" s="30"/>
      <c r="J26" s="30"/>
      <c r="L26" s="139" t="s">
        <v>46</v>
      </c>
      <c r="M26" s="140"/>
      <c r="N26" s="141"/>
      <c r="P26" s="21" t="s">
        <v>41</v>
      </c>
      <c r="Q26" s="31">
        <v>0</v>
      </c>
      <c r="R26" s="31">
        <f>$Q$26</f>
        <v>0</v>
      </c>
      <c r="S26" s="31">
        <f t="shared" ref="S26:Z26" si="20">$Q$26</f>
        <v>0</v>
      </c>
      <c r="T26" s="31">
        <f t="shared" si="20"/>
        <v>0</v>
      </c>
      <c r="U26" s="31">
        <f t="shared" si="20"/>
        <v>0</v>
      </c>
      <c r="V26" s="31">
        <f t="shared" si="20"/>
        <v>0</v>
      </c>
      <c r="W26" s="31">
        <f t="shared" si="20"/>
        <v>0</v>
      </c>
      <c r="X26" s="31">
        <f t="shared" si="20"/>
        <v>0</v>
      </c>
      <c r="Y26" s="31">
        <f t="shared" si="20"/>
        <v>0</v>
      </c>
      <c r="Z26" s="31">
        <f t="shared" si="20"/>
        <v>0</v>
      </c>
    </row>
    <row r="27" spans="2:26" ht="12.75" customHeight="1" x14ac:dyDescent="0.25">
      <c r="B27" s="30"/>
      <c r="C27" s="30"/>
      <c r="D27" s="30"/>
      <c r="E27" s="30"/>
      <c r="F27" s="30"/>
      <c r="G27" s="30"/>
      <c r="H27" s="30"/>
      <c r="I27" s="30"/>
      <c r="J27" s="30"/>
      <c r="L27" s="74" t="s">
        <v>40</v>
      </c>
      <c r="M27" s="74">
        <v>59</v>
      </c>
      <c r="N27" s="74" t="s">
        <v>47</v>
      </c>
      <c r="P27" s="21" t="s">
        <v>29</v>
      </c>
      <c r="Q27" s="31">
        <v>0</v>
      </c>
      <c r="R27" s="31">
        <f>$Q$27</f>
        <v>0</v>
      </c>
      <c r="S27" s="31">
        <f t="shared" ref="S27:Z27" si="21">$Q$27</f>
        <v>0</v>
      </c>
      <c r="T27" s="31">
        <f t="shared" si="21"/>
        <v>0</v>
      </c>
      <c r="U27" s="31">
        <f t="shared" si="21"/>
        <v>0</v>
      </c>
      <c r="V27" s="31">
        <f t="shared" si="21"/>
        <v>0</v>
      </c>
      <c r="W27" s="31">
        <f t="shared" si="21"/>
        <v>0</v>
      </c>
      <c r="X27" s="31">
        <f t="shared" si="21"/>
        <v>0</v>
      </c>
      <c r="Y27" s="31">
        <f t="shared" si="21"/>
        <v>0</v>
      </c>
      <c r="Z27" s="31">
        <f t="shared" si="21"/>
        <v>0</v>
      </c>
    </row>
    <row r="28" spans="2:26" x14ac:dyDescent="0.25">
      <c r="B28" s="30"/>
      <c r="C28" s="30"/>
      <c r="D28" s="30"/>
      <c r="E28" s="30"/>
      <c r="F28" s="30"/>
      <c r="G28" s="30"/>
      <c r="H28" s="30"/>
      <c r="I28" s="30"/>
      <c r="J28" s="30"/>
      <c r="L28" s="30"/>
      <c r="M28" s="30"/>
      <c r="N28" s="30"/>
      <c r="P28" s="21" t="s">
        <v>44</v>
      </c>
      <c r="Q28" s="31">
        <v>0</v>
      </c>
      <c r="R28" s="31">
        <f>$Q$28</f>
        <v>0</v>
      </c>
      <c r="S28" s="31">
        <f t="shared" ref="S28:Z28" si="22">$Q$28</f>
        <v>0</v>
      </c>
      <c r="T28" s="31">
        <f t="shared" si="22"/>
        <v>0</v>
      </c>
      <c r="U28" s="31">
        <f t="shared" si="22"/>
        <v>0</v>
      </c>
      <c r="V28" s="31">
        <f t="shared" si="22"/>
        <v>0</v>
      </c>
      <c r="W28" s="31">
        <f t="shared" si="22"/>
        <v>0</v>
      </c>
      <c r="X28" s="31">
        <f t="shared" si="22"/>
        <v>0</v>
      </c>
      <c r="Y28" s="31">
        <f t="shared" si="22"/>
        <v>0</v>
      </c>
      <c r="Z28" s="31">
        <f t="shared" si="22"/>
        <v>0</v>
      </c>
    </row>
    <row r="29" spans="2:26" x14ac:dyDescent="0.25">
      <c r="B29" s="30"/>
      <c r="C29" s="30"/>
      <c r="D29" s="30"/>
      <c r="E29" s="30"/>
      <c r="F29" s="30"/>
      <c r="G29" s="30"/>
      <c r="H29" s="30"/>
      <c r="I29" s="30"/>
      <c r="J29" s="30"/>
      <c r="L29" s="30"/>
      <c r="M29" s="30"/>
      <c r="N29" s="30"/>
      <c r="P29" s="21" t="s">
        <v>31</v>
      </c>
      <c r="Q29" s="22">
        <f>'Last MR_Colonia Suspiro'!C6</f>
        <v>2389.2106639061476</v>
      </c>
      <c r="R29" s="22">
        <f>$Q$29</f>
        <v>2389.2106639061476</v>
      </c>
      <c r="S29" s="22">
        <f t="shared" ref="S29:Z29" si="23">$Q$29</f>
        <v>2389.2106639061476</v>
      </c>
      <c r="T29" s="22">
        <f t="shared" si="23"/>
        <v>2389.2106639061476</v>
      </c>
      <c r="U29" s="22">
        <f t="shared" si="23"/>
        <v>2389.2106639061476</v>
      </c>
      <c r="V29" s="22">
        <f t="shared" si="23"/>
        <v>2389.2106639061476</v>
      </c>
      <c r="W29" s="22">
        <f t="shared" si="23"/>
        <v>2389.2106639061476</v>
      </c>
      <c r="X29" s="22">
        <f t="shared" si="23"/>
        <v>2389.2106639061476</v>
      </c>
      <c r="Y29" s="22">
        <f t="shared" si="23"/>
        <v>2389.2106639061476</v>
      </c>
      <c r="Z29" s="22">
        <f t="shared" si="23"/>
        <v>2389.2106639061476</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x14ac:dyDescent="0.25">
      <c r="C32" s="30"/>
      <c r="D32" s="30"/>
      <c r="E32" s="30"/>
      <c r="F32" s="30"/>
      <c r="G32" s="30"/>
      <c r="H32" s="30"/>
      <c r="I32" s="30"/>
      <c r="J32" s="30"/>
      <c r="L32" s="30"/>
      <c r="M32" s="30"/>
      <c r="N32" s="30"/>
      <c r="P32" s="21" t="s">
        <v>49</v>
      </c>
      <c r="Q32" s="128">
        <v>0</v>
      </c>
      <c r="R32" s="128">
        <f>$Q$32</f>
        <v>0</v>
      </c>
      <c r="S32" s="128">
        <f t="shared" ref="S32:Z32" si="24">$Q$32</f>
        <v>0</v>
      </c>
      <c r="T32" s="128">
        <f t="shared" si="24"/>
        <v>0</v>
      </c>
      <c r="U32" s="128">
        <f t="shared" si="24"/>
        <v>0</v>
      </c>
      <c r="V32" s="128">
        <f t="shared" si="24"/>
        <v>0</v>
      </c>
      <c r="W32" s="128">
        <f t="shared" si="24"/>
        <v>0</v>
      </c>
      <c r="X32" s="128">
        <f t="shared" si="24"/>
        <v>0</v>
      </c>
      <c r="Y32" s="128">
        <f t="shared" si="24"/>
        <v>0</v>
      </c>
      <c r="Z32" s="128">
        <f t="shared" si="24"/>
        <v>0</v>
      </c>
    </row>
    <row r="33" spans="3:26" x14ac:dyDescent="0.25">
      <c r="C33" s="30"/>
      <c r="D33" s="30"/>
      <c r="E33" s="30"/>
      <c r="F33" s="30"/>
      <c r="G33" s="30"/>
      <c r="H33" s="30"/>
      <c r="I33" s="30"/>
      <c r="J33" s="30"/>
      <c r="L33" s="30"/>
      <c r="M33" s="30"/>
      <c r="N33" s="30"/>
      <c r="P33" s="21" t="s">
        <v>26</v>
      </c>
      <c r="Q33" s="128">
        <v>0</v>
      </c>
      <c r="R33" s="128">
        <f>$Q$33</f>
        <v>0</v>
      </c>
      <c r="S33" s="128">
        <f t="shared" ref="S33:Z33" si="25">$Q$33</f>
        <v>0</v>
      </c>
      <c r="T33" s="128">
        <f t="shared" si="25"/>
        <v>0</v>
      </c>
      <c r="U33" s="128">
        <f t="shared" si="25"/>
        <v>0</v>
      </c>
      <c r="V33" s="128">
        <f t="shared" si="25"/>
        <v>0</v>
      </c>
      <c r="W33" s="128">
        <f t="shared" si="25"/>
        <v>0</v>
      </c>
      <c r="X33" s="128">
        <f t="shared" si="25"/>
        <v>0</v>
      </c>
      <c r="Y33" s="128">
        <f t="shared" si="25"/>
        <v>0</v>
      </c>
      <c r="Z33" s="128">
        <f t="shared" si="25"/>
        <v>0</v>
      </c>
    </row>
    <row r="34" spans="3:26" ht="14.25" customHeight="1" x14ac:dyDescent="0.25">
      <c r="C34" s="30"/>
      <c r="D34" s="30"/>
      <c r="E34" s="30"/>
      <c r="F34" s="30"/>
      <c r="G34" s="30"/>
      <c r="H34" s="30"/>
      <c r="I34" s="30"/>
      <c r="J34" s="30"/>
      <c r="L34" s="30"/>
      <c r="M34" s="30"/>
      <c r="N34" s="30"/>
      <c r="P34" s="21" t="s">
        <v>39</v>
      </c>
      <c r="Q34" s="128">
        <v>0</v>
      </c>
      <c r="R34" s="128">
        <f>$Q$34</f>
        <v>0</v>
      </c>
      <c r="S34" s="128">
        <f t="shared" ref="S34:Z34" si="26">$Q$34</f>
        <v>0</v>
      </c>
      <c r="T34" s="128">
        <f t="shared" si="26"/>
        <v>0</v>
      </c>
      <c r="U34" s="128">
        <f t="shared" si="26"/>
        <v>0</v>
      </c>
      <c r="V34" s="128">
        <f t="shared" si="26"/>
        <v>0</v>
      </c>
      <c r="W34" s="128">
        <f t="shared" si="26"/>
        <v>0</v>
      </c>
      <c r="X34" s="128">
        <f t="shared" si="26"/>
        <v>0</v>
      </c>
      <c r="Y34" s="128">
        <f t="shared" si="26"/>
        <v>0</v>
      </c>
      <c r="Z34" s="128">
        <f t="shared" si="26"/>
        <v>0</v>
      </c>
    </row>
    <row r="35" spans="3:26" ht="12.75" customHeight="1" x14ac:dyDescent="0.25">
      <c r="C35" s="30"/>
      <c r="D35" s="30"/>
      <c r="E35" s="30"/>
      <c r="F35" s="30"/>
      <c r="G35" s="30"/>
      <c r="H35" s="30"/>
      <c r="I35" s="30"/>
      <c r="J35" s="30"/>
      <c r="L35" s="30"/>
      <c r="M35" s="30"/>
      <c r="N35" s="30"/>
      <c r="P35" s="21" t="s">
        <v>41</v>
      </c>
      <c r="Q35" s="128">
        <v>0</v>
      </c>
      <c r="R35" s="128">
        <f>$Q$35</f>
        <v>0</v>
      </c>
      <c r="S35" s="128">
        <f t="shared" ref="S35:Z35" si="27">$Q$35</f>
        <v>0</v>
      </c>
      <c r="T35" s="128">
        <f t="shared" si="27"/>
        <v>0</v>
      </c>
      <c r="U35" s="128">
        <f t="shared" si="27"/>
        <v>0</v>
      </c>
      <c r="V35" s="128">
        <f t="shared" si="27"/>
        <v>0</v>
      </c>
      <c r="W35" s="128">
        <f t="shared" si="27"/>
        <v>0</v>
      </c>
      <c r="X35" s="128">
        <f t="shared" si="27"/>
        <v>0</v>
      </c>
      <c r="Y35" s="128">
        <f t="shared" si="27"/>
        <v>0</v>
      </c>
      <c r="Z35" s="128">
        <f t="shared" si="27"/>
        <v>0</v>
      </c>
    </row>
    <row r="36" spans="3:26" x14ac:dyDescent="0.25">
      <c r="C36" s="30"/>
      <c r="D36" s="30"/>
      <c r="E36" s="30"/>
      <c r="F36" s="30"/>
      <c r="G36" s="30"/>
      <c r="H36" s="30"/>
      <c r="I36" s="30"/>
      <c r="J36" s="30"/>
      <c r="L36" s="30"/>
      <c r="M36" s="30"/>
      <c r="N36" s="30"/>
      <c r="P36" s="21" t="s">
        <v>50</v>
      </c>
      <c r="Q36" s="128">
        <v>0</v>
      </c>
      <c r="R36" s="128">
        <f>$Q$36</f>
        <v>0</v>
      </c>
      <c r="S36" s="128">
        <f t="shared" ref="S36:Z36" si="28">$Q$36</f>
        <v>0</v>
      </c>
      <c r="T36" s="128">
        <f t="shared" si="28"/>
        <v>0</v>
      </c>
      <c r="U36" s="128">
        <f t="shared" si="28"/>
        <v>0</v>
      </c>
      <c r="V36" s="128">
        <f t="shared" si="28"/>
        <v>0</v>
      </c>
      <c r="W36" s="128">
        <f t="shared" si="28"/>
        <v>0</v>
      </c>
      <c r="X36" s="128">
        <f t="shared" si="28"/>
        <v>0</v>
      </c>
      <c r="Y36" s="128">
        <f t="shared" si="28"/>
        <v>0</v>
      </c>
      <c r="Z36" s="128">
        <f t="shared" si="28"/>
        <v>0</v>
      </c>
    </row>
    <row r="37" spans="3:26" ht="15" customHeight="1" x14ac:dyDescent="0.25">
      <c r="C37" s="30"/>
      <c r="D37" s="30"/>
      <c r="E37" s="30"/>
      <c r="F37" s="30"/>
      <c r="G37" s="30"/>
      <c r="H37" s="30"/>
      <c r="I37" s="30"/>
      <c r="J37" s="30"/>
      <c r="L37" s="30"/>
      <c r="M37" s="30"/>
      <c r="N37" s="30"/>
      <c r="P37" s="21" t="s">
        <v>30</v>
      </c>
      <c r="Q37" s="128">
        <v>0</v>
      </c>
      <c r="R37" s="128">
        <f>$Q$37</f>
        <v>0</v>
      </c>
      <c r="S37" s="128">
        <f t="shared" ref="S37:Z37" si="29">$Q$37</f>
        <v>0</v>
      </c>
      <c r="T37" s="128">
        <f t="shared" si="29"/>
        <v>0</v>
      </c>
      <c r="U37" s="128">
        <f t="shared" si="29"/>
        <v>0</v>
      </c>
      <c r="V37" s="128">
        <f t="shared" si="29"/>
        <v>0</v>
      </c>
      <c r="W37" s="128">
        <f t="shared" si="29"/>
        <v>0</v>
      </c>
      <c r="X37" s="128">
        <f t="shared" si="29"/>
        <v>0</v>
      </c>
      <c r="Y37" s="128">
        <f t="shared" si="29"/>
        <v>0</v>
      </c>
      <c r="Z37" s="128">
        <f t="shared" si="29"/>
        <v>0</v>
      </c>
    </row>
    <row r="38" spans="3:26" x14ac:dyDescent="0.25">
      <c r="C38" s="30"/>
      <c r="D38" s="30"/>
      <c r="E38" s="30"/>
      <c r="F38" s="30"/>
      <c r="G38" s="30"/>
      <c r="H38" s="30"/>
      <c r="I38" s="30"/>
      <c r="J38" s="30"/>
      <c r="L38" s="30"/>
      <c r="M38" s="30"/>
      <c r="N38" s="30"/>
      <c r="P38" s="21" t="s">
        <v>31</v>
      </c>
      <c r="Q38" s="128">
        <f>'Last MR_Colonia Suspiro'!C7</f>
        <v>91.807848838275731</v>
      </c>
      <c r="R38" s="128">
        <f>$Q$38</f>
        <v>91.807848838275731</v>
      </c>
      <c r="S38" s="128">
        <f t="shared" ref="S38:Z38" si="30">$Q$38</f>
        <v>91.807848838275731</v>
      </c>
      <c r="T38" s="128">
        <f t="shared" si="30"/>
        <v>91.807848838275731</v>
      </c>
      <c r="U38" s="128">
        <f t="shared" si="30"/>
        <v>91.807848838275731</v>
      </c>
      <c r="V38" s="128">
        <f t="shared" si="30"/>
        <v>91.807848838275731</v>
      </c>
      <c r="W38" s="128">
        <f t="shared" si="30"/>
        <v>91.807848838275731</v>
      </c>
      <c r="X38" s="128">
        <f t="shared" si="30"/>
        <v>91.807848838275731</v>
      </c>
      <c r="Y38" s="128">
        <f t="shared" si="30"/>
        <v>91.807848838275731</v>
      </c>
      <c r="Z38" s="128">
        <f t="shared" si="30"/>
        <v>91.807848838275731</v>
      </c>
    </row>
    <row r="39" spans="3:26" x14ac:dyDescent="0.25">
      <c r="C39" s="30"/>
      <c r="D39" s="30"/>
      <c r="E39" s="30"/>
      <c r="F39" s="30"/>
      <c r="G39" s="30"/>
      <c r="H39" s="30"/>
      <c r="I39" s="30"/>
      <c r="J39" s="30"/>
      <c r="L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31">
        <v>0</v>
      </c>
      <c r="R41" s="22">
        <f>$Q$41</f>
        <v>0</v>
      </c>
      <c r="S41" s="22">
        <f t="shared" ref="S41:Z41" si="31">$Q$41</f>
        <v>0</v>
      </c>
      <c r="T41" s="22">
        <f t="shared" si="31"/>
        <v>0</v>
      </c>
      <c r="U41" s="22">
        <f t="shared" si="31"/>
        <v>0</v>
      </c>
      <c r="V41" s="22">
        <f t="shared" si="31"/>
        <v>0</v>
      </c>
      <c r="W41" s="22">
        <f t="shared" si="31"/>
        <v>0</v>
      </c>
      <c r="X41" s="22">
        <f t="shared" si="31"/>
        <v>0</v>
      </c>
      <c r="Y41" s="22">
        <f t="shared" si="31"/>
        <v>0</v>
      </c>
      <c r="Z41" s="22">
        <f t="shared" si="31"/>
        <v>0</v>
      </c>
    </row>
    <row r="42" spans="3:26" x14ac:dyDescent="0.25">
      <c r="L42" s="32"/>
      <c r="M42" s="33"/>
      <c r="N42" s="33"/>
      <c r="P42" s="21" t="s">
        <v>26</v>
      </c>
      <c r="Q42" s="31">
        <v>0</v>
      </c>
      <c r="R42" s="22">
        <f>$Q$42</f>
        <v>0</v>
      </c>
      <c r="S42" s="22">
        <f t="shared" ref="S42:Z42" si="32">$Q$42</f>
        <v>0</v>
      </c>
      <c r="T42" s="22">
        <f t="shared" si="32"/>
        <v>0</v>
      </c>
      <c r="U42" s="22">
        <f t="shared" si="32"/>
        <v>0</v>
      </c>
      <c r="V42" s="22">
        <f t="shared" si="32"/>
        <v>0</v>
      </c>
      <c r="W42" s="22">
        <f t="shared" si="32"/>
        <v>0</v>
      </c>
      <c r="X42" s="22">
        <f t="shared" si="32"/>
        <v>0</v>
      </c>
      <c r="Y42" s="22">
        <f t="shared" si="32"/>
        <v>0</v>
      </c>
      <c r="Z42" s="22">
        <f t="shared" si="32"/>
        <v>0</v>
      </c>
    </row>
    <row r="43" spans="3:26" x14ac:dyDescent="0.25">
      <c r="L43" s="32"/>
      <c r="M43" s="33"/>
      <c r="N43" s="33"/>
      <c r="P43" s="21" t="s">
        <v>39</v>
      </c>
      <c r="Q43" s="31">
        <v>0</v>
      </c>
      <c r="R43" s="22">
        <f>$Q$43</f>
        <v>0</v>
      </c>
      <c r="S43" s="22">
        <f t="shared" ref="S43:Z43" si="33">$Q$43</f>
        <v>0</v>
      </c>
      <c r="T43" s="22">
        <f t="shared" si="33"/>
        <v>0</v>
      </c>
      <c r="U43" s="22">
        <f t="shared" si="33"/>
        <v>0</v>
      </c>
      <c r="V43" s="22">
        <f t="shared" si="33"/>
        <v>0</v>
      </c>
      <c r="W43" s="22">
        <f t="shared" si="33"/>
        <v>0</v>
      </c>
      <c r="X43" s="22">
        <f t="shared" si="33"/>
        <v>0</v>
      </c>
      <c r="Y43" s="22">
        <f t="shared" si="33"/>
        <v>0</v>
      </c>
      <c r="Z43" s="22">
        <f t="shared" si="33"/>
        <v>0</v>
      </c>
    </row>
    <row r="44" spans="3:26" x14ac:dyDescent="0.25">
      <c r="L44" s="32"/>
      <c r="M44" s="33"/>
      <c r="N44" s="33"/>
      <c r="P44" s="21" t="s">
        <v>41</v>
      </c>
      <c r="Q44" s="31">
        <v>0</v>
      </c>
      <c r="R44" s="22">
        <f>$Q$44</f>
        <v>0</v>
      </c>
      <c r="S44" s="22">
        <f t="shared" ref="S44:Z44" si="34">$Q$44</f>
        <v>0</v>
      </c>
      <c r="T44" s="22">
        <f t="shared" si="34"/>
        <v>0</v>
      </c>
      <c r="U44" s="22">
        <f t="shared" si="34"/>
        <v>0</v>
      </c>
      <c r="V44" s="22">
        <f t="shared" si="34"/>
        <v>0</v>
      </c>
      <c r="W44" s="22">
        <f t="shared" si="34"/>
        <v>0</v>
      </c>
      <c r="X44" s="22">
        <f t="shared" si="34"/>
        <v>0</v>
      </c>
      <c r="Y44" s="22">
        <f t="shared" si="34"/>
        <v>0</v>
      </c>
      <c r="Z44" s="22">
        <f t="shared" si="34"/>
        <v>0</v>
      </c>
    </row>
    <row r="45" spans="3:26" x14ac:dyDescent="0.25">
      <c r="P45" s="21" t="s">
        <v>50</v>
      </c>
      <c r="Q45" s="31">
        <v>0</v>
      </c>
      <c r="R45" s="22">
        <f>$Q$45</f>
        <v>0</v>
      </c>
      <c r="S45" s="22">
        <f t="shared" ref="S45:Z45" si="35">$Q$45</f>
        <v>0</v>
      </c>
      <c r="T45" s="22">
        <f t="shared" si="35"/>
        <v>0</v>
      </c>
      <c r="U45" s="22">
        <f t="shared" si="35"/>
        <v>0</v>
      </c>
      <c r="V45" s="22">
        <f t="shared" si="35"/>
        <v>0</v>
      </c>
      <c r="W45" s="22">
        <f t="shared" si="35"/>
        <v>0</v>
      </c>
      <c r="X45" s="22">
        <f t="shared" si="35"/>
        <v>0</v>
      </c>
      <c r="Y45" s="22">
        <f t="shared" si="35"/>
        <v>0</v>
      </c>
      <c r="Z45" s="22">
        <f t="shared" si="35"/>
        <v>0</v>
      </c>
    </row>
    <row r="46" spans="3:26" x14ac:dyDescent="0.25">
      <c r="P46" s="21" t="s">
        <v>30</v>
      </c>
      <c r="Q46" s="31">
        <v>0</v>
      </c>
      <c r="R46" s="22">
        <f>$Q$46</f>
        <v>0</v>
      </c>
      <c r="S46" s="22">
        <f t="shared" ref="S46:Z46" si="36">$Q$46</f>
        <v>0</v>
      </c>
      <c r="T46" s="22">
        <f t="shared" si="36"/>
        <v>0</v>
      </c>
      <c r="U46" s="22">
        <f t="shared" si="36"/>
        <v>0</v>
      </c>
      <c r="V46" s="22">
        <f t="shared" si="36"/>
        <v>0</v>
      </c>
      <c r="W46" s="22">
        <f t="shared" si="36"/>
        <v>0</v>
      </c>
      <c r="X46" s="22">
        <f t="shared" si="36"/>
        <v>0</v>
      </c>
      <c r="Y46" s="22">
        <f t="shared" si="36"/>
        <v>0</v>
      </c>
      <c r="Z46" s="22">
        <f t="shared" si="36"/>
        <v>0</v>
      </c>
    </row>
    <row r="47" spans="3:26" x14ac:dyDescent="0.25">
      <c r="P47" s="21" t="s">
        <v>31</v>
      </c>
      <c r="Q47" s="31">
        <f>(Q38/$M$27)*$M$23*Q56</f>
        <v>74.847048416296914</v>
      </c>
      <c r="R47" s="22">
        <f>$Q$47</f>
        <v>74.847048416296914</v>
      </c>
      <c r="S47" s="22">
        <f t="shared" ref="S47:Z47" si="37">$Q$47</f>
        <v>74.847048416296914</v>
      </c>
      <c r="T47" s="22">
        <f t="shared" si="37"/>
        <v>74.847048416296914</v>
      </c>
      <c r="U47" s="22">
        <f t="shared" si="37"/>
        <v>74.847048416296914</v>
      </c>
      <c r="V47" s="22">
        <f t="shared" si="37"/>
        <v>74.847048416296914</v>
      </c>
      <c r="W47" s="22">
        <f t="shared" si="37"/>
        <v>74.847048416296914</v>
      </c>
      <c r="X47" s="22">
        <f t="shared" si="37"/>
        <v>74.847048416296914</v>
      </c>
      <c r="Y47" s="22">
        <f t="shared" si="37"/>
        <v>74.847048416296914</v>
      </c>
      <c r="Z47" s="22">
        <f t="shared" si="37"/>
        <v>74.847048416296914</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18">
        <v>0</v>
      </c>
      <c r="R50" s="22">
        <f>$Q$50</f>
        <v>0</v>
      </c>
      <c r="S50" s="22">
        <f t="shared" ref="S50:Z50" si="38">$Q$50</f>
        <v>0</v>
      </c>
      <c r="T50" s="22">
        <f t="shared" si="38"/>
        <v>0</v>
      </c>
      <c r="U50" s="22">
        <f t="shared" si="38"/>
        <v>0</v>
      </c>
      <c r="V50" s="22">
        <f t="shared" si="38"/>
        <v>0</v>
      </c>
      <c r="W50" s="22">
        <f t="shared" si="38"/>
        <v>0</v>
      </c>
      <c r="X50" s="22">
        <f t="shared" si="38"/>
        <v>0</v>
      </c>
      <c r="Y50" s="22">
        <f t="shared" si="38"/>
        <v>0</v>
      </c>
      <c r="Z50" s="22">
        <f t="shared" si="38"/>
        <v>0</v>
      </c>
    </row>
    <row r="51" spans="15:26" x14ac:dyDescent="0.25">
      <c r="O51" s="30"/>
      <c r="P51" s="21" t="s">
        <v>26</v>
      </c>
      <c r="Q51" s="18">
        <v>0</v>
      </c>
      <c r="R51" s="22">
        <f>$Q$51</f>
        <v>0</v>
      </c>
      <c r="S51" s="22">
        <f t="shared" ref="S51:Z51" si="39">$Q$51</f>
        <v>0</v>
      </c>
      <c r="T51" s="22">
        <f t="shared" si="39"/>
        <v>0</v>
      </c>
      <c r="U51" s="22">
        <f t="shared" si="39"/>
        <v>0</v>
      </c>
      <c r="V51" s="22">
        <f t="shared" si="39"/>
        <v>0</v>
      </c>
      <c r="W51" s="22">
        <f t="shared" si="39"/>
        <v>0</v>
      </c>
      <c r="X51" s="22">
        <f t="shared" si="39"/>
        <v>0</v>
      </c>
      <c r="Y51" s="22">
        <f t="shared" si="39"/>
        <v>0</v>
      </c>
      <c r="Z51" s="22">
        <f t="shared" si="39"/>
        <v>0</v>
      </c>
    </row>
    <row r="52" spans="15:26" x14ac:dyDescent="0.25">
      <c r="O52" s="30"/>
      <c r="P52" s="21" t="s">
        <v>39</v>
      </c>
      <c r="Q52" s="18">
        <v>0</v>
      </c>
      <c r="R52" s="22">
        <f>$Q$52</f>
        <v>0</v>
      </c>
      <c r="S52" s="22">
        <f t="shared" ref="S52:Z52" si="40">$Q$52</f>
        <v>0</v>
      </c>
      <c r="T52" s="22">
        <f t="shared" si="40"/>
        <v>0</v>
      </c>
      <c r="U52" s="22">
        <f t="shared" si="40"/>
        <v>0</v>
      </c>
      <c r="V52" s="22">
        <f t="shared" si="40"/>
        <v>0</v>
      </c>
      <c r="W52" s="22">
        <f t="shared" si="40"/>
        <v>0</v>
      </c>
      <c r="X52" s="22">
        <f t="shared" si="40"/>
        <v>0</v>
      </c>
      <c r="Y52" s="22">
        <f t="shared" si="40"/>
        <v>0</v>
      </c>
      <c r="Z52" s="22">
        <f t="shared" si="40"/>
        <v>0</v>
      </c>
    </row>
    <row r="53" spans="15:26" x14ac:dyDescent="0.25">
      <c r="O53" s="30"/>
      <c r="P53" s="21" t="s">
        <v>41</v>
      </c>
      <c r="Q53" s="18">
        <v>0</v>
      </c>
      <c r="R53" s="22">
        <f>$Q$53</f>
        <v>0</v>
      </c>
      <c r="S53" s="22">
        <f t="shared" ref="S53:Z53" si="41">$Q$53</f>
        <v>0</v>
      </c>
      <c r="T53" s="22">
        <f t="shared" si="41"/>
        <v>0</v>
      </c>
      <c r="U53" s="22">
        <f t="shared" si="41"/>
        <v>0</v>
      </c>
      <c r="V53" s="22">
        <f t="shared" si="41"/>
        <v>0</v>
      </c>
      <c r="W53" s="22">
        <f t="shared" si="41"/>
        <v>0</v>
      </c>
      <c r="X53" s="22">
        <f t="shared" si="41"/>
        <v>0</v>
      </c>
      <c r="Y53" s="22">
        <f t="shared" si="41"/>
        <v>0</v>
      </c>
      <c r="Z53" s="22">
        <f t="shared" si="41"/>
        <v>0</v>
      </c>
    </row>
    <row r="54" spans="15:26" x14ac:dyDescent="0.25">
      <c r="O54" s="30"/>
      <c r="P54" s="21" t="s">
        <v>50</v>
      </c>
      <c r="Q54" s="18">
        <v>0</v>
      </c>
      <c r="R54" s="22">
        <f>$Q$54</f>
        <v>0</v>
      </c>
      <c r="S54" s="22">
        <f t="shared" ref="S54:Z54" si="42">$Q$54</f>
        <v>0</v>
      </c>
      <c r="T54" s="22">
        <f t="shared" si="42"/>
        <v>0</v>
      </c>
      <c r="U54" s="22">
        <f t="shared" si="42"/>
        <v>0</v>
      </c>
      <c r="V54" s="22">
        <f t="shared" si="42"/>
        <v>0</v>
      </c>
      <c r="W54" s="22">
        <f t="shared" si="42"/>
        <v>0</v>
      </c>
      <c r="X54" s="22">
        <f t="shared" si="42"/>
        <v>0</v>
      </c>
      <c r="Y54" s="22">
        <f t="shared" si="42"/>
        <v>0</v>
      </c>
      <c r="Z54" s="22">
        <f t="shared" si="42"/>
        <v>0</v>
      </c>
    </row>
    <row r="55" spans="15:26" x14ac:dyDescent="0.25">
      <c r="O55" s="30"/>
      <c r="P55" s="21" t="s">
        <v>30</v>
      </c>
      <c r="Q55" s="18">
        <v>0</v>
      </c>
      <c r="R55" s="22">
        <f>$Q$55</f>
        <v>0</v>
      </c>
      <c r="S55" s="22">
        <f t="shared" ref="S55:Z55" si="43">$Q$55</f>
        <v>0</v>
      </c>
      <c r="T55" s="22">
        <f t="shared" si="43"/>
        <v>0</v>
      </c>
      <c r="U55" s="22">
        <f t="shared" si="43"/>
        <v>0</v>
      </c>
      <c r="V55" s="22">
        <f t="shared" si="43"/>
        <v>0</v>
      </c>
      <c r="W55" s="22">
        <f t="shared" si="43"/>
        <v>0</v>
      </c>
      <c r="X55" s="22">
        <f t="shared" si="43"/>
        <v>0</v>
      </c>
      <c r="Y55" s="22">
        <f t="shared" si="43"/>
        <v>0</v>
      </c>
      <c r="Z55" s="22">
        <f t="shared" si="43"/>
        <v>0</v>
      </c>
    </row>
    <row r="56" spans="15:26" x14ac:dyDescent="0.25">
      <c r="O56" s="30"/>
      <c r="P56" s="21" t="s">
        <v>31</v>
      </c>
      <c r="Q56" s="127">
        <f>'Last MR_Colonia Suspiro'!C8</f>
        <v>189.59479553903347</v>
      </c>
      <c r="R56" s="127">
        <f>$Q$56</f>
        <v>189.59479553903347</v>
      </c>
      <c r="S56" s="127">
        <f t="shared" ref="S56:Z56" si="44">$Q$56</f>
        <v>189.59479553903347</v>
      </c>
      <c r="T56" s="127">
        <f t="shared" si="44"/>
        <v>189.59479553903347</v>
      </c>
      <c r="U56" s="127">
        <f t="shared" si="44"/>
        <v>189.59479553903347</v>
      </c>
      <c r="V56" s="127">
        <f t="shared" si="44"/>
        <v>189.59479553903347</v>
      </c>
      <c r="W56" s="127">
        <f t="shared" si="44"/>
        <v>189.59479553903347</v>
      </c>
      <c r="X56" s="127">
        <f t="shared" si="44"/>
        <v>189.59479553903347</v>
      </c>
      <c r="Y56" s="127">
        <f t="shared" si="44"/>
        <v>189.59479553903347</v>
      </c>
      <c r="Z56" s="127">
        <f t="shared" si="44"/>
        <v>189.59479553903347</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P48:Z48"/>
    <mergeCell ref="P30:Z30"/>
    <mergeCell ref="P39:Z39"/>
    <mergeCell ref="P21:Z21"/>
    <mergeCell ref="L22:N22"/>
    <mergeCell ref="L24:N24"/>
    <mergeCell ref="L26:N26"/>
    <mergeCell ref="L20:N20"/>
    <mergeCell ref="B2:J2"/>
    <mergeCell ref="L2:N2"/>
    <mergeCell ref="L14:N14"/>
    <mergeCell ref="L16:N16"/>
    <mergeCell ref="L18:N18"/>
    <mergeCell ref="P2:Z2"/>
    <mergeCell ref="P3:Z3"/>
    <mergeCell ref="B5:J5"/>
    <mergeCell ref="L10:N11"/>
    <mergeCell ref="L12:N12"/>
    <mergeCell ref="P12:Z12"/>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DB93-F9B0-4A84-B920-1EBE74ADF785}">
  <sheetPr>
    <tabColor theme="9"/>
  </sheetPr>
  <dimension ref="A1:BE34"/>
  <sheetViews>
    <sheetView showGridLines="0" topLeftCell="J1" zoomScale="80" zoomScaleNormal="80" workbookViewId="0">
      <selection activeCell="L13" sqref="L13"/>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ht="15.75" x14ac:dyDescent="0.2">
      <c r="B4" s="157" t="s">
        <v>56</v>
      </c>
      <c r="C4" s="157"/>
      <c r="D4" s="157"/>
      <c r="E4" s="157"/>
      <c r="F4" s="157"/>
      <c r="G4" s="157"/>
      <c r="H4" s="157"/>
      <c r="I4" s="35"/>
      <c r="J4" s="21" t="s">
        <v>26</v>
      </c>
      <c r="K4" s="36">
        <v>11</v>
      </c>
      <c r="L4" s="36">
        <v>0</v>
      </c>
      <c r="M4" s="36">
        <v>0</v>
      </c>
      <c r="N4" s="36">
        <v>0</v>
      </c>
      <c r="O4" s="36">
        <v>0</v>
      </c>
      <c r="P4" s="36">
        <v>0</v>
      </c>
      <c r="Q4" s="36">
        <v>0</v>
      </c>
      <c r="R4" s="36">
        <v>0</v>
      </c>
      <c r="S4" s="36">
        <v>0</v>
      </c>
      <c r="T4" s="36">
        <v>0</v>
      </c>
      <c r="U4" s="36">
        <v>0</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23" t="s">
        <v>2</v>
      </c>
      <c r="C5" s="23" t="s">
        <v>57</v>
      </c>
      <c r="D5" s="23" t="s">
        <v>58</v>
      </c>
      <c r="E5" s="23" t="s">
        <v>59</v>
      </c>
      <c r="F5" s="23" t="s">
        <v>60</v>
      </c>
      <c r="G5" s="23" t="s">
        <v>61</v>
      </c>
      <c r="H5" s="23" t="s">
        <v>62</v>
      </c>
      <c r="I5" s="35"/>
      <c r="J5" s="21" t="s">
        <v>39</v>
      </c>
      <c r="K5" s="36">
        <v>18</v>
      </c>
      <c r="L5" s="36">
        <v>0</v>
      </c>
      <c r="M5" s="36">
        <v>0</v>
      </c>
      <c r="N5" s="36">
        <v>0</v>
      </c>
      <c r="O5" s="36">
        <v>0</v>
      </c>
      <c r="P5" s="36">
        <v>0</v>
      </c>
      <c r="Q5" s="36">
        <v>0</v>
      </c>
      <c r="R5" s="36">
        <v>0</v>
      </c>
      <c r="S5" s="36">
        <v>0</v>
      </c>
      <c r="T5" s="36">
        <v>0</v>
      </c>
      <c r="U5" s="36">
        <v>0</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x14ac:dyDescent="0.2">
      <c r="B6" s="24">
        <v>2021</v>
      </c>
      <c r="C6" s="36">
        <f>L16</f>
        <v>5.0641220980702695</v>
      </c>
      <c r="D6" s="37">
        <v>0</v>
      </c>
      <c r="E6" s="36">
        <f>L19</f>
        <v>124.29823536942146</v>
      </c>
      <c r="F6" s="38">
        <f>L23</f>
        <v>117.63940133177388</v>
      </c>
      <c r="G6" s="37">
        <v>0</v>
      </c>
      <c r="H6" s="36">
        <f t="shared" ref="H6:H15" si="0">SUM(C6:G6)</f>
        <v>247.00175879926562</v>
      </c>
      <c r="I6" s="35"/>
      <c r="J6" s="21" t="s">
        <v>41</v>
      </c>
      <c r="K6" s="36">
        <v>6</v>
      </c>
      <c r="L6" s="36">
        <v>0</v>
      </c>
      <c r="M6" s="36">
        <v>0</v>
      </c>
      <c r="N6" s="36">
        <v>0</v>
      </c>
      <c r="O6" s="36">
        <v>0</v>
      </c>
      <c r="P6" s="36">
        <v>0</v>
      </c>
      <c r="Q6" s="36">
        <v>0</v>
      </c>
      <c r="R6" s="36">
        <v>0</v>
      </c>
      <c r="S6" s="36">
        <v>0</v>
      </c>
      <c r="T6" s="36">
        <v>0</v>
      </c>
      <c r="U6" s="36">
        <v>0</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5">
      <c r="A7" s="39"/>
      <c r="B7" s="24">
        <v>2022</v>
      </c>
      <c r="C7" s="36">
        <f>M16</f>
        <v>5.0641220980702695</v>
      </c>
      <c r="D7" s="37">
        <v>0</v>
      </c>
      <c r="E7" s="36">
        <f>M19</f>
        <v>124.29823536942146</v>
      </c>
      <c r="F7" s="38">
        <f>M23</f>
        <v>117.63940133177388</v>
      </c>
      <c r="G7" s="37">
        <v>0</v>
      </c>
      <c r="H7" s="36">
        <f t="shared" si="0"/>
        <v>247.00175879926562</v>
      </c>
      <c r="J7" s="21" t="s">
        <v>29</v>
      </c>
      <c r="K7" s="36">
        <f>K8</f>
        <v>0.95</v>
      </c>
      <c r="L7" s="36">
        <v>0</v>
      </c>
      <c r="M7" s="36">
        <v>0</v>
      </c>
      <c r="N7" s="36">
        <v>0</v>
      </c>
      <c r="O7" s="36">
        <v>0</v>
      </c>
      <c r="P7" s="36">
        <v>0</v>
      </c>
      <c r="Q7" s="36">
        <v>0</v>
      </c>
      <c r="R7" s="36">
        <v>0</v>
      </c>
      <c r="S7" s="36">
        <v>0</v>
      </c>
      <c r="T7" s="36">
        <v>0</v>
      </c>
      <c r="U7" s="36">
        <v>0</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2023</v>
      </c>
      <c r="C8" s="36">
        <f>N16</f>
        <v>5.0641220980702695</v>
      </c>
      <c r="D8" s="37">
        <v>0</v>
      </c>
      <c r="E8" s="36">
        <f>N19</f>
        <v>124.29823536942146</v>
      </c>
      <c r="F8" s="38">
        <f>N23</f>
        <v>117.63940133177388</v>
      </c>
      <c r="G8" s="37">
        <v>0</v>
      </c>
      <c r="H8" s="36">
        <f t="shared" si="0"/>
        <v>247.00175879926562</v>
      </c>
      <c r="J8" s="21" t="s">
        <v>44</v>
      </c>
      <c r="K8" s="36">
        <v>0.95</v>
      </c>
      <c r="L8" s="36">
        <v>0</v>
      </c>
      <c r="M8" s="36">
        <v>0</v>
      </c>
      <c r="N8" s="36">
        <v>0</v>
      </c>
      <c r="O8" s="36">
        <v>0</v>
      </c>
      <c r="P8" s="36">
        <v>0</v>
      </c>
      <c r="Q8" s="36">
        <v>0</v>
      </c>
      <c r="R8" s="36">
        <v>0</v>
      </c>
      <c r="S8" s="36">
        <v>0</v>
      </c>
      <c r="T8" s="36">
        <v>0</v>
      </c>
      <c r="U8" s="36">
        <v>0</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2024</v>
      </c>
      <c r="C9" s="36">
        <f>O16</f>
        <v>5.0641220980702695</v>
      </c>
      <c r="D9" s="37">
        <v>0</v>
      </c>
      <c r="E9" s="36">
        <f>O19</f>
        <v>124.29823536942146</v>
      </c>
      <c r="F9" s="38">
        <f>O23</f>
        <v>117.63940133177388</v>
      </c>
      <c r="G9" s="37">
        <v>0</v>
      </c>
      <c r="H9" s="36">
        <f t="shared" si="0"/>
        <v>247.00175879926562</v>
      </c>
      <c r="J9" s="21" t="s">
        <v>31</v>
      </c>
      <c r="K9" s="36">
        <v>4.9000000000000004</v>
      </c>
      <c r="L9" s="36">
        <f>'BEy_Colonia Suspiro'!Q29*'BEy_Colonia Suspiro'!Q56*K9</f>
        <v>2219611.3458825261</v>
      </c>
      <c r="M9" s="36">
        <f>$L$9</f>
        <v>2219611.3458825261</v>
      </c>
      <c r="N9" s="36">
        <f t="shared" ref="N9:U9" si="1">$L$9</f>
        <v>2219611.3458825261</v>
      </c>
      <c r="O9" s="36">
        <f t="shared" si="1"/>
        <v>2219611.3458825261</v>
      </c>
      <c r="P9" s="36">
        <f t="shared" si="1"/>
        <v>2219611.3458825261</v>
      </c>
      <c r="Q9" s="36">
        <f t="shared" si="1"/>
        <v>2219611.3458825261</v>
      </c>
      <c r="R9" s="36">
        <f t="shared" si="1"/>
        <v>2219611.3458825261</v>
      </c>
      <c r="S9" s="36">
        <f t="shared" si="1"/>
        <v>2219611.3458825261</v>
      </c>
      <c r="T9" s="36">
        <f t="shared" si="1"/>
        <v>2219611.3458825261</v>
      </c>
      <c r="U9" s="36">
        <f t="shared" si="1"/>
        <v>2219611.3458825261</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
      <c r="B10" s="24">
        <v>2025</v>
      </c>
      <c r="C10" s="36">
        <f>P16</f>
        <v>5.0641220980702695</v>
      </c>
      <c r="D10" s="37">
        <v>0</v>
      </c>
      <c r="E10" s="36">
        <f>P19</f>
        <v>124.29823536942146</v>
      </c>
      <c r="F10" s="38">
        <f>P23</f>
        <v>117.63940133177388</v>
      </c>
      <c r="G10" s="37">
        <v>0</v>
      </c>
      <c r="H10" s="36">
        <f t="shared" si="0"/>
        <v>247.00175879926562</v>
      </c>
      <c r="J10" s="40" t="s">
        <v>63</v>
      </c>
      <c r="K10" s="21" t="s">
        <v>64</v>
      </c>
      <c r="L10" s="36">
        <f t="shared" ref="L10:U10" si="2">SUM(L4:L9)/1000</f>
        <v>2219.6113458825262</v>
      </c>
      <c r="M10" s="36">
        <f t="shared" si="2"/>
        <v>2219.6113458825262</v>
      </c>
      <c r="N10" s="36">
        <f t="shared" si="2"/>
        <v>2219.6113458825262</v>
      </c>
      <c r="O10" s="36">
        <f t="shared" si="2"/>
        <v>2219.6113458825262</v>
      </c>
      <c r="P10" s="36">
        <f t="shared" si="2"/>
        <v>2219.6113458825262</v>
      </c>
      <c r="Q10" s="36">
        <f t="shared" si="2"/>
        <v>2219.6113458825262</v>
      </c>
      <c r="R10" s="36">
        <f t="shared" si="2"/>
        <v>2219.6113458825262</v>
      </c>
      <c r="S10" s="36">
        <f t="shared" si="2"/>
        <v>2219.6113458825262</v>
      </c>
      <c r="T10" s="36">
        <f t="shared" si="2"/>
        <v>2219.6113458825262</v>
      </c>
      <c r="U10" s="36">
        <f t="shared" si="2"/>
        <v>2219.6113458825262</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ht="19.5" customHeight="1" x14ac:dyDescent="0.2">
      <c r="B11" s="24">
        <v>2026</v>
      </c>
      <c r="C11" s="36">
        <f>S16</f>
        <v>5.0641220980702695</v>
      </c>
      <c r="D11" s="37">
        <v>0</v>
      </c>
      <c r="E11" s="36">
        <f>Q19</f>
        <v>124.29823536942146</v>
      </c>
      <c r="F11" s="38">
        <f>Q23</f>
        <v>117.63940133177388</v>
      </c>
      <c r="G11" s="37">
        <v>0</v>
      </c>
      <c r="H11" s="36">
        <f t="shared" si="0"/>
        <v>247.00175879926562</v>
      </c>
      <c r="J11" s="152" t="s">
        <v>65</v>
      </c>
      <c r="K11" s="153"/>
      <c r="L11" s="153"/>
      <c r="M11" s="153"/>
      <c r="N11" s="153"/>
      <c r="O11" s="153"/>
      <c r="P11" s="153"/>
      <c r="Q11" s="153"/>
      <c r="R11" s="153"/>
      <c r="S11" s="153"/>
      <c r="T11" s="153"/>
      <c r="U11" s="153"/>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2027</v>
      </c>
      <c r="C12" s="36">
        <f>T16</f>
        <v>5.0641220980702695</v>
      </c>
      <c r="D12" s="37">
        <v>0</v>
      </c>
      <c r="E12" s="36">
        <f>T19</f>
        <v>124.29823536942146</v>
      </c>
      <c r="F12" s="38">
        <f>R23</f>
        <v>117.63940133177388</v>
      </c>
      <c r="G12" s="37">
        <v>0</v>
      </c>
      <c r="H12" s="36">
        <f t="shared" si="0"/>
        <v>247.00175879926562</v>
      </c>
      <c r="J12" s="21" t="s">
        <v>66</v>
      </c>
      <c r="K12" s="21" t="s">
        <v>67</v>
      </c>
      <c r="L12" s="36">
        <v>0.01</v>
      </c>
      <c r="M12" s="36">
        <v>0.01</v>
      </c>
      <c r="N12" s="36">
        <v>0.01</v>
      </c>
      <c r="O12" s="36">
        <v>0.01</v>
      </c>
      <c r="P12" s="36">
        <v>0.01</v>
      </c>
      <c r="Q12" s="36">
        <v>0.01</v>
      </c>
      <c r="R12" s="36">
        <v>0.01</v>
      </c>
      <c r="S12" s="36">
        <v>0.01</v>
      </c>
      <c r="T12" s="36">
        <v>0.01</v>
      </c>
      <c r="U12" s="36">
        <v>0.01</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5.75" x14ac:dyDescent="0.2">
      <c r="B13" s="24">
        <v>2028</v>
      </c>
      <c r="C13" s="36">
        <f>U16</f>
        <v>5.0641220980702695</v>
      </c>
      <c r="D13" s="37">
        <v>0</v>
      </c>
      <c r="E13" s="36">
        <f>R19</f>
        <v>124.29823536942146</v>
      </c>
      <c r="F13" s="38">
        <f>S23</f>
        <v>117.63940133177388</v>
      </c>
      <c r="G13" s="37">
        <v>0</v>
      </c>
      <c r="H13" s="36">
        <f t="shared" si="0"/>
        <v>247.00175879926562</v>
      </c>
      <c r="J13" s="21" t="s">
        <v>68</v>
      </c>
      <c r="K13" s="21" t="s">
        <v>69</v>
      </c>
      <c r="L13" s="36">
        <f t="shared" ref="L13:U13" si="3">L12*L10</f>
        <v>22.196113458825263</v>
      </c>
      <c r="M13" s="36">
        <f t="shared" si="3"/>
        <v>22.196113458825263</v>
      </c>
      <c r="N13" s="36">
        <f t="shared" si="3"/>
        <v>22.196113458825263</v>
      </c>
      <c r="O13" s="36">
        <f t="shared" si="3"/>
        <v>22.196113458825263</v>
      </c>
      <c r="P13" s="36">
        <f t="shared" si="3"/>
        <v>22.196113458825263</v>
      </c>
      <c r="Q13" s="36">
        <f t="shared" si="3"/>
        <v>22.196113458825263</v>
      </c>
      <c r="R13" s="36">
        <f t="shared" si="3"/>
        <v>22.196113458825263</v>
      </c>
      <c r="S13" s="36">
        <f t="shared" si="3"/>
        <v>22.196113458825263</v>
      </c>
      <c r="T13" s="36">
        <f t="shared" si="3"/>
        <v>22.196113458825263</v>
      </c>
      <c r="U13" s="36">
        <f t="shared" si="3"/>
        <v>22.196113458825263</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2029</v>
      </c>
      <c r="C14" s="36">
        <f>T16</f>
        <v>5.0641220980702695</v>
      </c>
      <c r="D14" s="37">
        <v>0</v>
      </c>
      <c r="E14" s="36">
        <f>S19</f>
        <v>124.29823536942146</v>
      </c>
      <c r="F14" s="38">
        <f>T23</f>
        <v>117.63940133177388</v>
      </c>
      <c r="G14" s="37">
        <v>0</v>
      </c>
      <c r="H14" s="36">
        <f t="shared" si="0"/>
        <v>247.00175879926562</v>
      </c>
      <c r="J14" s="21" t="s">
        <v>70</v>
      </c>
      <c r="K14" s="21" t="s">
        <v>71</v>
      </c>
      <c r="L14" s="36">
        <f>'Emission Factor of the Grid'!$L$30</f>
        <v>0.19012795894291856</v>
      </c>
      <c r="M14" s="36">
        <f>'Emission Factor of the Grid'!$L$30</f>
        <v>0.19012795894291856</v>
      </c>
      <c r="N14" s="36">
        <f>'Emission Factor of the Grid'!$L$30</f>
        <v>0.19012795894291856</v>
      </c>
      <c r="O14" s="36">
        <f>'Emission Factor of the Grid'!$L$30</f>
        <v>0.19012795894291856</v>
      </c>
      <c r="P14" s="36">
        <f>'Emission Factor of the Grid'!$L$30</f>
        <v>0.19012795894291856</v>
      </c>
      <c r="Q14" s="36">
        <f>'Emission Factor of the Grid'!$L$30</f>
        <v>0.19012795894291856</v>
      </c>
      <c r="R14" s="36">
        <f>'Emission Factor of the Grid'!$L$30</f>
        <v>0.19012795894291856</v>
      </c>
      <c r="S14" s="36">
        <f>'Emission Factor of the Grid'!$L$30</f>
        <v>0.19012795894291856</v>
      </c>
      <c r="T14" s="36">
        <f>'Emission Factor of the Grid'!$L$30</f>
        <v>0.19012795894291856</v>
      </c>
      <c r="U14" s="36">
        <f>'Emission Factor of the Grid'!$L$30</f>
        <v>0.19012795894291856</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2030</v>
      </c>
      <c r="C15" s="36">
        <f>U16</f>
        <v>5.0641220980702695</v>
      </c>
      <c r="D15" s="37">
        <v>0</v>
      </c>
      <c r="E15" s="36">
        <f>T19</f>
        <v>124.29823536942146</v>
      </c>
      <c r="F15" s="38">
        <f>U23</f>
        <v>117.63940133177388</v>
      </c>
      <c r="G15" s="37">
        <v>0</v>
      </c>
      <c r="H15" s="36">
        <f t="shared" si="0"/>
        <v>247.00175879926562</v>
      </c>
      <c r="J15" s="21" t="s">
        <v>72</v>
      </c>
      <c r="K15" s="21" t="s">
        <v>73</v>
      </c>
      <c r="L15" s="70">
        <v>0.2</v>
      </c>
      <c r="M15" s="70">
        <v>0.2</v>
      </c>
      <c r="N15" s="70">
        <v>0.2</v>
      </c>
      <c r="O15" s="70">
        <v>0.2</v>
      </c>
      <c r="P15" s="70">
        <v>0.2</v>
      </c>
      <c r="Q15" s="70">
        <v>0.2</v>
      </c>
      <c r="R15" s="70">
        <v>0.2</v>
      </c>
      <c r="S15" s="70">
        <v>0.2</v>
      </c>
      <c r="T15" s="70">
        <v>0.2</v>
      </c>
      <c r="U15" s="70">
        <v>0.2</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J16" s="21" t="s">
        <v>117</v>
      </c>
      <c r="K16" s="21" t="s">
        <v>74</v>
      </c>
      <c r="L16" s="36">
        <f>L13*L14*(1+L15)</f>
        <v>5.0641220980702695</v>
      </c>
      <c r="M16" s="36">
        <f t="shared" ref="M16:U16" si="4">M13*M14*(1+M15)</f>
        <v>5.0641220980702695</v>
      </c>
      <c r="N16" s="36">
        <f t="shared" si="4"/>
        <v>5.0641220980702695</v>
      </c>
      <c r="O16" s="36">
        <f t="shared" si="4"/>
        <v>5.0641220980702695</v>
      </c>
      <c r="P16" s="36">
        <f t="shared" si="4"/>
        <v>5.0641220980702695</v>
      </c>
      <c r="Q16" s="36">
        <f t="shared" si="4"/>
        <v>5.0641220980702695</v>
      </c>
      <c r="R16" s="36">
        <f t="shared" si="4"/>
        <v>5.0641220980702695</v>
      </c>
      <c r="S16" s="36">
        <f t="shared" si="4"/>
        <v>5.0641220980702695</v>
      </c>
      <c r="T16" s="36">
        <f t="shared" si="4"/>
        <v>5.0641220980702695</v>
      </c>
      <c r="U16" s="36">
        <f t="shared" si="4"/>
        <v>5.0641220980702695</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152" t="s">
        <v>75</v>
      </c>
      <c r="K17" s="153"/>
      <c r="L17" s="153"/>
      <c r="M17" s="153"/>
      <c r="N17" s="153"/>
      <c r="O17" s="153"/>
      <c r="P17" s="153"/>
      <c r="Q17" s="153"/>
      <c r="R17" s="153"/>
      <c r="S17" s="153"/>
      <c r="T17" s="153"/>
      <c r="U17" s="153"/>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6.5" x14ac:dyDescent="0.2">
      <c r="J18" s="21" t="s">
        <v>76</v>
      </c>
      <c r="K18" s="21" t="s">
        <v>77</v>
      </c>
      <c r="L18" s="62">
        <v>2E-3</v>
      </c>
      <c r="M18" s="62">
        <v>2E-3</v>
      </c>
      <c r="N18" s="62">
        <v>2E-3</v>
      </c>
      <c r="O18" s="62">
        <v>2E-3</v>
      </c>
      <c r="P18" s="62">
        <v>2E-3</v>
      </c>
      <c r="Q18" s="62">
        <v>2E-3</v>
      </c>
      <c r="R18" s="62">
        <v>2E-3</v>
      </c>
      <c r="S18" s="62">
        <v>2E-3</v>
      </c>
      <c r="T18" s="62">
        <v>2E-3</v>
      </c>
      <c r="U18" s="62">
        <v>2E-3</v>
      </c>
    </row>
    <row r="19" spans="10:57" ht="15.75" x14ac:dyDescent="0.2">
      <c r="J19" s="21" t="s">
        <v>78</v>
      </c>
      <c r="K19" s="21" t="s">
        <v>79</v>
      </c>
      <c r="L19" s="36">
        <f>L10*L18*'BEy_Colonia Suspiro'!M7</f>
        <v>124.29823536942146</v>
      </c>
      <c r="M19" s="36">
        <f>$L$19</f>
        <v>124.29823536942146</v>
      </c>
      <c r="N19" s="36">
        <f t="shared" ref="N19:U19" si="5">$L$19</f>
        <v>124.29823536942146</v>
      </c>
      <c r="O19" s="36">
        <f t="shared" si="5"/>
        <v>124.29823536942146</v>
      </c>
      <c r="P19" s="36">
        <f t="shared" si="5"/>
        <v>124.29823536942146</v>
      </c>
      <c r="Q19" s="36">
        <f t="shared" si="5"/>
        <v>124.29823536942146</v>
      </c>
      <c r="R19" s="36">
        <f t="shared" si="5"/>
        <v>124.29823536942146</v>
      </c>
      <c r="S19" s="36">
        <f t="shared" si="5"/>
        <v>124.29823536942146</v>
      </c>
      <c r="T19" s="36">
        <f t="shared" si="5"/>
        <v>124.29823536942146</v>
      </c>
      <c r="U19" s="36">
        <f t="shared" si="5"/>
        <v>124.29823536942146</v>
      </c>
    </row>
    <row r="20" spans="10:57" ht="15.75" x14ac:dyDescent="0.2">
      <c r="J20" s="152" t="s">
        <v>80</v>
      </c>
      <c r="K20" s="153"/>
      <c r="L20" s="153"/>
      <c r="M20" s="153"/>
      <c r="N20" s="153"/>
      <c r="O20" s="153"/>
      <c r="P20" s="153"/>
      <c r="Q20" s="153"/>
      <c r="R20" s="153"/>
      <c r="S20" s="153"/>
      <c r="T20" s="153"/>
      <c r="U20" s="153"/>
    </row>
    <row r="21" spans="10:57" ht="16.5" x14ac:dyDescent="0.2">
      <c r="J21" s="21" t="s">
        <v>81</v>
      </c>
      <c r="K21" s="21" t="s">
        <v>82</v>
      </c>
      <c r="L21" s="63">
        <v>2.0000000000000001E-4</v>
      </c>
      <c r="M21" s="63">
        <v>2.0000000000000001E-4</v>
      </c>
      <c r="N21" s="63">
        <v>2.0000000000000001E-4</v>
      </c>
      <c r="O21" s="63">
        <v>2.0000000000000001E-4</v>
      </c>
      <c r="P21" s="63">
        <v>2.0000000000000001E-4</v>
      </c>
      <c r="Q21" s="63">
        <v>2.0000000000000001E-4</v>
      </c>
      <c r="R21" s="63">
        <v>2.0000000000000001E-4</v>
      </c>
      <c r="S21" s="63">
        <v>2.0000000000000001E-4</v>
      </c>
      <c r="T21" s="63">
        <v>2.0000000000000001E-4</v>
      </c>
      <c r="U21" s="63">
        <v>2.0000000000000001E-4</v>
      </c>
    </row>
    <row r="22" spans="10:57" ht="16.5" x14ac:dyDescent="0.2">
      <c r="J22" s="21" t="s">
        <v>83</v>
      </c>
      <c r="K22" s="21" t="s">
        <v>84</v>
      </c>
      <c r="L22" s="36">
        <v>265</v>
      </c>
      <c r="M22" s="36">
        <v>265</v>
      </c>
      <c r="N22" s="36">
        <v>265</v>
      </c>
      <c r="O22" s="36">
        <v>265</v>
      </c>
      <c r="P22" s="36">
        <v>265</v>
      </c>
      <c r="Q22" s="36">
        <v>265</v>
      </c>
      <c r="R22" s="36">
        <v>265</v>
      </c>
      <c r="S22" s="36">
        <v>265</v>
      </c>
      <c r="T22" s="36">
        <v>265</v>
      </c>
      <c r="U22" s="36">
        <v>265</v>
      </c>
    </row>
    <row r="23" spans="10:57" ht="15.75" x14ac:dyDescent="0.2">
      <c r="J23" s="37" t="s">
        <v>85</v>
      </c>
      <c r="K23" s="21" t="s">
        <v>79</v>
      </c>
      <c r="L23" s="36">
        <f t="shared" ref="L23:U23" si="6">L10*L21*L22</f>
        <v>117.63940133177388</v>
      </c>
      <c r="M23" s="36">
        <f t="shared" si="6"/>
        <v>117.63940133177388</v>
      </c>
      <c r="N23" s="36">
        <f t="shared" si="6"/>
        <v>117.63940133177388</v>
      </c>
      <c r="O23" s="36">
        <f t="shared" si="6"/>
        <v>117.63940133177388</v>
      </c>
      <c r="P23" s="36">
        <f t="shared" si="6"/>
        <v>117.63940133177388</v>
      </c>
      <c r="Q23" s="36">
        <f t="shared" si="6"/>
        <v>117.63940133177388</v>
      </c>
      <c r="R23" s="36">
        <f t="shared" si="6"/>
        <v>117.63940133177388</v>
      </c>
      <c r="S23" s="36">
        <f t="shared" si="6"/>
        <v>117.63940133177388</v>
      </c>
      <c r="T23" s="36">
        <f t="shared" si="6"/>
        <v>117.63940133177388</v>
      </c>
      <c r="U23" s="36">
        <f t="shared" si="6"/>
        <v>117.63940133177388</v>
      </c>
    </row>
    <row r="28" spans="10:57" ht="20.25" customHeight="1" x14ac:dyDescent="0.2"/>
    <row r="34" spans="22:22" x14ac:dyDescent="0.2">
      <c r="V34" s="42"/>
    </row>
  </sheetData>
  <mergeCells count="7">
    <mergeCell ref="J20:U20"/>
    <mergeCell ref="B2:H2"/>
    <mergeCell ref="J2:U2"/>
    <mergeCell ref="B3:H3"/>
    <mergeCell ref="B4:H4"/>
    <mergeCell ref="J11:U11"/>
    <mergeCell ref="J17:U17"/>
  </mergeCells>
  <pageMargins left="0.511811024" right="0.511811024" top="0.78740157499999996" bottom="0.78740157499999996" header="0.31496062000000002" footer="0.31496062000000002"/>
  <pageSetup orientation="portrait" horizontalDpi="4294967293"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AA0B-265E-4D60-8010-7314D812A271}">
  <sheetPr>
    <tabColor theme="9"/>
  </sheetPr>
  <dimension ref="B1:K25"/>
  <sheetViews>
    <sheetView showGridLines="0" topLeftCell="A8" zoomScaleNormal="100" workbookViewId="0">
      <selection activeCell="C9" sqref="C9"/>
    </sheetView>
  </sheetViews>
  <sheetFormatPr defaultRowHeight="15" x14ac:dyDescent="0.25"/>
  <cols>
    <col min="1" max="1" width="9.140625" style="65"/>
    <col min="2" max="2" width="42.5703125" style="66" customWidth="1"/>
    <col min="3" max="3" width="12.5703125" style="67" customWidth="1"/>
    <col min="4" max="4" width="10.28515625" style="65" bestFit="1" customWidth="1"/>
    <col min="5" max="5" width="12.7109375" style="65" customWidth="1"/>
    <col min="6" max="6" width="11.7109375" style="65" customWidth="1"/>
    <col min="7" max="8" width="9.140625" style="65"/>
    <col min="9" max="9" width="11.5703125" style="65" bestFit="1" customWidth="1"/>
    <col min="10" max="10" width="10.5703125" style="65" customWidth="1"/>
    <col min="11" max="11" width="16.140625" style="65" customWidth="1"/>
    <col min="12" max="16384" width="9.140625" style="65"/>
  </cols>
  <sheetData>
    <row r="1" spans="2:11" ht="15.75" thickBot="1" x14ac:dyDescent="0.3"/>
    <row r="2" spans="2:11" ht="41.25" customHeight="1" thickBot="1" x14ac:dyDescent="0.3">
      <c r="B2" s="14" t="s">
        <v>125</v>
      </c>
      <c r="C2" s="14">
        <v>3</v>
      </c>
      <c r="E2" s="160" t="s">
        <v>143</v>
      </c>
      <c r="F2" s="161"/>
      <c r="G2" s="161"/>
      <c r="H2" s="161"/>
      <c r="I2" s="161"/>
      <c r="J2" s="161"/>
      <c r="K2" s="162"/>
    </row>
    <row r="3" spans="2:11" ht="15.75" thickBot="1" x14ac:dyDescent="0.3">
      <c r="B3" s="158" t="s">
        <v>107</v>
      </c>
      <c r="C3" s="159"/>
      <c r="E3" s="77"/>
      <c r="F3" s="77"/>
      <c r="G3" s="77"/>
      <c r="H3" s="77"/>
      <c r="I3" s="77"/>
      <c r="J3" s="77"/>
      <c r="K3" s="77"/>
    </row>
    <row r="4" spans="2:11" ht="15.75" x14ac:dyDescent="0.25">
      <c r="B4" s="17" t="s">
        <v>108</v>
      </c>
      <c r="C4" s="25">
        <f>K6</f>
        <v>7638.565055762082</v>
      </c>
      <c r="E4" s="163" t="s">
        <v>132</v>
      </c>
      <c r="F4" s="164"/>
      <c r="G4" s="164"/>
      <c r="H4" s="164"/>
      <c r="I4" s="164"/>
      <c r="J4" s="164"/>
      <c r="K4" s="165"/>
    </row>
    <row r="5" spans="2:11" ht="30" x14ac:dyDescent="0.25">
      <c r="B5" s="17" t="s">
        <v>109</v>
      </c>
      <c r="C5" s="25">
        <f>K10</f>
        <v>114.16566933182195</v>
      </c>
      <c r="E5" s="78" t="s">
        <v>21</v>
      </c>
      <c r="F5" s="79">
        <v>2015</v>
      </c>
      <c r="G5" s="79">
        <v>2016</v>
      </c>
      <c r="H5" s="79">
        <v>2017</v>
      </c>
      <c r="I5" s="80">
        <v>2018</v>
      </c>
      <c r="J5" s="80">
        <v>2019</v>
      </c>
      <c r="K5" s="81" t="s">
        <v>136</v>
      </c>
    </row>
    <row r="6" spans="2:11" ht="15.75" x14ac:dyDescent="0.25">
      <c r="B6" s="17" t="s">
        <v>110</v>
      </c>
      <c r="C6" s="25">
        <f>C5*(C4/365)</f>
        <v>2389.2106639061476</v>
      </c>
      <c r="E6" s="82" t="s">
        <v>31</v>
      </c>
      <c r="F6" s="83">
        <v>8561</v>
      </c>
      <c r="G6" s="83">
        <v>4487</v>
      </c>
      <c r="H6" s="83">
        <v>8871</v>
      </c>
      <c r="I6" s="83">
        <v>0</v>
      </c>
      <c r="J6" s="83">
        <v>0</v>
      </c>
      <c r="K6" s="93">
        <f>(SUMPRODUCT(F6:J6,F7:J7)/K7)</f>
        <v>7638.565055762082</v>
      </c>
    </row>
    <row r="7" spans="2:11" ht="27.75" thickBot="1" x14ac:dyDescent="0.3">
      <c r="B7" s="17" t="s">
        <v>111</v>
      </c>
      <c r="C7" s="90">
        <f>K14</f>
        <v>91.807848838275731</v>
      </c>
      <c r="E7" s="91" t="s">
        <v>138</v>
      </c>
      <c r="F7" s="83">
        <v>159</v>
      </c>
      <c r="G7" s="83">
        <v>140</v>
      </c>
      <c r="H7" s="83">
        <v>239</v>
      </c>
      <c r="I7" s="83">
        <v>0</v>
      </c>
      <c r="J7" s="83">
        <v>0</v>
      </c>
      <c r="K7" s="89">
        <f>SUM(F7:J7)</f>
        <v>538</v>
      </c>
    </row>
    <row r="8" spans="2:11" ht="30" x14ac:dyDescent="0.25">
      <c r="B8" s="17" t="s">
        <v>112</v>
      </c>
      <c r="C8" s="90">
        <f>K18</f>
        <v>189.59479553903347</v>
      </c>
      <c r="E8" s="163" t="s">
        <v>133</v>
      </c>
      <c r="F8" s="164"/>
      <c r="G8" s="164"/>
      <c r="H8" s="164"/>
      <c r="I8" s="164"/>
      <c r="J8" s="164"/>
      <c r="K8" s="165"/>
    </row>
    <row r="9" spans="2:11" ht="27" x14ac:dyDescent="0.25">
      <c r="B9" s="58"/>
      <c r="C9" s="58"/>
      <c r="D9" s="58"/>
      <c r="E9" s="78" t="s">
        <v>21</v>
      </c>
      <c r="F9" s="79">
        <v>2015</v>
      </c>
      <c r="G9" s="79">
        <v>2016</v>
      </c>
      <c r="H9" s="79">
        <v>2017</v>
      </c>
      <c r="I9" s="80">
        <v>2018</v>
      </c>
      <c r="J9" s="80">
        <v>2019</v>
      </c>
      <c r="K9" s="81" t="s">
        <v>136</v>
      </c>
    </row>
    <row r="10" spans="2:11" x14ac:dyDescent="0.25">
      <c r="B10" s="58"/>
      <c r="C10" s="59"/>
      <c r="D10" s="35"/>
      <c r="E10" s="82" t="s">
        <v>31</v>
      </c>
      <c r="F10" s="83">
        <v>83.099170657633451</v>
      </c>
      <c r="G10" s="83">
        <v>140</v>
      </c>
      <c r="H10" s="83">
        <v>119.70025927178446</v>
      </c>
      <c r="I10" s="83">
        <v>0</v>
      </c>
      <c r="J10" s="83">
        <v>0</v>
      </c>
      <c r="K10" s="93">
        <f>(SUMPRODUCT(F10:J10,F11:J11)/K11)</f>
        <v>114.16566933182195</v>
      </c>
    </row>
    <row r="11" spans="2:11" ht="27.75" thickBot="1" x14ac:dyDescent="0.3">
      <c r="B11" s="58"/>
      <c r="C11" s="59"/>
      <c r="D11" s="35"/>
      <c r="E11" s="91" t="s">
        <v>138</v>
      </c>
      <c r="F11" s="83">
        <v>159</v>
      </c>
      <c r="G11" s="83">
        <v>140</v>
      </c>
      <c r="H11" s="83">
        <v>239</v>
      </c>
      <c r="I11" s="83">
        <v>0</v>
      </c>
      <c r="J11" s="83">
        <v>0</v>
      </c>
      <c r="K11" s="89">
        <f>SUM(F11:J11)</f>
        <v>538</v>
      </c>
    </row>
    <row r="12" spans="2:11" x14ac:dyDescent="0.25">
      <c r="B12" s="58"/>
      <c r="C12" s="59"/>
      <c r="D12" s="35"/>
      <c r="E12" s="166" t="s">
        <v>134</v>
      </c>
      <c r="F12" s="167"/>
      <c r="G12" s="167"/>
      <c r="H12" s="167"/>
      <c r="I12" s="168"/>
      <c r="J12" s="168"/>
      <c r="K12" s="169"/>
    </row>
    <row r="13" spans="2:11" ht="27" x14ac:dyDescent="0.25">
      <c r="B13" s="58"/>
      <c r="C13" s="59"/>
      <c r="D13" s="35"/>
      <c r="E13" s="78" t="s">
        <v>21</v>
      </c>
      <c r="F13" s="79">
        <v>2015</v>
      </c>
      <c r="G13" s="79">
        <v>2016</v>
      </c>
      <c r="H13" s="79">
        <v>2017</v>
      </c>
      <c r="I13" s="80">
        <v>2018</v>
      </c>
      <c r="J13" s="80">
        <v>2019</v>
      </c>
      <c r="K13" s="81" t="s">
        <v>136</v>
      </c>
    </row>
    <row r="14" spans="2:11" x14ac:dyDescent="0.25">
      <c r="B14" s="58"/>
      <c r="C14" s="59"/>
      <c r="D14" s="35"/>
      <c r="E14" s="82" t="s">
        <v>31</v>
      </c>
      <c r="F14" s="83">
        <v>85.217865046918206</v>
      </c>
      <c r="G14" s="83">
        <v>98.908925414159427</v>
      </c>
      <c r="H14" s="83">
        <v>92.032353868410169</v>
      </c>
      <c r="I14" s="83">
        <v>0</v>
      </c>
      <c r="J14" s="83">
        <v>0</v>
      </c>
      <c r="K14" s="94">
        <f>(SUMPRODUCT(F14:J14,F15:J15)/K15)</f>
        <v>91.807848838275731</v>
      </c>
    </row>
    <row r="15" spans="2:11" ht="27.75" thickBot="1" x14ac:dyDescent="0.3">
      <c r="B15" s="58"/>
      <c r="C15" s="59"/>
      <c r="D15" s="35"/>
      <c r="E15" s="91" t="s">
        <v>138</v>
      </c>
      <c r="F15" s="83">
        <v>159</v>
      </c>
      <c r="G15" s="83">
        <v>140</v>
      </c>
      <c r="H15" s="83">
        <v>239</v>
      </c>
      <c r="I15" s="83">
        <v>0</v>
      </c>
      <c r="J15" s="83">
        <v>0</v>
      </c>
      <c r="K15" s="89">
        <f>SUM(F15:J15)</f>
        <v>538</v>
      </c>
    </row>
    <row r="16" spans="2:11" x14ac:dyDescent="0.25">
      <c r="B16" s="58"/>
      <c r="C16" s="59"/>
      <c r="D16" s="35"/>
      <c r="E16" s="166" t="s">
        <v>135</v>
      </c>
      <c r="F16" s="167"/>
      <c r="G16" s="167"/>
      <c r="H16" s="167"/>
      <c r="I16" s="168"/>
      <c r="J16" s="168"/>
      <c r="K16" s="169"/>
    </row>
    <row r="17" spans="2:11" ht="27" x14ac:dyDescent="0.25">
      <c r="B17" s="58"/>
      <c r="C17" s="59"/>
      <c r="D17" s="35"/>
      <c r="E17" s="78" t="s">
        <v>21</v>
      </c>
      <c r="F17" s="79">
        <v>2015</v>
      </c>
      <c r="G17" s="79">
        <v>2016</v>
      </c>
      <c r="H17" s="79">
        <v>2017</v>
      </c>
      <c r="I17" s="80">
        <v>2018</v>
      </c>
      <c r="J17" s="80">
        <v>2019</v>
      </c>
      <c r="K17" s="81" t="s">
        <v>136</v>
      </c>
    </row>
    <row r="18" spans="2:11" x14ac:dyDescent="0.25">
      <c r="B18" s="58"/>
      <c r="C18" s="59"/>
      <c r="D18" s="35"/>
      <c r="E18" s="82" t="s">
        <v>31</v>
      </c>
      <c r="F18" s="85">
        <v>159</v>
      </c>
      <c r="G18" s="85">
        <v>140</v>
      </c>
      <c r="H18" s="85">
        <v>239</v>
      </c>
      <c r="I18" s="85">
        <v>0</v>
      </c>
      <c r="J18" s="85">
        <v>0</v>
      </c>
      <c r="K18" s="94">
        <f>(SUMPRODUCT(F18:J18,F19:J19)/K19)</f>
        <v>189.59479553903347</v>
      </c>
    </row>
    <row r="19" spans="2:11" ht="27.75" thickBot="1" x14ac:dyDescent="0.3">
      <c r="B19" s="58"/>
      <c r="C19" s="59"/>
      <c r="D19" s="35"/>
      <c r="E19" s="92" t="s">
        <v>138</v>
      </c>
      <c r="F19" s="84">
        <v>159</v>
      </c>
      <c r="G19" s="84">
        <v>140</v>
      </c>
      <c r="H19" s="84">
        <v>239</v>
      </c>
      <c r="I19" s="84">
        <v>0</v>
      </c>
      <c r="J19" s="84">
        <v>0</v>
      </c>
      <c r="K19" s="86">
        <f>SUM(F19:J19)</f>
        <v>538</v>
      </c>
    </row>
    <row r="20" spans="2:11" x14ac:dyDescent="0.25">
      <c r="B20" s="58"/>
      <c r="C20" s="59"/>
      <c r="D20" s="35"/>
    </row>
    <row r="21" spans="2:11" x14ac:dyDescent="0.25">
      <c r="B21" s="58"/>
      <c r="C21" s="59"/>
      <c r="D21" s="35"/>
    </row>
    <row r="22" spans="2:11" x14ac:dyDescent="0.25">
      <c r="B22" s="58"/>
      <c r="C22" s="59"/>
      <c r="D22" s="35"/>
    </row>
    <row r="23" spans="2:11" x14ac:dyDescent="0.25">
      <c r="B23" s="58"/>
      <c r="C23" s="59"/>
      <c r="D23" s="35"/>
    </row>
    <row r="24" spans="2:11" x14ac:dyDescent="0.25">
      <c r="B24" s="58"/>
      <c r="C24" s="59"/>
      <c r="D24" s="35"/>
    </row>
    <row r="25" spans="2:11" x14ac:dyDescent="0.25">
      <c r="B25" s="58"/>
      <c r="C25" s="59"/>
      <c r="D25" s="35"/>
    </row>
  </sheetData>
  <mergeCells count="6">
    <mergeCell ref="E16:K16"/>
    <mergeCell ref="B3:C3"/>
    <mergeCell ref="E2:K2"/>
    <mergeCell ref="E4:K4"/>
    <mergeCell ref="E8:K8"/>
    <mergeCell ref="E12:K12"/>
  </mergeCells>
  <pageMargins left="0.511811024" right="0.511811024" top="0.78740157499999996" bottom="0.78740157499999996" header="0.31496062000000002" footer="0.31496062000000002"/>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063A-FAD2-4C35-922F-29EC3115FE88}">
  <sheetPr>
    <tabColor theme="4" tint="0.39997558519241921"/>
  </sheetPr>
  <dimension ref="A1:Z75"/>
  <sheetViews>
    <sheetView showGridLines="0" zoomScale="80" zoomScaleNormal="80" workbookViewId="0">
      <selection activeCell="I17" sqref="I17"/>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v>0</v>
      </c>
      <c r="R5" s="22">
        <f t="shared" ref="R5:Z11" si="0">$Q5</f>
        <v>0</v>
      </c>
      <c r="S5" s="22">
        <f t="shared" si="0"/>
        <v>0</v>
      </c>
      <c r="T5" s="22">
        <f t="shared" si="0"/>
        <v>0</v>
      </c>
      <c r="U5" s="22">
        <f t="shared" si="0"/>
        <v>0</v>
      </c>
      <c r="V5" s="22">
        <f t="shared" si="0"/>
        <v>0</v>
      </c>
      <c r="W5" s="22">
        <f t="shared" si="0"/>
        <v>0</v>
      </c>
      <c r="X5" s="22">
        <f t="shared" si="0"/>
        <v>0</v>
      </c>
      <c r="Y5" s="22">
        <f t="shared" si="0"/>
        <v>0</v>
      </c>
      <c r="Z5" s="22">
        <f t="shared" si="0"/>
        <v>0</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v>0</v>
      </c>
      <c r="R6" s="22">
        <f t="shared" si="0"/>
        <v>0</v>
      </c>
      <c r="S6" s="22">
        <f t="shared" si="0"/>
        <v>0</v>
      </c>
      <c r="T6" s="22">
        <f t="shared" si="0"/>
        <v>0</v>
      </c>
      <c r="U6" s="22">
        <f t="shared" si="0"/>
        <v>0</v>
      </c>
      <c r="V6" s="22">
        <f t="shared" si="0"/>
        <v>0</v>
      </c>
      <c r="W6" s="22">
        <f t="shared" si="0"/>
        <v>0</v>
      </c>
      <c r="X6" s="22">
        <f t="shared" si="0"/>
        <v>0</v>
      </c>
      <c r="Y6" s="22">
        <f t="shared" si="0"/>
        <v>0</v>
      </c>
      <c r="Z6" s="22">
        <f t="shared" si="0"/>
        <v>0</v>
      </c>
    </row>
    <row r="7" spans="2:26" ht="15.75" x14ac:dyDescent="0.25">
      <c r="B7" s="24">
        <v>2021</v>
      </c>
      <c r="C7" s="3">
        <f>$M$7*$M$5*$M$4*$M$6*$M$17*Q$23*Q$41*$M$8</f>
        <v>0</v>
      </c>
      <c r="D7" s="3">
        <f>$M$7*$M$5*$M$4*$M$6*$M$17*Q$24*Q$42*$M$8</f>
        <v>0</v>
      </c>
      <c r="E7" s="3">
        <f>$M$7*$M$5*$M$4*$M$6*$M$17*Q$24*Q$42*$M$8</f>
        <v>0</v>
      </c>
      <c r="F7" s="3">
        <f>$M$7*$M$5*$M$4*$M$6*$M$17*Q$26*Q$44*$M$8</f>
        <v>0</v>
      </c>
      <c r="G7" s="3">
        <f>$M$7*$M$5*$M$4*$M$6*$M$25*Q$27*Q$45*$M$8</f>
        <v>0</v>
      </c>
      <c r="H7" s="25">
        <f>$M$7*$M$5*$M$4*$M$6*$M$25*Q$28*Q$46*$M$8</f>
        <v>0</v>
      </c>
      <c r="I7" s="26">
        <f>ROUNDDOWN($M$7*$M$5*$M$4*$M$6*$M$25*Q$29*Q$47*$M$8, )</f>
        <v>1278</v>
      </c>
      <c r="J7" s="25">
        <f>ROUNDDOWN(SUM(C7:I7),)</f>
        <v>1278</v>
      </c>
      <c r="L7" s="19" t="s">
        <v>33</v>
      </c>
      <c r="M7" s="20">
        <v>28</v>
      </c>
      <c r="N7" s="18" t="s">
        <v>34</v>
      </c>
      <c r="P7" s="21" t="s">
        <v>27</v>
      </c>
      <c r="Q7" s="22">
        <v>0</v>
      </c>
      <c r="R7" s="22">
        <f t="shared" si="0"/>
        <v>0</v>
      </c>
      <c r="S7" s="22">
        <f t="shared" si="0"/>
        <v>0</v>
      </c>
      <c r="T7" s="22">
        <f t="shared" si="0"/>
        <v>0</v>
      </c>
      <c r="U7" s="22">
        <f t="shared" si="0"/>
        <v>0</v>
      </c>
      <c r="V7" s="22">
        <f t="shared" si="0"/>
        <v>0</v>
      </c>
      <c r="W7" s="22">
        <f t="shared" si="0"/>
        <v>0</v>
      </c>
      <c r="X7" s="22">
        <f t="shared" si="0"/>
        <v>0</v>
      </c>
      <c r="Y7" s="22">
        <f t="shared" si="0"/>
        <v>0</v>
      </c>
      <c r="Z7" s="22">
        <f t="shared" si="0"/>
        <v>0</v>
      </c>
    </row>
    <row r="8" spans="2:26" ht="28.5" x14ac:dyDescent="0.25">
      <c r="B8" s="24">
        <v>2022</v>
      </c>
      <c r="C8" s="3">
        <f>$M$7*$M$5*$M$4*$M$6*$M$17*R$23*R$41*$M$8</f>
        <v>0</v>
      </c>
      <c r="D8" s="3">
        <f>$M$7*$M$5*$M$4*$M$6*$M$17*R$24*R$42*$M$8</f>
        <v>0</v>
      </c>
      <c r="E8" s="3">
        <f>$M$7*$M$5*$M$4*$M$6*$M$17*R$24*R$42*$M$8</f>
        <v>0</v>
      </c>
      <c r="F8" s="3">
        <f>$M$7*$M$5*$M$4*$M$6*$M$17*R$26*R$44*$M$8</f>
        <v>0</v>
      </c>
      <c r="G8" s="3">
        <f>$M$7*$M$5*$M$4*$M$6*$M$25*R$27*R$45*$M$8</f>
        <v>0</v>
      </c>
      <c r="H8" s="25">
        <f t="shared" ref="H8:H16" si="1">$M$7*$M$5*$M$4*$M$6*$M$25*Q$28*Q$46*$M$8</f>
        <v>0</v>
      </c>
      <c r="I8" s="26">
        <f>ROUNDDOWN($M$7*$M$5*$M$4*$M$6*$M$25*R$29*R$47*$M$8, )</f>
        <v>1278</v>
      </c>
      <c r="J8" s="25">
        <f t="shared" ref="J8:J16" si="2">ROUNDDOWN(SUM(C8:I8),)</f>
        <v>1278</v>
      </c>
      <c r="L8" s="19" t="s">
        <v>35</v>
      </c>
      <c r="M8" s="20">
        <v>1</v>
      </c>
      <c r="N8" s="18" t="s">
        <v>20</v>
      </c>
      <c r="P8" s="21" t="s">
        <v>28</v>
      </c>
      <c r="Q8" s="22">
        <v>0</v>
      </c>
      <c r="R8" s="22">
        <f t="shared" si="0"/>
        <v>0</v>
      </c>
      <c r="S8" s="22">
        <f t="shared" si="0"/>
        <v>0</v>
      </c>
      <c r="T8" s="22">
        <f t="shared" si="0"/>
        <v>0</v>
      </c>
      <c r="U8" s="22">
        <f t="shared" si="0"/>
        <v>0</v>
      </c>
      <c r="V8" s="22">
        <f t="shared" si="0"/>
        <v>0</v>
      </c>
      <c r="W8" s="22">
        <f t="shared" si="0"/>
        <v>0</v>
      </c>
      <c r="X8" s="22">
        <f t="shared" si="0"/>
        <v>0</v>
      </c>
      <c r="Y8" s="22">
        <f t="shared" si="0"/>
        <v>0</v>
      </c>
      <c r="Z8" s="22">
        <f t="shared" si="0"/>
        <v>0</v>
      </c>
    </row>
    <row r="9" spans="2:26" x14ac:dyDescent="0.25">
      <c r="B9" s="24">
        <v>2023</v>
      </c>
      <c r="C9" s="3">
        <f>$M$7*$M$5*$M$4*$M$6*$M$17*S$23*S$41*$M$8</f>
        <v>0</v>
      </c>
      <c r="D9" s="3">
        <f>$M$7*$M$5*$M$4*$M$6*$M$17*S$24*S$42*$M$8</f>
        <v>0</v>
      </c>
      <c r="E9" s="3">
        <f>$M$7*$M$5*$M$4*$M$6*$M$17*S$24*S$42*$M$8</f>
        <v>0</v>
      </c>
      <c r="F9" s="3">
        <f>$M$7*$M$5*$M$4*$M$6*$M$17*S$26*S$44*$M$8</f>
        <v>0</v>
      </c>
      <c r="G9" s="3">
        <f>$M$7*$M$5*$M$4*$M$6*$M$25*S$27*S$45*$M$8</f>
        <v>0</v>
      </c>
      <c r="H9" s="25">
        <f t="shared" si="1"/>
        <v>0</v>
      </c>
      <c r="I9" s="26">
        <f>ROUNDDOWN($M$7*$M$5*$M$4*$M$6*$M$25*S$29*S$47*$M$8, )</f>
        <v>1278</v>
      </c>
      <c r="J9" s="25">
        <f t="shared" si="2"/>
        <v>1278</v>
      </c>
      <c r="P9" s="21" t="s">
        <v>29</v>
      </c>
      <c r="Q9" s="22">
        <v>0</v>
      </c>
      <c r="R9" s="22">
        <f t="shared" si="0"/>
        <v>0</v>
      </c>
      <c r="S9" s="22">
        <f t="shared" si="0"/>
        <v>0</v>
      </c>
      <c r="T9" s="22">
        <f t="shared" si="0"/>
        <v>0</v>
      </c>
      <c r="U9" s="22">
        <f t="shared" si="0"/>
        <v>0</v>
      </c>
      <c r="V9" s="22">
        <f t="shared" si="0"/>
        <v>0</v>
      </c>
      <c r="W9" s="22">
        <f t="shared" si="0"/>
        <v>0</v>
      </c>
      <c r="X9" s="22">
        <f t="shared" si="0"/>
        <v>0</v>
      </c>
      <c r="Y9" s="22">
        <f t="shared" si="0"/>
        <v>0</v>
      </c>
      <c r="Z9" s="22">
        <f t="shared" si="0"/>
        <v>0</v>
      </c>
    </row>
    <row r="10" spans="2:26" ht="14.25" customHeight="1" x14ac:dyDescent="0.25">
      <c r="B10" s="24">
        <v>2024</v>
      </c>
      <c r="C10" s="3">
        <f>$M$7*$M$5*$M$4*$M$6*$M$17*T$23*T$41*$M$8</f>
        <v>0</v>
      </c>
      <c r="D10" s="3">
        <f>$M$7*$M$5*$M$4*$M$6*$M$17*T$24*T$42*$M$8</f>
        <v>0</v>
      </c>
      <c r="E10" s="3">
        <f>$M$7*$M$5*$M$4*$M$6*$M$17*T$24*T$42*$M$8</f>
        <v>0</v>
      </c>
      <c r="F10" s="3">
        <f>$M$7*$M$5*$M$4*$M$6*$M$17*T$26*T$44*$M$8</f>
        <v>0</v>
      </c>
      <c r="G10" s="3">
        <f>$M$7*$M$5*$M$4*$M$6*$M$25*T$27*T$45*$M$8</f>
        <v>0</v>
      </c>
      <c r="H10" s="25">
        <f t="shared" si="1"/>
        <v>0</v>
      </c>
      <c r="I10" s="26">
        <f>ROUNDDOWN($M$7*$M$5*$M$4*$M$6*$M$25*T$29*T$47*$M$8, )</f>
        <v>1278</v>
      </c>
      <c r="J10" s="25">
        <f t="shared" si="2"/>
        <v>1278</v>
      </c>
      <c r="L10" s="142" t="s">
        <v>120</v>
      </c>
      <c r="M10" s="143"/>
      <c r="N10" s="144"/>
      <c r="P10" s="21" t="s">
        <v>30</v>
      </c>
      <c r="Q10" s="22">
        <v>0</v>
      </c>
      <c r="R10" s="22">
        <f t="shared" si="0"/>
        <v>0</v>
      </c>
      <c r="S10" s="22">
        <f t="shared" si="0"/>
        <v>0</v>
      </c>
      <c r="T10" s="22">
        <f t="shared" si="0"/>
        <v>0</v>
      </c>
      <c r="U10" s="22">
        <f t="shared" si="0"/>
        <v>0</v>
      </c>
      <c r="V10" s="22">
        <f t="shared" si="0"/>
        <v>0</v>
      </c>
      <c r="W10" s="22">
        <f t="shared" si="0"/>
        <v>0</v>
      </c>
      <c r="X10" s="22">
        <f t="shared" si="0"/>
        <v>0</v>
      </c>
      <c r="Y10" s="22">
        <f t="shared" si="0"/>
        <v>0</v>
      </c>
      <c r="Z10" s="22">
        <f t="shared" si="0"/>
        <v>0</v>
      </c>
    </row>
    <row r="11" spans="2:26" x14ac:dyDescent="0.25">
      <c r="B11" s="24">
        <v>2025</v>
      </c>
      <c r="C11" s="3">
        <f>$M$7*$M$5*$M$4*$M$6*$M$17*U$23*U$41*$M$8</f>
        <v>0</v>
      </c>
      <c r="D11" s="3">
        <f>$M$7*$M$5*$M$4*$M$6*$M$17*U$24*U$42*$M$8</f>
        <v>0</v>
      </c>
      <c r="E11" s="3">
        <f>$M$7*$M$5*$M$4*$M$6*$M$17*U$24*U$42*$M$8</f>
        <v>0</v>
      </c>
      <c r="F11" s="3">
        <f>$M$7*$M$5*$M$4*$M$6*$M$17*U$26*U$44*$M$8</f>
        <v>0</v>
      </c>
      <c r="G11" s="3">
        <f>$M$7*$M$5*$M$4*$M$6*$M$25*U$27*U$45*$M$8</f>
        <v>0</v>
      </c>
      <c r="H11" s="25">
        <f t="shared" si="1"/>
        <v>0</v>
      </c>
      <c r="I11" s="26">
        <f>ROUNDDOWN($M$7*$M$5*$M$4*$M$6*$M$25*U$29*U$47*$M$8, )</f>
        <v>1278</v>
      </c>
      <c r="J11" s="25">
        <f t="shared" si="2"/>
        <v>1278</v>
      </c>
      <c r="L11" s="145"/>
      <c r="M11" s="146"/>
      <c r="N11" s="147"/>
      <c r="P11" s="21" t="s">
        <v>31</v>
      </c>
      <c r="Q11" s="22">
        <f>'Last MR Verified_FazendaAltenor'!C4</f>
        <v>5393.1283138918343</v>
      </c>
      <c r="R11" s="22">
        <f t="shared" si="0"/>
        <v>5393.1283138918343</v>
      </c>
      <c r="S11" s="22">
        <f t="shared" si="0"/>
        <v>5393.1283138918343</v>
      </c>
      <c r="T11" s="22">
        <f t="shared" si="0"/>
        <v>5393.1283138918343</v>
      </c>
      <c r="U11" s="22">
        <f t="shared" si="0"/>
        <v>5393.1283138918343</v>
      </c>
      <c r="V11" s="22">
        <f t="shared" si="0"/>
        <v>5393.1283138918343</v>
      </c>
      <c r="W11" s="22">
        <f t="shared" si="0"/>
        <v>5393.1283138918343</v>
      </c>
      <c r="X11" s="22">
        <f t="shared" si="0"/>
        <v>5393.1283138918343</v>
      </c>
      <c r="Y11" s="22">
        <f t="shared" si="0"/>
        <v>5393.1283138918343</v>
      </c>
      <c r="Z11" s="22">
        <f t="shared" si="0"/>
        <v>5393.1283138918343</v>
      </c>
    </row>
    <row r="12" spans="2:26" ht="15.75" x14ac:dyDescent="0.25">
      <c r="B12" s="24">
        <v>2026</v>
      </c>
      <c r="C12" s="3">
        <f>$M$7*$M$5*$M$4*$M$6*$M$17*V$23*V$41*$M$8</f>
        <v>0</v>
      </c>
      <c r="D12" s="3">
        <f>$M$7*$M$5*$M$4*$M$6*$M$17*V$24*V$42*$M$8</f>
        <v>0</v>
      </c>
      <c r="E12" s="3">
        <f>$M$7*$M$5*$M$4*$M$6*$M$17*V$24*V$42*$M$8</f>
        <v>0</v>
      </c>
      <c r="F12" s="3">
        <f>$M$7*$M$5*$M$4*$M$6*$M$17*V$26*V$44*$M$8</f>
        <v>0</v>
      </c>
      <c r="G12" s="3">
        <f>$M$7*$M$5*$M$4*$M$6*$M$25*V$27*V$45*$M$8</f>
        <v>0</v>
      </c>
      <c r="H12" s="25">
        <f t="shared" si="1"/>
        <v>0</v>
      </c>
      <c r="I12" s="26">
        <f>ROUNDDOWN($M$7*$M$5*$M$4*$M$6*$M$25*V$29*V$47*$M$8, )</f>
        <v>1278</v>
      </c>
      <c r="J12" s="25">
        <f t="shared" si="2"/>
        <v>1278</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$M$7*$M$5*$M$4*$M$6*$M$17*W$23*W$41*$M$8</f>
        <v>0</v>
      </c>
      <c r="D13" s="3">
        <f>$M$7*$M$5*$M$4*$M$6*$M$17*W$24*W$42*$M$8</f>
        <v>0</v>
      </c>
      <c r="E13" s="3">
        <f>$M$7*$M$5*$M$4*$M$6*$M$17*W$24*W$42*$M$8</f>
        <v>0</v>
      </c>
      <c r="F13" s="3">
        <f>$M$7*$M$5*$M$4*$M$6*$M$17*W$26*W$44*$M$8</f>
        <v>0</v>
      </c>
      <c r="G13" s="3">
        <f>$M$7*$M$5*$M$4*$M$6*$M$25*W$27*W$45*$M$8</f>
        <v>0</v>
      </c>
      <c r="H13" s="25">
        <f t="shared" si="1"/>
        <v>0</v>
      </c>
      <c r="I13" s="26">
        <f>ROUNDDOWN($M$7*$M$5*$M$4*$M$6*$M$25*W$29*W$47*$M$8, )</f>
        <v>1278</v>
      </c>
      <c r="J13" s="25">
        <f t="shared" si="2"/>
        <v>1278</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5.75" customHeight="1" x14ac:dyDescent="0.25">
      <c r="B14" s="24">
        <v>2028</v>
      </c>
      <c r="C14" s="3">
        <f>$M$7*$M$5*$M$4*$M$6*$M$17*X$23*X$41*$M$8</f>
        <v>0</v>
      </c>
      <c r="D14" s="3">
        <f>$M$7*$M$5*$M$4*$M$6*$M$17*X$24*X$42*$M$8</f>
        <v>0</v>
      </c>
      <c r="E14" s="3">
        <f>$M$7*$M$5*$M$4*$M$6*$M$17*X$24*X$42*$M$8</f>
        <v>0</v>
      </c>
      <c r="F14" s="3">
        <f>$M$7*$M$5*$M$4*$M$6*$M$17*X$26*X$44*$M$8</f>
        <v>0</v>
      </c>
      <c r="G14" s="3">
        <f>$M$7*$M$5*$M$4*$M$6*$M$25*X$27*X$45*$M$8</f>
        <v>0</v>
      </c>
      <c r="H14" s="25">
        <f t="shared" si="1"/>
        <v>0</v>
      </c>
      <c r="I14" s="26">
        <f>ROUNDDOWN($M$7*$M$5*$M$4*$M$6*$M$25*X$29*X$47*$M$8, )</f>
        <v>1278</v>
      </c>
      <c r="J14" s="25">
        <f t="shared" si="2"/>
        <v>1278</v>
      </c>
      <c r="L14" s="139" t="s">
        <v>37</v>
      </c>
      <c r="M14" s="140"/>
      <c r="N14" s="141"/>
      <c r="P14" s="21" t="s">
        <v>25</v>
      </c>
      <c r="Q14" s="22">
        <v>0</v>
      </c>
      <c r="R14" s="22">
        <f t="shared" ref="R14:Z20" si="3">$Q14</f>
        <v>0</v>
      </c>
      <c r="S14" s="22">
        <f t="shared" si="3"/>
        <v>0</v>
      </c>
      <c r="T14" s="22">
        <f t="shared" si="3"/>
        <v>0</v>
      </c>
      <c r="U14" s="22">
        <f t="shared" si="3"/>
        <v>0</v>
      </c>
      <c r="V14" s="22">
        <f t="shared" si="3"/>
        <v>0</v>
      </c>
      <c r="W14" s="22">
        <f t="shared" si="3"/>
        <v>0</v>
      </c>
      <c r="X14" s="22">
        <f t="shared" si="3"/>
        <v>0</v>
      </c>
      <c r="Y14" s="22">
        <f t="shared" si="3"/>
        <v>0</v>
      </c>
      <c r="Z14" s="22">
        <f t="shared" si="3"/>
        <v>0</v>
      </c>
    </row>
    <row r="15" spans="2:26" x14ac:dyDescent="0.25">
      <c r="B15" s="24">
        <v>2029</v>
      </c>
      <c r="C15" s="3">
        <f>$M$7*$M$5*$M$4*$M$6*$M$17*Y$23*Y$41*$M$8</f>
        <v>0</v>
      </c>
      <c r="D15" s="3">
        <f>$M$7*$M$5*$M$4*$M$6*$M$17*Y$24*Y$42*$M$8</f>
        <v>0</v>
      </c>
      <c r="E15" s="3">
        <f>$M$7*$M$5*$M$4*$M$6*$M$17*Y$24*Y$42*$M$8</f>
        <v>0</v>
      </c>
      <c r="F15" s="3">
        <f>$M$7*$M$5*$M$4*$M$6*$M$17*Y$26*Y$44*$M$8</f>
        <v>0</v>
      </c>
      <c r="G15" s="3">
        <f>$M$7*$M$5*$M$4*$M$6*$M$25*Y$27*Y$45*$M$8</f>
        <v>0</v>
      </c>
      <c r="H15" s="25">
        <f t="shared" si="1"/>
        <v>0</v>
      </c>
      <c r="I15" s="26">
        <f>ROUNDDOWN($M$7*$M$5*$M$4*$M$6*$M$25*Y$29*Y$47*$M$8, )</f>
        <v>1278</v>
      </c>
      <c r="J15" s="25">
        <f t="shared" si="2"/>
        <v>1278</v>
      </c>
      <c r="L15" s="74" t="s">
        <v>40</v>
      </c>
      <c r="M15" s="75">
        <f>(1.7*(M19/1000))</f>
        <v>0.34849999999999998</v>
      </c>
      <c r="N15" s="74" t="s">
        <v>38</v>
      </c>
      <c r="P15" s="21" t="s">
        <v>26</v>
      </c>
      <c r="Q15" s="22">
        <v>0</v>
      </c>
      <c r="R15" s="22">
        <f t="shared" si="3"/>
        <v>0</v>
      </c>
      <c r="S15" s="22">
        <f t="shared" si="3"/>
        <v>0</v>
      </c>
      <c r="T15" s="22">
        <f t="shared" si="3"/>
        <v>0</v>
      </c>
      <c r="U15" s="22">
        <f t="shared" si="3"/>
        <v>0</v>
      </c>
      <c r="V15" s="22">
        <f t="shared" si="3"/>
        <v>0</v>
      </c>
      <c r="W15" s="22">
        <f t="shared" si="3"/>
        <v>0</v>
      </c>
      <c r="X15" s="22">
        <f t="shared" si="3"/>
        <v>0</v>
      </c>
      <c r="Y15" s="22">
        <f t="shared" si="3"/>
        <v>0</v>
      </c>
      <c r="Z15" s="22">
        <f t="shared" si="3"/>
        <v>0</v>
      </c>
    </row>
    <row r="16" spans="2:26" ht="15.75" customHeight="1" x14ac:dyDescent="0.25">
      <c r="B16" s="24">
        <v>2030</v>
      </c>
      <c r="C16" s="3">
        <f>$M$7*$M$5*$M$4*$M$6*$M$17*Z$23*Z$41*$M$8</f>
        <v>0</v>
      </c>
      <c r="D16" s="3">
        <f>$M$7*$M$5*$M$4*$M$6*$M$17*Z$24*Z$42*$M$8</f>
        <v>0</v>
      </c>
      <c r="E16" s="3">
        <f>$M$7*$M$5*$M$4*$M$6*$M$17*Z$24*Z$42*$M$8</f>
        <v>0</v>
      </c>
      <c r="F16" s="3">
        <f>$M$7*$M$5*$M$4*$M$6*$M$17*Z$26*Z$44*$M$8</f>
        <v>0</v>
      </c>
      <c r="G16" s="3">
        <f>$M$7*$M$5*$M$4*$M$6*$M$25*Z$27*Z$45*$M$8</f>
        <v>0</v>
      </c>
      <c r="H16" s="25">
        <f t="shared" si="1"/>
        <v>0</v>
      </c>
      <c r="I16" s="26">
        <f>ROUNDDOWN($M$7*$M$5*$M$4*$M$6*$M$25*Z$29*Z$47*$M$8, )</f>
        <v>1278</v>
      </c>
      <c r="J16" s="25">
        <f t="shared" si="2"/>
        <v>1278</v>
      </c>
      <c r="L16" s="139" t="s">
        <v>42</v>
      </c>
      <c r="M16" s="140"/>
      <c r="N16" s="141"/>
      <c r="P16" s="21" t="s">
        <v>39</v>
      </c>
      <c r="Q16" s="22">
        <v>0</v>
      </c>
      <c r="R16" s="22">
        <f t="shared" si="3"/>
        <v>0</v>
      </c>
      <c r="S16" s="22">
        <f t="shared" si="3"/>
        <v>0</v>
      </c>
      <c r="T16" s="22">
        <f t="shared" si="3"/>
        <v>0</v>
      </c>
      <c r="U16" s="22">
        <f t="shared" si="3"/>
        <v>0</v>
      </c>
      <c r="V16" s="22">
        <f t="shared" si="3"/>
        <v>0</v>
      </c>
      <c r="W16" s="22">
        <f t="shared" si="3"/>
        <v>0</v>
      </c>
      <c r="X16" s="22">
        <f t="shared" si="3"/>
        <v>0</v>
      </c>
      <c r="Y16" s="22">
        <f t="shared" si="3"/>
        <v>0</v>
      </c>
      <c r="Z16" s="22">
        <f t="shared" si="3"/>
        <v>0</v>
      </c>
    </row>
    <row r="17" spans="2:26" ht="15.75" x14ac:dyDescent="0.25">
      <c r="B17" s="28" t="s">
        <v>0</v>
      </c>
      <c r="C17" s="25">
        <f>ROUNDDOWN(SUM(C7:C16),)</f>
        <v>0</v>
      </c>
      <c r="D17" s="25">
        <f t="shared" ref="D17:H17" si="4">ROUNDDOWN(SUM(D7:D16),)</f>
        <v>0</v>
      </c>
      <c r="E17" s="25">
        <f t="shared" si="4"/>
        <v>0</v>
      </c>
      <c r="F17" s="25">
        <f t="shared" si="4"/>
        <v>0</v>
      </c>
      <c r="G17" s="25">
        <f t="shared" si="4"/>
        <v>0</v>
      </c>
      <c r="H17" s="25">
        <f t="shared" si="4"/>
        <v>0</v>
      </c>
      <c r="I17" s="25">
        <f>ROUNDDOWN(SUM(I7:I16),)</f>
        <v>12780</v>
      </c>
      <c r="J17" s="25">
        <f>ROUNDDOWN(SUM(C17:I17),)</f>
        <v>12780</v>
      </c>
      <c r="L17" s="74" t="s">
        <v>40</v>
      </c>
      <c r="M17" s="74">
        <f>0.45</f>
        <v>0.45</v>
      </c>
      <c r="N17" s="74" t="s">
        <v>43</v>
      </c>
      <c r="P17" s="21" t="s">
        <v>41</v>
      </c>
      <c r="Q17" s="22">
        <v>0</v>
      </c>
      <c r="R17" s="22">
        <f t="shared" si="3"/>
        <v>0</v>
      </c>
      <c r="S17" s="22">
        <f t="shared" si="3"/>
        <v>0</v>
      </c>
      <c r="T17" s="22">
        <f t="shared" si="3"/>
        <v>0</v>
      </c>
      <c r="U17" s="22">
        <f t="shared" si="3"/>
        <v>0</v>
      </c>
      <c r="V17" s="22">
        <f t="shared" si="3"/>
        <v>0</v>
      </c>
      <c r="W17" s="22">
        <f t="shared" si="3"/>
        <v>0</v>
      </c>
      <c r="X17" s="22">
        <f t="shared" si="3"/>
        <v>0</v>
      </c>
      <c r="Y17" s="22">
        <f t="shared" si="3"/>
        <v>0</v>
      </c>
      <c r="Z17" s="22">
        <f t="shared" si="3"/>
        <v>0</v>
      </c>
    </row>
    <row r="18" spans="2:26" ht="14.25" customHeight="1" x14ac:dyDescent="0.25">
      <c r="B18" s="29"/>
      <c r="C18" s="30"/>
      <c r="D18" s="30"/>
      <c r="E18" s="30"/>
      <c r="F18" s="30"/>
      <c r="G18" s="30"/>
      <c r="H18" s="30"/>
      <c r="I18" s="30"/>
      <c r="J18" s="30"/>
      <c r="L18" s="139" t="s">
        <v>46</v>
      </c>
      <c r="M18" s="140"/>
      <c r="N18" s="141"/>
      <c r="P18" s="21" t="s">
        <v>29</v>
      </c>
      <c r="Q18" s="22">
        <v>0</v>
      </c>
      <c r="R18" s="22">
        <f t="shared" si="3"/>
        <v>0</v>
      </c>
      <c r="S18" s="22">
        <f t="shared" si="3"/>
        <v>0</v>
      </c>
      <c r="T18" s="22">
        <f t="shared" si="3"/>
        <v>0</v>
      </c>
      <c r="U18" s="22">
        <f t="shared" si="3"/>
        <v>0</v>
      </c>
      <c r="V18" s="22">
        <f t="shared" si="3"/>
        <v>0</v>
      </c>
      <c r="W18" s="22">
        <f t="shared" si="3"/>
        <v>0</v>
      </c>
      <c r="X18" s="22">
        <f t="shared" si="3"/>
        <v>0</v>
      </c>
      <c r="Y18" s="22">
        <f t="shared" si="3"/>
        <v>0</v>
      </c>
      <c r="Z18" s="22">
        <f t="shared" si="3"/>
        <v>0</v>
      </c>
    </row>
    <row r="19" spans="2:26" ht="15.75" customHeight="1" x14ac:dyDescent="0.25">
      <c r="B19" s="29"/>
      <c r="C19" s="30"/>
      <c r="D19" s="30"/>
      <c r="E19" s="30"/>
      <c r="F19" s="30"/>
      <c r="G19" s="30"/>
      <c r="H19" s="30"/>
      <c r="I19" s="30"/>
      <c r="J19" s="30"/>
      <c r="L19" s="74" t="s">
        <v>40</v>
      </c>
      <c r="M19" s="74">
        <v>205</v>
      </c>
      <c r="N19" s="74" t="s">
        <v>47</v>
      </c>
      <c r="P19" s="21" t="s">
        <v>44</v>
      </c>
      <c r="Q19" s="22">
        <v>0</v>
      </c>
      <c r="R19" s="22">
        <f t="shared" si="3"/>
        <v>0</v>
      </c>
      <c r="S19" s="22">
        <f t="shared" si="3"/>
        <v>0</v>
      </c>
      <c r="T19" s="22">
        <f t="shared" si="3"/>
        <v>0</v>
      </c>
      <c r="U19" s="22">
        <f t="shared" si="3"/>
        <v>0</v>
      </c>
      <c r="V19" s="22">
        <f t="shared" si="3"/>
        <v>0</v>
      </c>
      <c r="W19" s="22">
        <f t="shared" si="3"/>
        <v>0</v>
      </c>
      <c r="X19" s="22">
        <f t="shared" si="3"/>
        <v>0</v>
      </c>
      <c r="Y19" s="22">
        <f t="shared" si="3"/>
        <v>0</v>
      </c>
      <c r="Z19" s="22">
        <f t="shared" si="3"/>
        <v>0</v>
      </c>
    </row>
    <row r="20" spans="2:26" x14ac:dyDescent="0.25">
      <c r="B20" s="30"/>
      <c r="C20" s="30"/>
      <c r="D20" s="30"/>
      <c r="E20" s="30"/>
      <c r="F20" s="30"/>
      <c r="G20" s="30"/>
      <c r="H20" s="30"/>
      <c r="I20" s="30"/>
      <c r="J20" s="30"/>
      <c r="L20" s="148" t="s">
        <v>131</v>
      </c>
      <c r="M20" s="149"/>
      <c r="N20" s="150"/>
      <c r="P20" s="21" t="s">
        <v>31</v>
      </c>
      <c r="Q20" s="22">
        <f>'Last MR Verified_FazendaAltenor'!C5</f>
        <v>118.1783389916653</v>
      </c>
      <c r="R20" s="22">
        <f t="shared" si="3"/>
        <v>118.1783389916653</v>
      </c>
      <c r="S20" s="22">
        <f t="shared" si="3"/>
        <v>118.1783389916653</v>
      </c>
      <c r="T20" s="22">
        <f t="shared" si="3"/>
        <v>118.1783389916653</v>
      </c>
      <c r="U20" s="22">
        <f t="shared" si="3"/>
        <v>118.1783389916653</v>
      </c>
      <c r="V20" s="22">
        <f t="shared" si="3"/>
        <v>118.1783389916653</v>
      </c>
      <c r="W20" s="22">
        <f t="shared" si="3"/>
        <v>118.1783389916653</v>
      </c>
      <c r="X20" s="22">
        <f t="shared" si="3"/>
        <v>118.1783389916653</v>
      </c>
      <c r="Y20" s="22">
        <f t="shared" si="3"/>
        <v>118.1783389916653</v>
      </c>
      <c r="Z20" s="22">
        <f t="shared" si="3"/>
        <v>118.1783389916653</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5.7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71"/>
      <c r="I23" s="30"/>
      <c r="J23" s="30"/>
      <c r="L23" s="74" t="s">
        <v>40</v>
      </c>
      <c r="M23" s="75">
        <f>(4.3*(M27/1000))</f>
        <v>0.25369999999999998</v>
      </c>
      <c r="N23" s="74" t="s">
        <v>38</v>
      </c>
      <c r="P23" s="21" t="s">
        <v>25</v>
      </c>
      <c r="Q23" s="31">
        <v>0</v>
      </c>
      <c r="R23" s="31">
        <f t="shared" ref="R23:R28" si="5">Q23</f>
        <v>0</v>
      </c>
      <c r="S23" s="22">
        <f t="shared" ref="S23:Z29" si="6">$Q23</f>
        <v>0</v>
      </c>
      <c r="T23" s="22">
        <f t="shared" si="6"/>
        <v>0</v>
      </c>
      <c r="U23" s="22">
        <f t="shared" si="6"/>
        <v>0</v>
      </c>
      <c r="V23" s="22">
        <f t="shared" si="6"/>
        <v>0</v>
      </c>
      <c r="W23" s="22">
        <f t="shared" si="6"/>
        <v>0</v>
      </c>
      <c r="X23" s="22">
        <f t="shared" si="6"/>
        <v>0</v>
      </c>
      <c r="Y23" s="22">
        <f t="shared" si="6"/>
        <v>0</v>
      </c>
      <c r="Z23" s="22">
        <f t="shared" si="6"/>
        <v>0</v>
      </c>
    </row>
    <row r="24" spans="2:26" ht="15.75" customHeight="1" x14ac:dyDescent="0.25">
      <c r="B24" s="30"/>
      <c r="C24" s="30"/>
      <c r="D24" s="30"/>
      <c r="E24" s="30"/>
      <c r="F24" s="30"/>
      <c r="G24" s="30"/>
      <c r="H24" s="30"/>
      <c r="I24" s="30"/>
      <c r="J24" s="30"/>
      <c r="L24" s="139" t="s">
        <v>42</v>
      </c>
      <c r="M24" s="140"/>
      <c r="N24" s="141"/>
      <c r="P24" s="21" t="s">
        <v>26</v>
      </c>
      <c r="Q24" s="31">
        <v>0</v>
      </c>
      <c r="R24" s="31">
        <f t="shared" si="5"/>
        <v>0</v>
      </c>
      <c r="S24" s="22">
        <f t="shared" si="6"/>
        <v>0</v>
      </c>
      <c r="T24" s="22">
        <f t="shared" si="6"/>
        <v>0</v>
      </c>
      <c r="U24" s="22">
        <f t="shared" si="6"/>
        <v>0</v>
      </c>
      <c r="V24" s="22">
        <f t="shared" si="6"/>
        <v>0</v>
      </c>
      <c r="W24" s="22">
        <f t="shared" si="6"/>
        <v>0</v>
      </c>
      <c r="X24" s="22">
        <f t="shared" si="6"/>
        <v>0</v>
      </c>
      <c r="Y24" s="22">
        <f t="shared" si="6"/>
        <v>0</v>
      </c>
      <c r="Z24" s="22">
        <f t="shared" si="6"/>
        <v>0</v>
      </c>
    </row>
    <row r="25" spans="2:26" ht="15.75" x14ac:dyDescent="0.25">
      <c r="B25" s="30"/>
      <c r="C25" s="30"/>
      <c r="D25" s="30"/>
      <c r="E25" s="30"/>
      <c r="F25" s="30"/>
      <c r="G25" s="30"/>
      <c r="H25" s="30"/>
      <c r="I25" s="30"/>
      <c r="J25" s="30"/>
      <c r="L25" s="74" t="s">
        <v>40</v>
      </c>
      <c r="M25" s="74">
        <f>0.45</f>
        <v>0.45</v>
      </c>
      <c r="N25" s="74" t="s">
        <v>43</v>
      </c>
      <c r="P25" s="21" t="s">
        <v>39</v>
      </c>
      <c r="Q25" s="31">
        <v>0</v>
      </c>
      <c r="R25" s="31">
        <f t="shared" si="5"/>
        <v>0</v>
      </c>
      <c r="S25" s="22">
        <f t="shared" si="6"/>
        <v>0</v>
      </c>
      <c r="T25" s="22">
        <f t="shared" si="6"/>
        <v>0</v>
      </c>
      <c r="U25" s="22">
        <f t="shared" si="6"/>
        <v>0</v>
      </c>
      <c r="V25" s="22">
        <f t="shared" si="6"/>
        <v>0</v>
      </c>
      <c r="W25" s="22">
        <f t="shared" si="6"/>
        <v>0</v>
      </c>
      <c r="X25" s="22">
        <f t="shared" si="6"/>
        <v>0</v>
      </c>
      <c r="Y25" s="22">
        <f t="shared" si="6"/>
        <v>0</v>
      </c>
      <c r="Z25" s="22">
        <f t="shared" si="6"/>
        <v>0</v>
      </c>
    </row>
    <row r="26" spans="2:26" ht="12.75" customHeight="1" x14ac:dyDescent="0.25">
      <c r="B26" s="30"/>
      <c r="C26" s="30"/>
      <c r="D26" s="30"/>
      <c r="E26" s="30"/>
      <c r="F26" s="30"/>
      <c r="G26" s="30"/>
      <c r="H26" s="30"/>
      <c r="I26" s="30"/>
      <c r="J26" s="30"/>
      <c r="L26" s="139" t="s">
        <v>46</v>
      </c>
      <c r="M26" s="140"/>
      <c r="N26" s="141"/>
      <c r="P26" s="21" t="s">
        <v>41</v>
      </c>
      <c r="Q26" s="31">
        <v>0</v>
      </c>
      <c r="R26" s="31">
        <f t="shared" si="5"/>
        <v>0</v>
      </c>
      <c r="S26" s="22">
        <f t="shared" si="6"/>
        <v>0</v>
      </c>
      <c r="T26" s="22">
        <f t="shared" si="6"/>
        <v>0</v>
      </c>
      <c r="U26" s="22">
        <f t="shared" si="6"/>
        <v>0</v>
      </c>
      <c r="V26" s="22">
        <f t="shared" si="6"/>
        <v>0</v>
      </c>
      <c r="W26" s="22">
        <f t="shared" si="6"/>
        <v>0</v>
      </c>
      <c r="X26" s="22">
        <f t="shared" si="6"/>
        <v>0</v>
      </c>
      <c r="Y26" s="22">
        <f t="shared" si="6"/>
        <v>0</v>
      </c>
      <c r="Z26" s="22">
        <f t="shared" si="6"/>
        <v>0</v>
      </c>
    </row>
    <row r="27" spans="2:26" ht="12.75" customHeight="1" x14ac:dyDescent="0.25">
      <c r="B27" s="30"/>
      <c r="C27" s="30"/>
      <c r="D27" s="30"/>
      <c r="E27" s="30"/>
      <c r="F27" s="30"/>
      <c r="G27" s="30"/>
      <c r="H27" s="30"/>
      <c r="I27" s="30"/>
      <c r="J27" s="30"/>
      <c r="L27" s="74" t="s">
        <v>40</v>
      </c>
      <c r="M27" s="74">
        <v>59</v>
      </c>
      <c r="N27" s="74" t="s">
        <v>47</v>
      </c>
      <c r="P27" s="21" t="s">
        <v>29</v>
      </c>
      <c r="Q27" s="31">
        <v>0</v>
      </c>
      <c r="R27" s="31">
        <f t="shared" si="5"/>
        <v>0</v>
      </c>
      <c r="S27" s="22">
        <f t="shared" si="6"/>
        <v>0</v>
      </c>
      <c r="T27" s="22">
        <f t="shared" si="6"/>
        <v>0</v>
      </c>
      <c r="U27" s="22">
        <f t="shared" si="6"/>
        <v>0</v>
      </c>
      <c r="V27" s="22">
        <f t="shared" si="6"/>
        <v>0</v>
      </c>
      <c r="W27" s="22">
        <f t="shared" si="6"/>
        <v>0</v>
      </c>
      <c r="X27" s="22">
        <f t="shared" si="6"/>
        <v>0</v>
      </c>
      <c r="Y27" s="22">
        <f t="shared" si="6"/>
        <v>0</v>
      </c>
      <c r="Z27" s="22">
        <f t="shared" si="6"/>
        <v>0</v>
      </c>
    </row>
    <row r="28" spans="2:26" x14ac:dyDescent="0.25">
      <c r="B28" s="30"/>
      <c r="C28" s="30"/>
      <c r="D28" s="30"/>
      <c r="E28" s="30"/>
      <c r="F28" s="30"/>
      <c r="G28" s="30"/>
      <c r="H28" s="30"/>
      <c r="I28" s="30"/>
      <c r="J28" s="30"/>
      <c r="L28" s="30"/>
      <c r="M28" s="30"/>
      <c r="N28" s="30"/>
      <c r="P28" s="21" t="s">
        <v>44</v>
      </c>
      <c r="Q28" s="31">
        <v>0</v>
      </c>
      <c r="R28" s="31">
        <f t="shared" si="5"/>
        <v>0</v>
      </c>
      <c r="S28" s="22">
        <f t="shared" si="6"/>
        <v>0</v>
      </c>
      <c r="T28" s="22">
        <f t="shared" si="6"/>
        <v>0</v>
      </c>
      <c r="U28" s="22">
        <f t="shared" si="6"/>
        <v>0</v>
      </c>
      <c r="V28" s="22">
        <f t="shared" si="6"/>
        <v>0</v>
      </c>
      <c r="W28" s="22">
        <f t="shared" si="6"/>
        <v>0</v>
      </c>
      <c r="X28" s="22">
        <f t="shared" si="6"/>
        <v>0</v>
      </c>
      <c r="Y28" s="22">
        <f t="shared" si="6"/>
        <v>0</v>
      </c>
      <c r="Z28" s="22">
        <f t="shared" si="6"/>
        <v>0</v>
      </c>
    </row>
    <row r="29" spans="2:26" x14ac:dyDescent="0.25">
      <c r="B29" s="30"/>
      <c r="C29" s="30"/>
      <c r="D29" s="30"/>
      <c r="E29" s="30"/>
      <c r="F29" s="30"/>
      <c r="G29" s="30"/>
      <c r="H29" s="30"/>
      <c r="I29" s="30"/>
      <c r="J29" s="30"/>
      <c r="L29" s="30"/>
      <c r="M29" s="30"/>
      <c r="N29" s="30"/>
      <c r="P29" s="21" t="s">
        <v>31</v>
      </c>
      <c r="Q29" s="22">
        <f>'Last MR Verified_FazendaAltenor'!C6</f>
        <v>1746.1669756291988</v>
      </c>
      <c r="R29" s="22">
        <f>$Q$29</f>
        <v>1746.1669756291988</v>
      </c>
      <c r="S29" s="22">
        <f t="shared" si="6"/>
        <v>1746.1669756291988</v>
      </c>
      <c r="T29" s="22">
        <f t="shared" si="6"/>
        <v>1746.1669756291988</v>
      </c>
      <c r="U29" s="22">
        <f t="shared" si="6"/>
        <v>1746.1669756291988</v>
      </c>
      <c r="V29" s="22">
        <f t="shared" si="6"/>
        <v>1746.1669756291988</v>
      </c>
      <c r="W29" s="22">
        <f t="shared" si="6"/>
        <v>1746.1669756291988</v>
      </c>
      <c r="X29" s="22">
        <f t="shared" si="6"/>
        <v>1746.1669756291988</v>
      </c>
      <c r="Y29" s="22">
        <f t="shared" si="6"/>
        <v>1746.1669756291988</v>
      </c>
      <c r="Z29" s="22">
        <f t="shared" si="6"/>
        <v>1746.1669756291988</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ht="14.25" customHeight="1" x14ac:dyDescent="0.25">
      <c r="C32" s="30"/>
      <c r="D32" s="30"/>
      <c r="E32" s="30"/>
      <c r="F32" s="30"/>
      <c r="G32" s="30"/>
      <c r="H32" s="30"/>
      <c r="I32" s="30"/>
      <c r="J32" s="30"/>
      <c r="L32" s="30"/>
      <c r="M32" s="30"/>
      <c r="N32" s="30"/>
      <c r="P32" s="21" t="s">
        <v>49</v>
      </c>
      <c r="Q32" s="22">
        <v>0</v>
      </c>
      <c r="R32" s="22">
        <f t="shared" ref="R32:Z38" si="7">$Q32</f>
        <v>0</v>
      </c>
      <c r="S32" s="22">
        <f t="shared" si="7"/>
        <v>0</v>
      </c>
      <c r="T32" s="22">
        <f t="shared" si="7"/>
        <v>0</v>
      </c>
      <c r="U32" s="22">
        <f t="shared" si="7"/>
        <v>0</v>
      </c>
      <c r="V32" s="22">
        <f t="shared" si="7"/>
        <v>0</v>
      </c>
      <c r="W32" s="22">
        <f t="shared" si="7"/>
        <v>0</v>
      </c>
      <c r="X32" s="22">
        <f t="shared" si="7"/>
        <v>0</v>
      </c>
      <c r="Y32" s="22">
        <f t="shared" si="7"/>
        <v>0</v>
      </c>
      <c r="Z32" s="22">
        <f t="shared" si="7"/>
        <v>0</v>
      </c>
    </row>
    <row r="33" spans="3:26" ht="14.25" customHeight="1" x14ac:dyDescent="0.25">
      <c r="C33" s="30"/>
      <c r="D33" s="30"/>
      <c r="E33" s="30"/>
      <c r="F33" s="30"/>
      <c r="G33" s="30"/>
      <c r="H33" s="30"/>
      <c r="I33" s="30"/>
      <c r="J33" s="30"/>
      <c r="L33" s="30"/>
      <c r="M33" s="30"/>
      <c r="N33" s="30"/>
      <c r="P33" s="21" t="s">
        <v>26</v>
      </c>
      <c r="Q33" s="22">
        <v>0</v>
      </c>
      <c r="R33" s="22">
        <f t="shared" si="7"/>
        <v>0</v>
      </c>
      <c r="S33" s="22">
        <f t="shared" si="7"/>
        <v>0</v>
      </c>
      <c r="T33" s="22">
        <f t="shared" si="7"/>
        <v>0</v>
      </c>
      <c r="U33" s="22">
        <f t="shared" si="7"/>
        <v>0</v>
      </c>
      <c r="V33" s="22">
        <f t="shared" si="7"/>
        <v>0</v>
      </c>
      <c r="W33" s="22">
        <f t="shared" si="7"/>
        <v>0</v>
      </c>
      <c r="X33" s="22">
        <f t="shared" si="7"/>
        <v>0</v>
      </c>
      <c r="Y33" s="22">
        <f t="shared" si="7"/>
        <v>0</v>
      </c>
      <c r="Z33" s="22">
        <f t="shared" si="7"/>
        <v>0</v>
      </c>
    </row>
    <row r="34" spans="3:26" ht="14.25" customHeight="1" x14ac:dyDescent="0.25">
      <c r="C34" s="30"/>
      <c r="D34" s="30"/>
      <c r="E34" s="30"/>
      <c r="F34" s="30"/>
      <c r="G34" s="30"/>
      <c r="H34" s="30"/>
      <c r="I34" s="30"/>
      <c r="J34" s="30"/>
      <c r="L34" s="30"/>
      <c r="M34" s="30"/>
      <c r="N34" s="30"/>
      <c r="P34" s="21" t="s">
        <v>39</v>
      </c>
      <c r="Q34" s="22">
        <v>0</v>
      </c>
      <c r="R34" s="22">
        <f t="shared" si="7"/>
        <v>0</v>
      </c>
      <c r="S34" s="22">
        <f t="shared" si="7"/>
        <v>0</v>
      </c>
      <c r="T34" s="22">
        <f t="shared" si="7"/>
        <v>0</v>
      </c>
      <c r="U34" s="22">
        <f t="shared" si="7"/>
        <v>0</v>
      </c>
      <c r="V34" s="22">
        <f t="shared" si="7"/>
        <v>0</v>
      </c>
      <c r="W34" s="22">
        <f t="shared" si="7"/>
        <v>0</v>
      </c>
      <c r="X34" s="22">
        <f t="shared" si="7"/>
        <v>0</v>
      </c>
      <c r="Y34" s="22">
        <f t="shared" si="7"/>
        <v>0</v>
      </c>
      <c r="Z34" s="22">
        <f t="shared" si="7"/>
        <v>0</v>
      </c>
    </row>
    <row r="35" spans="3:26" ht="12.75" customHeight="1" x14ac:dyDescent="0.25">
      <c r="C35" s="30"/>
      <c r="D35" s="30"/>
      <c r="E35" s="30"/>
      <c r="F35" s="30"/>
      <c r="G35" s="30"/>
      <c r="H35" s="30"/>
      <c r="I35" s="30"/>
      <c r="J35" s="30"/>
      <c r="L35" s="30"/>
      <c r="M35" s="30"/>
      <c r="N35" s="30"/>
      <c r="P35" s="21" t="s">
        <v>41</v>
      </c>
      <c r="Q35" s="22">
        <v>0</v>
      </c>
      <c r="R35" s="22">
        <f t="shared" si="7"/>
        <v>0</v>
      </c>
      <c r="S35" s="22">
        <f t="shared" si="7"/>
        <v>0</v>
      </c>
      <c r="T35" s="22">
        <f t="shared" si="7"/>
        <v>0</v>
      </c>
      <c r="U35" s="22">
        <f t="shared" si="7"/>
        <v>0</v>
      </c>
      <c r="V35" s="22">
        <f t="shared" si="7"/>
        <v>0</v>
      </c>
      <c r="W35" s="22">
        <f t="shared" si="7"/>
        <v>0</v>
      </c>
      <c r="X35" s="22">
        <f t="shared" si="7"/>
        <v>0</v>
      </c>
      <c r="Y35" s="22">
        <f t="shared" si="7"/>
        <v>0</v>
      </c>
      <c r="Z35" s="22">
        <f t="shared" si="7"/>
        <v>0</v>
      </c>
    </row>
    <row r="36" spans="3:26" x14ac:dyDescent="0.25">
      <c r="C36" s="30"/>
      <c r="D36" s="30"/>
      <c r="E36" s="30"/>
      <c r="F36" s="30"/>
      <c r="G36" s="30"/>
      <c r="H36" s="30"/>
      <c r="I36" s="30"/>
      <c r="J36" s="30"/>
      <c r="L36" s="30"/>
      <c r="M36" s="30"/>
      <c r="N36" s="30"/>
      <c r="P36" s="21" t="s">
        <v>50</v>
      </c>
      <c r="Q36" s="22">
        <v>0</v>
      </c>
      <c r="R36" s="22">
        <f t="shared" si="7"/>
        <v>0</v>
      </c>
      <c r="S36" s="22">
        <f t="shared" si="7"/>
        <v>0</v>
      </c>
      <c r="T36" s="22">
        <f t="shared" si="7"/>
        <v>0</v>
      </c>
      <c r="U36" s="22">
        <f t="shared" si="7"/>
        <v>0</v>
      </c>
      <c r="V36" s="22">
        <f t="shared" si="7"/>
        <v>0</v>
      </c>
      <c r="W36" s="22">
        <f t="shared" si="7"/>
        <v>0</v>
      </c>
      <c r="X36" s="22">
        <f t="shared" si="7"/>
        <v>0</v>
      </c>
      <c r="Y36" s="22">
        <f t="shared" si="7"/>
        <v>0</v>
      </c>
      <c r="Z36" s="22">
        <f t="shared" si="7"/>
        <v>0</v>
      </c>
    </row>
    <row r="37" spans="3:26" ht="15" customHeight="1" x14ac:dyDescent="0.25">
      <c r="C37" s="30"/>
      <c r="D37" s="30"/>
      <c r="E37" s="30"/>
      <c r="F37" s="30"/>
      <c r="G37" s="30"/>
      <c r="H37" s="30"/>
      <c r="I37" s="30"/>
      <c r="J37" s="30"/>
      <c r="L37" s="30"/>
      <c r="M37" s="30"/>
      <c r="N37" s="30"/>
      <c r="P37" s="21" t="s">
        <v>30</v>
      </c>
      <c r="Q37" s="22">
        <v>0</v>
      </c>
      <c r="R37" s="22">
        <f t="shared" si="7"/>
        <v>0</v>
      </c>
      <c r="S37" s="22">
        <f t="shared" si="7"/>
        <v>0</v>
      </c>
      <c r="T37" s="22">
        <f t="shared" si="7"/>
        <v>0</v>
      </c>
      <c r="U37" s="22">
        <f t="shared" si="7"/>
        <v>0</v>
      </c>
      <c r="V37" s="22">
        <f t="shared" si="7"/>
        <v>0</v>
      </c>
      <c r="W37" s="22">
        <f t="shared" si="7"/>
        <v>0</v>
      </c>
      <c r="X37" s="22">
        <f t="shared" si="7"/>
        <v>0</v>
      </c>
      <c r="Y37" s="22">
        <f t="shared" si="7"/>
        <v>0</v>
      </c>
      <c r="Z37" s="22">
        <f t="shared" si="7"/>
        <v>0</v>
      </c>
    </row>
    <row r="38" spans="3:26" x14ac:dyDescent="0.25">
      <c r="C38" s="30"/>
      <c r="D38" s="30"/>
      <c r="E38" s="30"/>
      <c r="F38" s="30"/>
      <c r="G38" s="30"/>
      <c r="H38" s="30"/>
      <c r="I38" s="30"/>
      <c r="J38" s="30"/>
      <c r="L38" s="30"/>
      <c r="M38" s="30"/>
      <c r="N38" s="30"/>
      <c r="P38" s="21" t="s">
        <v>31</v>
      </c>
      <c r="Q38" s="36">
        <f>'Last MR Verified_FazendaAltenor'!C7</f>
        <v>99.806446522342014</v>
      </c>
      <c r="R38" s="36">
        <f t="shared" si="7"/>
        <v>99.806446522342014</v>
      </c>
      <c r="S38" s="36">
        <f t="shared" si="7"/>
        <v>99.806446522342014</v>
      </c>
      <c r="T38" s="36">
        <f t="shared" si="7"/>
        <v>99.806446522342014</v>
      </c>
      <c r="U38" s="36">
        <f t="shared" si="7"/>
        <v>99.806446522342014</v>
      </c>
      <c r="V38" s="36">
        <f t="shared" si="7"/>
        <v>99.806446522342014</v>
      </c>
      <c r="W38" s="36">
        <f t="shared" si="7"/>
        <v>99.806446522342014</v>
      </c>
      <c r="X38" s="36">
        <f t="shared" si="7"/>
        <v>99.806446522342014</v>
      </c>
      <c r="Y38" s="36">
        <f t="shared" si="7"/>
        <v>99.806446522342014</v>
      </c>
      <c r="Z38" s="36">
        <f t="shared" si="7"/>
        <v>99.806446522342014</v>
      </c>
    </row>
    <row r="39" spans="3:26" x14ac:dyDescent="0.25">
      <c r="C39" s="30"/>
      <c r="D39" s="30"/>
      <c r="E39" s="30"/>
      <c r="F39" s="30"/>
      <c r="G39" s="30"/>
      <c r="H39" s="30"/>
      <c r="I39" s="30"/>
      <c r="J39" s="30"/>
      <c r="L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31">
        <v>0</v>
      </c>
      <c r="R41" s="22">
        <f t="shared" ref="R41:Z47" si="8">$Q41</f>
        <v>0</v>
      </c>
      <c r="S41" s="22">
        <f t="shared" si="8"/>
        <v>0</v>
      </c>
      <c r="T41" s="22">
        <f t="shared" si="8"/>
        <v>0</v>
      </c>
      <c r="U41" s="22">
        <f t="shared" si="8"/>
        <v>0</v>
      </c>
      <c r="V41" s="22">
        <f t="shared" si="8"/>
        <v>0</v>
      </c>
      <c r="W41" s="22">
        <f t="shared" si="8"/>
        <v>0</v>
      </c>
      <c r="X41" s="22">
        <f t="shared" si="8"/>
        <v>0</v>
      </c>
      <c r="Y41" s="22">
        <f t="shared" si="8"/>
        <v>0</v>
      </c>
      <c r="Z41" s="22">
        <f t="shared" si="8"/>
        <v>0</v>
      </c>
    </row>
    <row r="42" spans="3:26" x14ac:dyDescent="0.25">
      <c r="L42" s="30"/>
      <c r="M42" s="30"/>
      <c r="N42" s="30"/>
      <c r="P42" s="21" t="s">
        <v>26</v>
      </c>
      <c r="Q42" s="31">
        <v>0</v>
      </c>
      <c r="R42" s="22">
        <f t="shared" si="8"/>
        <v>0</v>
      </c>
      <c r="S42" s="22">
        <f t="shared" si="8"/>
        <v>0</v>
      </c>
      <c r="T42" s="22">
        <f t="shared" si="8"/>
        <v>0</v>
      </c>
      <c r="U42" s="22">
        <f t="shared" si="8"/>
        <v>0</v>
      </c>
      <c r="V42" s="22">
        <f t="shared" si="8"/>
        <v>0</v>
      </c>
      <c r="W42" s="22">
        <f t="shared" si="8"/>
        <v>0</v>
      </c>
      <c r="X42" s="22">
        <f t="shared" si="8"/>
        <v>0</v>
      </c>
      <c r="Y42" s="22">
        <f t="shared" si="8"/>
        <v>0</v>
      </c>
      <c r="Z42" s="22">
        <f t="shared" si="8"/>
        <v>0</v>
      </c>
    </row>
    <row r="43" spans="3:26" x14ac:dyDescent="0.25">
      <c r="L43" s="30"/>
      <c r="M43" s="30"/>
      <c r="N43" s="30"/>
      <c r="P43" s="21" t="s">
        <v>39</v>
      </c>
      <c r="Q43" s="31">
        <v>0</v>
      </c>
      <c r="R43" s="22">
        <f t="shared" si="8"/>
        <v>0</v>
      </c>
      <c r="S43" s="22">
        <f t="shared" si="8"/>
        <v>0</v>
      </c>
      <c r="T43" s="22">
        <f t="shared" si="8"/>
        <v>0</v>
      </c>
      <c r="U43" s="22">
        <f t="shared" si="8"/>
        <v>0</v>
      </c>
      <c r="V43" s="22">
        <f t="shared" si="8"/>
        <v>0</v>
      </c>
      <c r="W43" s="22">
        <f t="shared" si="8"/>
        <v>0</v>
      </c>
      <c r="X43" s="22">
        <f t="shared" si="8"/>
        <v>0</v>
      </c>
      <c r="Y43" s="22">
        <f t="shared" si="8"/>
        <v>0</v>
      </c>
      <c r="Z43" s="22">
        <f t="shared" si="8"/>
        <v>0</v>
      </c>
    </row>
    <row r="44" spans="3:26" x14ac:dyDescent="0.25">
      <c r="L44" s="30"/>
      <c r="M44" s="30"/>
      <c r="N44" s="30"/>
      <c r="P44" s="21" t="s">
        <v>41</v>
      </c>
      <c r="Q44" s="31">
        <v>0</v>
      </c>
      <c r="R44" s="22">
        <f t="shared" si="8"/>
        <v>0</v>
      </c>
      <c r="S44" s="22">
        <f t="shared" si="8"/>
        <v>0</v>
      </c>
      <c r="T44" s="22">
        <f t="shared" si="8"/>
        <v>0</v>
      </c>
      <c r="U44" s="22">
        <f t="shared" si="8"/>
        <v>0</v>
      </c>
      <c r="V44" s="22">
        <f t="shared" si="8"/>
        <v>0</v>
      </c>
      <c r="W44" s="22">
        <f t="shared" si="8"/>
        <v>0</v>
      </c>
      <c r="X44" s="22">
        <f t="shared" si="8"/>
        <v>0</v>
      </c>
      <c r="Y44" s="22">
        <f t="shared" si="8"/>
        <v>0</v>
      </c>
      <c r="Z44" s="22">
        <f t="shared" si="8"/>
        <v>0</v>
      </c>
    </row>
    <row r="45" spans="3:26" x14ac:dyDescent="0.25">
      <c r="L45" s="30"/>
      <c r="M45" s="30"/>
      <c r="N45" s="30"/>
      <c r="P45" s="21" t="s">
        <v>50</v>
      </c>
      <c r="Q45" s="31">
        <v>0</v>
      </c>
      <c r="R45" s="22">
        <f t="shared" si="8"/>
        <v>0</v>
      </c>
      <c r="S45" s="22">
        <f t="shared" si="8"/>
        <v>0</v>
      </c>
      <c r="T45" s="22">
        <f t="shared" si="8"/>
        <v>0</v>
      </c>
      <c r="U45" s="22">
        <f t="shared" si="8"/>
        <v>0</v>
      </c>
      <c r="V45" s="22">
        <f t="shared" si="8"/>
        <v>0</v>
      </c>
      <c r="W45" s="22">
        <f t="shared" si="8"/>
        <v>0</v>
      </c>
      <c r="X45" s="22">
        <f t="shared" si="8"/>
        <v>0</v>
      </c>
      <c r="Y45" s="22">
        <f t="shared" si="8"/>
        <v>0</v>
      </c>
      <c r="Z45" s="22">
        <f t="shared" si="8"/>
        <v>0</v>
      </c>
    </row>
    <row r="46" spans="3:26" x14ac:dyDescent="0.25">
      <c r="P46" s="21" t="s">
        <v>30</v>
      </c>
      <c r="Q46" s="31">
        <v>0</v>
      </c>
      <c r="R46" s="22">
        <f t="shared" si="8"/>
        <v>0</v>
      </c>
      <c r="S46" s="22">
        <f t="shared" si="8"/>
        <v>0</v>
      </c>
      <c r="T46" s="22">
        <f t="shared" si="8"/>
        <v>0</v>
      </c>
      <c r="U46" s="22">
        <f t="shared" si="8"/>
        <v>0</v>
      </c>
      <c r="V46" s="22">
        <f t="shared" si="8"/>
        <v>0</v>
      </c>
      <c r="W46" s="22">
        <f t="shared" si="8"/>
        <v>0</v>
      </c>
      <c r="X46" s="22">
        <f t="shared" si="8"/>
        <v>0</v>
      </c>
      <c r="Y46" s="22">
        <f t="shared" si="8"/>
        <v>0</v>
      </c>
      <c r="Z46" s="22">
        <f t="shared" si="8"/>
        <v>0</v>
      </c>
    </row>
    <row r="47" spans="3:26" x14ac:dyDescent="0.25">
      <c r="P47" s="21" t="s">
        <v>31</v>
      </c>
      <c r="Q47" s="31">
        <f>(Q38/$M$27)*$M$23*Q56</f>
        <v>126.39967839554129</v>
      </c>
      <c r="R47" s="22">
        <f t="shared" si="8"/>
        <v>126.39967839554129</v>
      </c>
      <c r="S47" s="22">
        <f t="shared" si="8"/>
        <v>126.39967839554129</v>
      </c>
      <c r="T47" s="22">
        <f t="shared" si="8"/>
        <v>126.39967839554129</v>
      </c>
      <c r="U47" s="22">
        <f t="shared" si="8"/>
        <v>126.39967839554129</v>
      </c>
      <c r="V47" s="22">
        <f t="shared" si="8"/>
        <v>126.39967839554129</v>
      </c>
      <c r="W47" s="22">
        <f t="shared" si="8"/>
        <v>126.39967839554129</v>
      </c>
      <c r="X47" s="22">
        <f t="shared" si="8"/>
        <v>126.39967839554129</v>
      </c>
      <c r="Y47" s="22">
        <f t="shared" si="8"/>
        <v>126.39967839554129</v>
      </c>
      <c r="Z47" s="22">
        <f t="shared" si="8"/>
        <v>126.39967839554129</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73">
        <v>0</v>
      </c>
      <c r="R50" s="31">
        <f t="shared" ref="R50:Z56" si="9">$Q50</f>
        <v>0</v>
      </c>
      <c r="S50" s="31">
        <f t="shared" si="9"/>
        <v>0</v>
      </c>
      <c r="T50" s="31">
        <f t="shared" si="9"/>
        <v>0</v>
      </c>
      <c r="U50" s="31">
        <f t="shared" si="9"/>
        <v>0</v>
      </c>
      <c r="V50" s="31">
        <f t="shared" si="9"/>
        <v>0</v>
      </c>
      <c r="W50" s="31">
        <f t="shared" si="9"/>
        <v>0</v>
      </c>
      <c r="X50" s="31">
        <f t="shared" si="9"/>
        <v>0</v>
      </c>
      <c r="Y50" s="31">
        <f t="shared" si="9"/>
        <v>0</v>
      </c>
      <c r="Z50" s="31">
        <f t="shared" si="9"/>
        <v>0</v>
      </c>
    </row>
    <row r="51" spans="15:26" x14ac:dyDescent="0.25">
      <c r="O51" s="30"/>
      <c r="P51" s="21" t="s">
        <v>26</v>
      </c>
      <c r="Q51" s="73">
        <v>0</v>
      </c>
      <c r="R51" s="31">
        <f t="shared" si="9"/>
        <v>0</v>
      </c>
      <c r="S51" s="31">
        <f t="shared" si="9"/>
        <v>0</v>
      </c>
      <c r="T51" s="31">
        <f t="shared" si="9"/>
        <v>0</v>
      </c>
      <c r="U51" s="31">
        <f t="shared" si="9"/>
        <v>0</v>
      </c>
      <c r="V51" s="31">
        <f t="shared" si="9"/>
        <v>0</v>
      </c>
      <c r="W51" s="31">
        <f t="shared" si="9"/>
        <v>0</v>
      </c>
      <c r="X51" s="31">
        <f t="shared" si="9"/>
        <v>0</v>
      </c>
      <c r="Y51" s="31">
        <f t="shared" si="9"/>
        <v>0</v>
      </c>
      <c r="Z51" s="31">
        <f t="shared" si="9"/>
        <v>0</v>
      </c>
    </row>
    <row r="52" spans="15:26" x14ac:dyDescent="0.25">
      <c r="O52" s="30"/>
      <c r="P52" s="21" t="s">
        <v>39</v>
      </c>
      <c r="Q52" s="73">
        <v>0</v>
      </c>
      <c r="R52" s="31">
        <f t="shared" si="9"/>
        <v>0</v>
      </c>
      <c r="S52" s="31">
        <f t="shared" si="9"/>
        <v>0</v>
      </c>
      <c r="T52" s="31">
        <f t="shared" si="9"/>
        <v>0</v>
      </c>
      <c r="U52" s="31">
        <f t="shared" si="9"/>
        <v>0</v>
      </c>
      <c r="V52" s="31">
        <f t="shared" si="9"/>
        <v>0</v>
      </c>
      <c r="W52" s="31">
        <f t="shared" si="9"/>
        <v>0</v>
      </c>
      <c r="X52" s="31">
        <f t="shared" si="9"/>
        <v>0</v>
      </c>
      <c r="Y52" s="31">
        <f t="shared" si="9"/>
        <v>0</v>
      </c>
      <c r="Z52" s="31">
        <f t="shared" si="9"/>
        <v>0</v>
      </c>
    </row>
    <row r="53" spans="15:26" x14ac:dyDescent="0.25">
      <c r="O53" s="30"/>
      <c r="P53" s="21" t="s">
        <v>41</v>
      </c>
      <c r="Q53" s="73">
        <v>0</v>
      </c>
      <c r="R53" s="31">
        <f t="shared" si="9"/>
        <v>0</v>
      </c>
      <c r="S53" s="31">
        <f t="shared" si="9"/>
        <v>0</v>
      </c>
      <c r="T53" s="31">
        <f t="shared" si="9"/>
        <v>0</v>
      </c>
      <c r="U53" s="31">
        <f t="shared" si="9"/>
        <v>0</v>
      </c>
      <c r="V53" s="31">
        <f t="shared" si="9"/>
        <v>0</v>
      </c>
      <c r="W53" s="31">
        <f t="shared" si="9"/>
        <v>0</v>
      </c>
      <c r="X53" s="31">
        <f t="shared" si="9"/>
        <v>0</v>
      </c>
      <c r="Y53" s="31">
        <f t="shared" si="9"/>
        <v>0</v>
      </c>
      <c r="Z53" s="31">
        <f t="shared" si="9"/>
        <v>0</v>
      </c>
    </row>
    <row r="54" spans="15:26" x14ac:dyDescent="0.25">
      <c r="O54" s="30"/>
      <c r="P54" s="21" t="s">
        <v>50</v>
      </c>
      <c r="Q54" s="73">
        <v>0</v>
      </c>
      <c r="R54" s="31">
        <f t="shared" si="9"/>
        <v>0</v>
      </c>
      <c r="S54" s="31">
        <f t="shared" si="9"/>
        <v>0</v>
      </c>
      <c r="T54" s="31">
        <f t="shared" si="9"/>
        <v>0</v>
      </c>
      <c r="U54" s="31">
        <f t="shared" si="9"/>
        <v>0</v>
      </c>
      <c r="V54" s="31">
        <f t="shared" si="9"/>
        <v>0</v>
      </c>
      <c r="W54" s="31">
        <f t="shared" si="9"/>
        <v>0</v>
      </c>
      <c r="X54" s="31">
        <f t="shared" si="9"/>
        <v>0</v>
      </c>
      <c r="Y54" s="31">
        <f t="shared" si="9"/>
        <v>0</v>
      </c>
      <c r="Z54" s="31">
        <f t="shared" si="9"/>
        <v>0</v>
      </c>
    </row>
    <row r="55" spans="15:26" x14ac:dyDescent="0.25">
      <c r="O55" s="30"/>
      <c r="P55" s="21" t="s">
        <v>30</v>
      </c>
      <c r="Q55" s="73">
        <v>0</v>
      </c>
      <c r="R55" s="31">
        <f t="shared" si="9"/>
        <v>0</v>
      </c>
      <c r="S55" s="31">
        <f t="shared" si="9"/>
        <v>0</v>
      </c>
      <c r="T55" s="31">
        <f t="shared" si="9"/>
        <v>0</v>
      </c>
      <c r="U55" s="31">
        <f t="shared" si="9"/>
        <v>0</v>
      </c>
      <c r="V55" s="31">
        <f t="shared" si="9"/>
        <v>0</v>
      </c>
      <c r="W55" s="31">
        <f t="shared" si="9"/>
        <v>0</v>
      </c>
      <c r="X55" s="31">
        <f t="shared" si="9"/>
        <v>0</v>
      </c>
      <c r="Y55" s="31">
        <f t="shared" si="9"/>
        <v>0</v>
      </c>
      <c r="Z55" s="31">
        <f t="shared" si="9"/>
        <v>0</v>
      </c>
    </row>
    <row r="56" spans="15:26" x14ac:dyDescent="0.25">
      <c r="O56" s="30"/>
      <c r="P56" s="21" t="s">
        <v>31</v>
      </c>
      <c r="Q56" s="73">
        <f>'Last MR Verified_FazendaAltenor'!C8</f>
        <v>294.52279957582186</v>
      </c>
      <c r="R56" s="31">
        <f t="shared" si="9"/>
        <v>294.52279957582186</v>
      </c>
      <c r="S56" s="31">
        <f t="shared" si="9"/>
        <v>294.52279957582186</v>
      </c>
      <c r="T56" s="31">
        <f t="shared" si="9"/>
        <v>294.52279957582186</v>
      </c>
      <c r="U56" s="31">
        <f t="shared" si="9"/>
        <v>294.52279957582186</v>
      </c>
      <c r="V56" s="31">
        <f t="shared" si="9"/>
        <v>294.52279957582186</v>
      </c>
      <c r="W56" s="31">
        <f t="shared" si="9"/>
        <v>294.52279957582186</v>
      </c>
      <c r="X56" s="31">
        <f t="shared" si="9"/>
        <v>294.52279957582186</v>
      </c>
      <c r="Y56" s="31">
        <f t="shared" si="9"/>
        <v>294.52279957582186</v>
      </c>
      <c r="Z56" s="31">
        <f t="shared" si="9"/>
        <v>294.52279957582186</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B2:J2"/>
    <mergeCell ref="L2:N2"/>
    <mergeCell ref="P2:Z2"/>
    <mergeCell ref="P3:Z3"/>
    <mergeCell ref="B5:J5"/>
    <mergeCell ref="P48:Z48"/>
    <mergeCell ref="P30:Z30"/>
    <mergeCell ref="P39:Z39"/>
    <mergeCell ref="L10:N11"/>
    <mergeCell ref="L26:N26"/>
    <mergeCell ref="P12:Z12"/>
    <mergeCell ref="L18:N18"/>
    <mergeCell ref="P21:Z21"/>
    <mergeCell ref="L12:N12"/>
    <mergeCell ref="L20:N20"/>
    <mergeCell ref="L14:N14"/>
    <mergeCell ref="L16:N16"/>
    <mergeCell ref="L22:N22"/>
    <mergeCell ref="L24:N24"/>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40682-39F2-4AED-A69B-538DC979DEC9}">
  <sheetPr>
    <tabColor theme="7" tint="0.39997558519241921"/>
  </sheetPr>
  <dimension ref="B1:T49"/>
  <sheetViews>
    <sheetView showGridLines="0" topLeftCell="A10" zoomScale="80" zoomScaleNormal="80" workbookViewId="0">
      <selection activeCell="F7" sqref="F7:Q7"/>
    </sheetView>
  </sheetViews>
  <sheetFormatPr defaultRowHeight="15" x14ac:dyDescent="0.25"/>
  <cols>
    <col min="1" max="5" width="9.140625" style="44"/>
    <col min="6" max="13" width="13.140625" style="44" bestFit="1" customWidth="1"/>
    <col min="14" max="14" width="11.7109375" style="44" customWidth="1"/>
    <col min="15" max="17" width="13.140625" style="44" bestFit="1" customWidth="1"/>
    <col min="18" max="18" width="13.140625" style="44" customWidth="1"/>
    <col min="19" max="20" width="10.5703125" style="44" customWidth="1"/>
    <col min="21" max="21" width="9.140625" style="44"/>
    <col min="22" max="22" width="24.140625" style="44" customWidth="1"/>
    <col min="23" max="16384" width="9.140625" style="44"/>
  </cols>
  <sheetData>
    <row r="1" spans="2:20" ht="15.75" x14ac:dyDescent="0.25">
      <c r="B1" s="43" t="s">
        <v>86</v>
      </c>
      <c r="H1" s="44" t="s">
        <v>87</v>
      </c>
      <c r="I1" s="45" t="s">
        <v>88</v>
      </c>
      <c r="P1" s="44" t="s">
        <v>89</v>
      </c>
      <c r="Q1" s="46">
        <v>44775</v>
      </c>
      <c r="R1" s="46"/>
    </row>
    <row r="2" spans="2:20" ht="15.75" thickBot="1" x14ac:dyDescent="0.3"/>
    <row r="3" spans="2:20" x14ac:dyDescent="0.25">
      <c r="B3" s="178">
        <v>2021</v>
      </c>
      <c r="C3" s="47"/>
      <c r="D3" s="48"/>
      <c r="E3" s="48"/>
      <c r="F3" s="48"/>
      <c r="G3" s="48"/>
      <c r="H3" s="48"/>
      <c r="I3" s="48"/>
      <c r="J3" s="48"/>
      <c r="K3" s="48"/>
      <c r="L3" s="48"/>
      <c r="M3" s="48"/>
      <c r="N3" s="48"/>
      <c r="O3" s="48"/>
      <c r="P3" s="48"/>
      <c r="Q3" s="48"/>
      <c r="R3" s="48"/>
      <c r="S3" s="49"/>
      <c r="T3" s="54"/>
    </row>
    <row r="4" spans="2:20" ht="42.75" customHeight="1" x14ac:dyDescent="0.25">
      <c r="B4" s="178"/>
      <c r="C4" s="50"/>
      <c r="D4" s="139" t="s">
        <v>90</v>
      </c>
      <c r="E4" s="140"/>
      <c r="F4" s="140"/>
      <c r="G4" s="140"/>
      <c r="H4" s="140"/>
      <c r="I4" s="140"/>
      <c r="J4" s="140"/>
      <c r="K4" s="140"/>
      <c r="L4" s="140"/>
      <c r="M4" s="140"/>
      <c r="N4" s="140"/>
      <c r="O4" s="140"/>
      <c r="P4" s="140"/>
      <c r="Q4" s="141"/>
      <c r="R4" s="54"/>
      <c r="S4" s="51"/>
      <c r="T4" s="54"/>
    </row>
    <row r="5" spans="2:20" x14ac:dyDescent="0.25">
      <c r="B5" s="178"/>
      <c r="C5" s="50"/>
      <c r="D5" s="52"/>
      <c r="E5" s="52"/>
      <c r="F5" s="52"/>
      <c r="G5" s="52"/>
      <c r="H5" s="52"/>
      <c r="I5" s="52"/>
      <c r="J5" s="52"/>
      <c r="K5" s="52"/>
      <c r="L5" s="52"/>
      <c r="M5" s="52"/>
      <c r="N5" s="52"/>
      <c r="O5" s="52"/>
      <c r="P5" s="52"/>
      <c r="Q5" s="52"/>
      <c r="R5" s="54"/>
      <c r="S5" s="51"/>
      <c r="T5" s="54"/>
    </row>
    <row r="6" spans="2:20" x14ac:dyDescent="0.25">
      <c r="B6" s="178"/>
      <c r="C6" s="50"/>
      <c r="D6" s="139" t="s">
        <v>115</v>
      </c>
      <c r="E6" s="140"/>
      <c r="F6" s="140"/>
      <c r="G6" s="140"/>
      <c r="H6" s="140"/>
      <c r="I6" s="140"/>
      <c r="J6" s="140"/>
      <c r="K6" s="140"/>
      <c r="L6" s="140"/>
      <c r="M6" s="140"/>
      <c r="N6" s="140"/>
      <c r="O6" s="140"/>
      <c r="P6" s="140"/>
      <c r="Q6" s="141"/>
      <c r="R6" s="54"/>
      <c r="S6" s="51"/>
      <c r="T6" s="54"/>
    </row>
    <row r="7" spans="2:20" x14ac:dyDescent="0.25">
      <c r="B7" s="178"/>
      <c r="C7" s="50"/>
      <c r="D7" s="179">
        <v>2021</v>
      </c>
      <c r="E7" s="180"/>
      <c r="F7" s="181">
        <v>5.39949738783876E-2</v>
      </c>
      <c r="G7" s="182"/>
      <c r="H7" s="182"/>
      <c r="I7" s="182"/>
      <c r="J7" s="182"/>
      <c r="K7" s="182"/>
      <c r="L7" s="182"/>
      <c r="M7" s="182"/>
      <c r="N7" s="182"/>
      <c r="O7" s="182"/>
      <c r="P7" s="182"/>
      <c r="Q7" s="183"/>
      <c r="R7" s="54"/>
      <c r="S7" s="51"/>
      <c r="T7" s="54"/>
    </row>
    <row r="8" spans="2:20" x14ac:dyDescent="0.25">
      <c r="B8" s="178"/>
      <c r="C8" s="50"/>
      <c r="D8" s="52"/>
      <c r="E8" s="53"/>
      <c r="F8" s="53"/>
      <c r="G8" s="53"/>
      <c r="H8" s="53"/>
      <c r="I8" s="53"/>
      <c r="J8" s="53"/>
      <c r="K8" s="53"/>
      <c r="L8" s="53"/>
      <c r="M8" s="53"/>
      <c r="N8" s="53"/>
      <c r="O8" s="53"/>
      <c r="P8" s="53"/>
      <c r="Q8" s="53"/>
      <c r="R8" s="54"/>
      <c r="S8" s="51"/>
      <c r="T8" s="54"/>
    </row>
    <row r="9" spans="2:20" x14ac:dyDescent="0.25">
      <c r="B9" s="178"/>
      <c r="C9" s="50"/>
      <c r="D9" s="52"/>
      <c r="E9" s="52"/>
      <c r="F9" s="52"/>
      <c r="G9" s="52"/>
      <c r="H9" s="52"/>
      <c r="I9" s="52"/>
      <c r="J9" s="52"/>
      <c r="K9" s="52"/>
      <c r="L9" s="52"/>
      <c r="M9" s="52"/>
      <c r="N9" s="52"/>
      <c r="O9" s="52"/>
      <c r="P9" s="52"/>
      <c r="Q9" s="52"/>
      <c r="R9" s="54"/>
      <c r="S9" s="51"/>
      <c r="T9" s="54"/>
    </row>
    <row r="10" spans="2:20" ht="38.25" customHeight="1" x14ac:dyDescent="0.25">
      <c r="B10" s="178"/>
      <c r="C10" s="50"/>
      <c r="D10" s="139" t="s">
        <v>91</v>
      </c>
      <c r="E10" s="140"/>
      <c r="F10" s="140"/>
      <c r="G10" s="140"/>
      <c r="H10" s="140"/>
      <c r="I10" s="140"/>
      <c r="J10" s="140"/>
      <c r="K10" s="140"/>
      <c r="L10" s="140"/>
      <c r="M10" s="140"/>
      <c r="N10" s="140"/>
      <c r="O10" s="140"/>
      <c r="P10" s="140"/>
      <c r="Q10" s="141"/>
      <c r="R10" s="54"/>
      <c r="S10" s="51"/>
      <c r="T10" s="54"/>
    </row>
    <row r="11" spans="2:20" x14ac:dyDescent="0.25">
      <c r="B11" s="178"/>
      <c r="C11" s="50"/>
      <c r="D11" s="52"/>
      <c r="E11" s="52"/>
      <c r="F11" s="52"/>
      <c r="G11" s="52"/>
      <c r="H11" s="52"/>
      <c r="I11" s="52"/>
      <c r="J11" s="52"/>
      <c r="K11" s="52"/>
      <c r="L11" s="52"/>
      <c r="M11" s="52"/>
      <c r="N11" s="52"/>
      <c r="O11" s="52"/>
      <c r="P11" s="52"/>
      <c r="Q11" s="52"/>
      <c r="R11" s="52"/>
      <c r="S11" s="51"/>
      <c r="T11" s="54"/>
    </row>
    <row r="12" spans="2:20" x14ac:dyDescent="0.25">
      <c r="B12" s="178"/>
      <c r="C12" s="50"/>
      <c r="D12" s="139" t="s">
        <v>116</v>
      </c>
      <c r="E12" s="140"/>
      <c r="F12" s="140"/>
      <c r="G12" s="140"/>
      <c r="H12" s="140"/>
      <c r="I12" s="140"/>
      <c r="J12" s="140"/>
      <c r="K12" s="140"/>
      <c r="L12" s="140"/>
      <c r="M12" s="140"/>
      <c r="N12" s="140"/>
      <c r="O12" s="140"/>
      <c r="P12" s="140"/>
      <c r="Q12" s="141"/>
      <c r="R12" s="177" t="s">
        <v>104</v>
      </c>
      <c r="S12" s="51"/>
      <c r="T12" s="54"/>
    </row>
    <row r="13" spans="2:20" x14ac:dyDescent="0.25">
      <c r="B13" s="178"/>
      <c r="C13" s="50"/>
      <c r="D13" s="184">
        <v>2021</v>
      </c>
      <c r="E13" s="185"/>
      <c r="F13" s="139" t="s">
        <v>114</v>
      </c>
      <c r="G13" s="140"/>
      <c r="H13" s="140"/>
      <c r="I13" s="140"/>
      <c r="J13" s="140"/>
      <c r="K13" s="140"/>
      <c r="L13" s="140"/>
      <c r="M13" s="140"/>
      <c r="N13" s="140"/>
      <c r="O13" s="140"/>
      <c r="P13" s="140"/>
      <c r="Q13" s="141"/>
      <c r="R13" s="177"/>
      <c r="S13" s="51"/>
      <c r="T13" s="54"/>
    </row>
    <row r="14" spans="2:20" ht="28.5" x14ac:dyDescent="0.25">
      <c r="B14" s="178"/>
      <c r="C14" s="50"/>
      <c r="D14" s="186"/>
      <c r="E14" s="187"/>
      <c r="F14" s="14" t="s">
        <v>92</v>
      </c>
      <c r="G14" s="14" t="s">
        <v>93</v>
      </c>
      <c r="H14" s="14" t="s">
        <v>94</v>
      </c>
      <c r="I14" s="14" t="s">
        <v>95</v>
      </c>
      <c r="J14" s="14" t="s">
        <v>96</v>
      </c>
      <c r="K14" s="14" t="s">
        <v>97</v>
      </c>
      <c r="L14" s="14" t="s">
        <v>98</v>
      </c>
      <c r="M14" s="14" t="s">
        <v>99</v>
      </c>
      <c r="N14" s="14" t="s">
        <v>100</v>
      </c>
      <c r="O14" s="14" t="s">
        <v>101</v>
      </c>
      <c r="P14" s="14" t="s">
        <v>102</v>
      </c>
      <c r="Q14" s="14" t="s">
        <v>103</v>
      </c>
      <c r="R14" s="145"/>
      <c r="S14" s="51"/>
      <c r="T14" s="54"/>
    </row>
    <row r="15" spans="2:20" x14ac:dyDescent="0.25">
      <c r="B15" s="178"/>
      <c r="C15" s="50"/>
      <c r="D15" s="188"/>
      <c r="E15" s="189"/>
      <c r="F15" s="64">
        <v>0.60009999999999997</v>
      </c>
      <c r="G15" s="64">
        <v>0.60229999999999995</v>
      </c>
      <c r="H15" s="64">
        <v>0.56569999999999998</v>
      </c>
      <c r="I15" s="64">
        <v>0.55220000000000002</v>
      </c>
      <c r="J15" s="64">
        <v>0.59089999999999998</v>
      </c>
      <c r="K15" s="64">
        <v>0.59399999999999997</v>
      </c>
      <c r="L15" s="64">
        <v>0.58240000000000003</v>
      </c>
      <c r="M15" s="64">
        <v>0.62139999999999995</v>
      </c>
      <c r="N15" s="64">
        <v>0.6351</v>
      </c>
      <c r="O15" s="64">
        <v>0.62360000000000004</v>
      </c>
      <c r="P15" s="64">
        <v>0.63314114895621998</v>
      </c>
      <c r="Q15" s="64">
        <v>0.58148182068191923</v>
      </c>
      <c r="R15" s="64">
        <f>AVERAGE(F15:Q15)</f>
        <v>0.59852691413651149</v>
      </c>
      <c r="S15" s="51"/>
      <c r="T15" s="54"/>
    </row>
    <row r="16" spans="2:20" x14ac:dyDescent="0.25">
      <c r="B16" s="178"/>
      <c r="C16" s="50"/>
      <c r="D16" s="54"/>
      <c r="E16" s="54"/>
      <c r="F16" s="54"/>
      <c r="G16" s="54"/>
      <c r="H16" s="54"/>
      <c r="I16" s="54"/>
      <c r="J16" s="54"/>
      <c r="K16" s="54"/>
      <c r="L16" s="54"/>
      <c r="M16" s="54"/>
      <c r="N16" s="54"/>
      <c r="O16" s="54"/>
      <c r="P16" s="54"/>
      <c r="Q16" s="54"/>
      <c r="R16" s="54"/>
      <c r="S16" s="51"/>
      <c r="T16" s="54"/>
    </row>
    <row r="17" spans="2:20" x14ac:dyDescent="0.25">
      <c r="B17" s="178"/>
      <c r="C17" s="50"/>
      <c r="D17" s="54"/>
      <c r="E17" s="54"/>
      <c r="F17" s="54"/>
      <c r="G17" s="54"/>
      <c r="H17" s="54"/>
      <c r="I17" s="54"/>
      <c r="J17" s="54"/>
      <c r="K17" s="54"/>
      <c r="L17" s="54"/>
      <c r="M17" s="54"/>
      <c r="N17" s="54"/>
      <c r="O17" s="54"/>
      <c r="P17" s="54"/>
      <c r="Q17" s="54"/>
      <c r="R17" s="54"/>
      <c r="S17" s="51"/>
      <c r="T17" s="54"/>
    </row>
    <row r="18" spans="2:20" x14ac:dyDescent="0.25">
      <c r="B18" s="178"/>
      <c r="C18" s="50"/>
      <c r="D18" s="54"/>
      <c r="E18" s="54"/>
      <c r="F18" s="54"/>
      <c r="G18" s="54"/>
      <c r="H18" s="54"/>
      <c r="I18" s="54"/>
      <c r="J18" s="54"/>
      <c r="K18" s="54"/>
      <c r="L18" s="54"/>
      <c r="M18" s="54"/>
      <c r="N18" s="54"/>
      <c r="O18" s="54"/>
      <c r="P18" s="54"/>
      <c r="Q18" s="54"/>
      <c r="R18" s="54"/>
      <c r="S18" s="51"/>
      <c r="T18" s="54"/>
    </row>
    <row r="19" spans="2:20" x14ac:dyDescent="0.25">
      <c r="B19" s="178"/>
      <c r="C19" s="50"/>
      <c r="D19" s="54"/>
      <c r="E19" s="54"/>
      <c r="F19" s="54"/>
      <c r="G19" s="54"/>
      <c r="H19" s="54"/>
      <c r="I19" s="54"/>
      <c r="J19" s="54"/>
      <c r="K19" s="54"/>
      <c r="L19" s="54"/>
      <c r="M19" s="54"/>
      <c r="N19" s="54"/>
      <c r="O19" s="54"/>
      <c r="P19" s="54"/>
      <c r="Q19" s="54"/>
      <c r="R19" s="54"/>
      <c r="S19" s="51"/>
      <c r="T19" s="54"/>
    </row>
    <row r="20" spans="2:20" x14ac:dyDescent="0.25">
      <c r="B20" s="178"/>
      <c r="C20" s="50"/>
      <c r="D20" s="54"/>
      <c r="E20" s="54"/>
      <c r="F20" s="54"/>
      <c r="G20" s="54"/>
      <c r="H20" s="54"/>
      <c r="I20" s="54"/>
      <c r="J20" s="54"/>
      <c r="K20" s="54"/>
      <c r="L20" s="54"/>
      <c r="M20" s="54"/>
      <c r="N20" s="54"/>
      <c r="O20" s="54"/>
      <c r="P20" s="54"/>
      <c r="Q20" s="54"/>
      <c r="R20" s="54"/>
      <c r="S20" s="51"/>
      <c r="T20" s="54"/>
    </row>
    <row r="21" spans="2:20" x14ac:dyDescent="0.25">
      <c r="B21" s="178"/>
      <c r="C21" s="50"/>
      <c r="D21" s="54"/>
      <c r="E21" s="54"/>
      <c r="F21" s="54"/>
      <c r="G21" s="54"/>
      <c r="H21" s="54"/>
      <c r="I21" s="54"/>
      <c r="J21" s="54"/>
      <c r="K21" s="54"/>
      <c r="L21" s="54"/>
      <c r="M21" s="54"/>
      <c r="N21" s="54"/>
      <c r="O21" s="54"/>
      <c r="P21" s="54"/>
      <c r="Q21" s="54"/>
      <c r="R21" s="54"/>
      <c r="S21" s="51"/>
      <c r="T21" s="54"/>
    </row>
    <row r="22" spans="2:20" x14ac:dyDescent="0.25">
      <c r="B22" s="178"/>
      <c r="C22" s="50"/>
      <c r="D22" s="54"/>
      <c r="E22" s="54"/>
      <c r="F22" s="54"/>
      <c r="G22" s="54"/>
      <c r="H22" s="54"/>
      <c r="I22" s="54"/>
      <c r="J22" s="54"/>
      <c r="K22" s="54"/>
      <c r="L22" s="54"/>
      <c r="M22" s="54"/>
      <c r="N22" s="54"/>
      <c r="O22" s="54"/>
      <c r="P22" s="54"/>
      <c r="Q22" s="54"/>
      <c r="R22" s="54"/>
      <c r="S22" s="51"/>
      <c r="T22" s="54"/>
    </row>
    <row r="23" spans="2:20" x14ac:dyDescent="0.25">
      <c r="B23" s="178"/>
      <c r="C23" s="50"/>
      <c r="D23" s="54"/>
      <c r="E23" s="54"/>
      <c r="F23" s="54"/>
      <c r="G23" s="54"/>
      <c r="H23" s="54"/>
      <c r="I23" s="54"/>
      <c r="J23" s="54"/>
      <c r="K23" s="54"/>
      <c r="L23" s="54"/>
      <c r="M23" s="54"/>
      <c r="N23" s="54"/>
      <c r="O23" s="54"/>
      <c r="P23" s="54"/>
      <c r="Q23" s="54"/>
      <c r="R23" s="54"/>
      <c r="S23" s="51"/>
      <c r="T23" s="54"/>
    </row>
    <row r="24" spans="2:20" x14ac:dyDescent="0.25">
      <c r="B24" s="178"/>
      <c r="C24" s="50"/>
      <c r="D24" s="54"/>
      <c r="E24" s="54"/>
      <c r="F24" s="54"/>
      <c r="G24" s="54"/>
      <c r="H24" s="54"/>
      <c r="I24" s="54"/>
      <c r="J24" s="54"/>
      <c r="K24" s="54"/>
      <c r="L24" s="54"/>
      <c r="M24" s="54"/>
      <c r="N24" s="54"/>
      <c r="O24" s="54"/>
      <c r="P24" s="54"/>
      <c r="Q24" s="54"/>
      <c r="R24" s="54"/>
      <c r="S24" s="51"/>
      <c r="T24" s="54"/>
    </row>
    <row r="25" spans="2:20" x14ac:dyDescent="0.25">
      <c r="B25" s="178"/>
      <c r="C25" s="50"/>
      <c r="D25" s="54"/>
      <c r="E25" s="54"/>
      <c r="F25" s="54"/>
      <c r="G25" s="54"/>
      <c r="H25" s="54"/>
      <c r="I25" s="54"/>
      <c r="J25" s="54"/>
      <c r="K25" s="54"/>
      <c r="L25" s="54"/>
      <c r="M25" s="54"/>
      <c r="N25" s="54"/>
      <c r="O25" s="54"/>
      <c r="P25" s="54"/>
      <c r="Q25" s="54"/>
      <c r="R25" s="54"/>
      <c r="S25" s="51"/>
      <c r="T25" s="54"/>
    </row>
    <row r="26" spans="2:20" x14ac:dyDescent="0.25">
      <c r="B26" s="178"/>
      <c r="C26" s="50"/>
      <c r="D26" s="54"/>
      <c r="E26" s="54"/>
      <c r="F26" s="54"/>
      <c r="G26" s="54"/>
      <c r="H26" s="54"/>
      <c r="I26" s="54"/>
      <c r="J26" s="54"/>
      <c r="K26" s="54"/>
      <c r="L26" s="54"/>
      <c r="M26" s="54"/>
      <c r="N26" s="54"/>
      <c r="O26" s="54"/>
      <c r="P26" s="54"/>
      <c r="Q26" s="54"/>
      <c r="R26" s="54"/>
      <c r="S26" s="51"/>
      <c r="T26" s="54"/>
    </row>
    <row r="27" spans="2:20" x14ac:dyDescent="0.25">
      <c r="B27" s="178"/>
      <c r="C27" s="50"/>
      <c r="E27" s="54"/>
      <c r="F27" s="54"/>
      <c r="G27" s="54"/>
      <c r="H27" s="54"/>
      <c r="I27" s="54"/>
      <c r="J27" s="54"/>
      <c r="K27" s="54"/>
      <c r="L27" s="54"/>
      <c r="M27" s="54"/>
      <c r="N27" s="54"/>
      <c r="O27" s="54"/>
      <c r="P27" s="54"/>
      <c r="Q27" s="54"/>
      <c r="R27" s="54"/>
      <c r="S27" s="51"/>
      <c r="T27" s="54"/>
    </row>
    <row r="28" spans="2:20" x14ac:dyDescent="0.25">
      <c r="B28" s="178"/>
      <c r="C28" s="50"/>
      <c r="D28" s="54"/>
      <c r="E28" s="54"/>
      <c r="F28" s="54"/>
      <c r="G28" s="54"/>
      <c r="H28" s="54"/>
      <c r="I28" s="54"/>
      <c r="J28" s="54"/>
      <c r="K28" s="54"/>
      <c r="L28" s="54"/>
      <c r="M28" s="54"/>
      <c r="N28" s="54"/>
      <c r="O28" s="54"/>
      <c r="P28" s="54"/>
      <c r="Q28" s="54"/>
      <c r="R28" s="54"/>
      <c r="S28" s="51"/>
      <c r="T28" s="54"/>
    </row>
    <row r="29" spans="2:20" x14ac:dyDescent="0.25">
      <c r="B29" s="178"/>
      <c r="C29" s="50"/>
      <c r="D29" s="54"/>
      <c r="E29" s="54"/>
      <c r="F29" s="54"/>
      <c r="G29" s="54"/>
      <c r="H29" s="54"/>
      <c r="I29" s="54"/>
      <c r="J29" s="54"/>
      <c r="M29" s="54"/>
      <c r="N29" s="54"/>
      <c r="O29" s="54"/>
      <c r="P29" s="54"/>
      <c r="Q29" s="54"/>
      <c r="R29" s="54"/>
      <c r="S29" s="51"/>
      <c r="T29" s="54"/>
    </row>
    <row r="30" spans="2:20" ht="57.75" customHeight="1" x14ac:dyDescent="0.25">
      <c r="B30" s="178"/>
      <c r="C30" s="50"/>
      <c r="D30" s="54"/>
      <c r="E30" s="54"/>
      <c r="F30" s="54"/>
      <c r="G30" s="54"/>
      <c r="H30" s="54"/>
      <c r="I30" s="139" t="s">
        <v>105</v>
      </c>
      <c r="J30" s="140"/>
      <c r="K30" s="141"/>
      <c r="L30" s="64">
        <f>(F7*0.75)+(R15*0.25)</f>
        <v>0.19012795894291856</v>
      </c>
      <c r="M30" s="54"/>
      <c r="N30" s="54"/>
      <c r="O30" s="54"/>
      <c r="P30" s="54"/>
      <c r="Q30" s="54"/>
      <c r="R30" s="54"/>
      <c r="S30" s="51"/>
      <c r="T30" s="54"/>
    </row>
    <row r="31" spans="2:20" ht="15.75" thickBot="1" x14ac:dyDescent="0.3">
      <c r="B31" s="178"/>
      <c r="C31" s="55"/>
      <c r="D31" s="56"/>
      <c r="E31" s="56"/>
      <c r="F31" s="56"/>
      <c r="G31" s="56"/>
      <c r="H31" s="56"/>
      <c r="I31" s="56"/>
      <c r="J31" s="56"/>
      <c r="K31" s="56"/>
      <c r="L31" s="56"/>
      <c r="M31" s="56"/>
      <c r="N31" s="56"/>
      <c r="O31" s="56"/>
      <c r="P31" s="56"/>
      <c r="Q31" s="56"/>
      <c r="R31" s="56"/>
      <c r="S31" s="57"/>
      <c r="T31" s="54"/>
    </row>
    <row r="33" spans="2:20" x14ac:dyDescent="0.25">
      <c r="B33" s="35"/>
      <c r="C33" s="35"/>
      <c r="D33" s="35"/>
      <c r="E33" s="35"/>
      <c r="F33" s="35"/>
      <c r="G33" s="35"/>
      <c r="H33" s="35"/>
      <c r="I33" s="35"/>
      <c r="J33" s="35"/>
      <c r="K33" s="35"/>
      <c r="L33" s="35"/>
      <c r="M33" s="35"/>
      <c r="N33" s="35"/>
      <c r="O33" s="35"/>
      <c r="P33" s="35"/>
      <c r="Q33" s="35"/>
      <c r="R33" s="35"/>
      <c r="S33" s="35"/>
      <c r="T33" s="35"/>
    </row>
    <row r="34" spans="2:20" x14ac:dyDescent="0.25">
      <c r="B34" s="35"/>
      <c r="C34" s="35"/>
      <c r="D34" s="35"/>
      <c r="E34" s="35"/>
      <c r="F34" s="35"/>
      <c r="G34" s="35"/>
      <c r="H34" s="35"/>
      <c r="I34" s="35"/>
      <c r="J34" s="35"/>
      <c r="K34" s="35"/>
      <c r="L34" s="35"/>
      <c r="M34" s="35"/>
      <c r="N34" s="35"/>
      <c r="O34" s="35"/>
      <c r="P34" s="35"/>
      <c r="Q34" s="35"/>
      <c r="R34" s="35"/>
      <c r="S34" s="35"/>
      <c r="T34" s="35"/>
    </row>
    <row r="35" spans="2:20" x14ac:dyDescent="0.25">
      <c r="B35" s="35"/>
      <c r="C35" s="35"/>
      <c r="D35" s="35"/>
      <c r="E35" s="35"/>
      <c r="F35" s="35"/>
      <c r="G35" s="35"/>
      <c r="H35" s="35"/>
      <c r="I35" s="35"/>
      <c r="J35" s="35"/>
      <c r="K35" s="35"/>
      <c r="L35" s="35"/>
      <c r="M35" s="35"/>
      <c r="N35" s="35"/>
      <c r="O35" s="35"/>
      <c r="P35" s="35"/>
      <c r="Q35" s="35"/>
      <c r="R35" s="35"/>
      <c r="S35" s="35"/>
      <c r="T35" s="35"/>
    </row>
    <row r="36" spans="2:20" x14ac:dyDescent="0.25">
      <c r="B36" s="35"/>
      <c r="C36" s="35"/>
      <c r="D36" s="35"/>
      <c r="E36" s="35"/>
      <c r="F36" s="35"/>
      <c r="G36" s="35"/>
      <c r="H36" s="35"/>
      <c r="I36" s="35"/>
      <c r="J36" s="35"/>
      <c r="K36" s="35"/>
      <c r="L36" s="35"/>
      <c r="M36" s="35"/>
      <c r="N36" s="35"/>
      <c r="O36" s="35"/>
      <c r="P36" s="35"/>
      <c r="Q36" s="35"/>
      <c r="R36" s="35"/>
      <c r="S36" s="35"/>
      <c r="T36" s="35"/>
    </row>
    <row r="37" spans="2:20" x14ac:dyDescent="0.25">
      <c r="B37" s="35"/>
      <c r="C37" s="35"/>
      <c r="D37" s="35"/>
      <c r="E37" s="35"/>
      <c r="F37" s="35"/>
      <c r="G37" s="35"/>
      <c r="H37" s="35"/>
      <c r="I37" s="35"/>
      <c r="J37" s="35"/>
      <c r="K37" s="35"/>
      <c r="L37" s="35"/>
      <c r="M37" s="35"/>
      <c r="N37" s="35"/>
      <c r="O37" s="35"/>
      <c r="P37" s="35"/>
      <c r="Q37" s="35"/>
      <c r="R37" s="35"/>
      <c r="S37" s="35"/>
      <c r="T37" s="35"/>
    </row>
    <row r="38" spans="2:20" x14ac:dyDescent="0.25">
      <c r="B38" s="35"/>
      <c r="C38" s="35"/>
      <c r="D38" s="35"/>
      <c r="E38" s="35"/>
      <c r="F38" s="35"/>
      <c r="G38" s="35"/>
      <c r="H38" s="35"/>
      <c r="I38" s="35"/>
      <c r="J38" s="35"/>
      <c r="K38" s="35"/>
      <c r="L38" s="35"/>
      <c r="M38" s="35"/>
      <c r="N38" s="35"/>
      <c r="O38" s="35"/>
      <c r="P38" s="35"/>
      <c r="Q38" s="35"/>
      <c r="R38" s="35"/>
      <c r="S38" s="35"/>
      <c r="T38" s="35"/>
    </row>
    <row r="39" spans="2:20" x14ac:dyDescent="0.25">
      <c r="B39" s="35"/>
      <c r="C39" s="35"/>
      <c r="D39" s="35"/>
      <c r="E39" s="35"/>
      <c r="F39" s="35"/>
      <c r="G39" s="35"/>
      <c r="H39" s="35"/>
      <c r="I39" s="35"/>
      <c r="J39" s="35"/>
      <c r="K39" s="35"/>
      <c r="L39" s="35"/>
      <c r="M39" s="35"/>
      <c r="N39" s="35"/>
      <c r="O39" s="35"/>
      <c r="P39" s="35"/>
      <c r="Q39" s="35"/>
      <c r="R39" s="35"/>
      <c r="S39" s="35"/>
      <c r="T39" s="35"/>
    </row>
    <row r="40" spans="2:20" x14ac:dyDescent="0.25">
      <c r="B40" s="35"/>
      <c r="C40" s="35"/>
      <c r="D40" s="35"/>
      <c r="E40" s="35"/>
      <c r="F40" s="35"/>
      <c r="G40" s="35"/>
      <c r="H40" s="35"/>
      <c r="I40" s="35"/>
      <c r="J40" s="35"/>
      <c r="K40" s="35"/>
      <c r="L40" s="35"/>
      <c r="M40" s="35"/>
      <c r="N40" s="35"/>
      <c r="O40" s="35"/>
      <c r="P40" s="35"/>
      <c r="Q40" s="35"/>
      <c r="R40" s="35"/>
      <c r="S40" s="35"/>
      <c r="T40" s="35"/>
    </row>
    <row r="41" spans="2:20" x14ac:dyDescent="0.25">
      <c r="B41" s="35"/>
      <c r="C41" s="35"/>
      <c r="D41" s="35"/>
      <c r="E41" s="35"/>
      <c r="F41" s="35"/>
      <c r="G41" s="35"/>
      <c r="H41" s="35"/>
      <c r="I41" s="35"/>
      <c r="J41" s="35"/>
      <c r="K41" s="35"/>
      <c r="L41" s="35"/>
      <c r="M41" s="35"/>
      <c r="N41" s="35"/>
      <c r="O41" s="35"/>
      <c r="P41" s="35"/>
      <c r="Q41" s="35"/>
      <c r="R41" s="35"/>
      <c r="S41" s="35"/>
      <c r="T41" s="35"/>
    </row>
    <row r="42" spans="2:20" x14ac:dyDescent="0.25">
      <c r="B42" s="35"/>
      <c r="C42" s="35"/>
      <c r="D42" s="35"/>
      <c r="E42" s="35"/>
      <c r="F42" s="35"/>
      <c r="G42" s="35"/>
      <c r="H42" s="35"/>
      <c r="I42" s="35"/>
      <c r="J42" s="35"/>
      <c r="K42" s="35"/>
      <c r="L42" s="35"/>
      <c r="M42" s="35"/>
      <c r="N42" s="35"/>
      <c r="O42" s="35"/>
      <c r="P42" s="35"/>
      <c r="Q42" s="35"/>
      <c r="R42" s="35"/>
      <c r="S42" s="35"/>
      <c r="T42" s="35"/>
    </row>
    <row r="43" spans="2:20" x14ac:dyDescent="0.25">
      <c r="B43" s="35"/>
      <c r="C43" s="35"/>
      <c r="D43" s="35"/>
      <c r="E43" s="35"/>
      <c r="F43" s="35"/>
      <c r="G43" s="35"/>
      <c r="H43" s="35"/>
      <c r="I43" s="35"/>
      <c r="J43" s="35"/>
      <c r="K43" s="35"/>
      <c r="L43" s="35"/>
      <c r="M43" s="35"/>
      <c r="N43" s="35"/>
      <c r="O43" s="35"/>
      <c r="P43" s="35"/>
      <c r="Q43" s="35"/>
      <c r="R43" s="35"/>
      <c r="S43" s="35"/>
      <c r="T43" s="35"/>
    </row>
    <row r="44" spans="2:20" x14ac:dyDescent="0.25">
      <c r="B44" s="35"/>
      <c r="C44" s="35"/>
      <c r="D44" s="35"/>
      <c r="E44" s="35"/>
      <c r="F44" s="35"/>
      <c r="G44" s="35"/>
      <c r="H44" s="35"/>
      <c r="I44" s="35"/>
      <c r="J44" s="35"/>
      <c r="K44" s="35"/>
      <c r="L44" s="35"/>
      <c r="M44" s="35"/>
      <c r="N44" s="35"/>
      <c r="O44" s="35"/>
      <c r="P44" s="35"/>
      <c r="Q44" s="35"/>
      <c r="R44" s="35"/>
      <c r="S44" s="35"/>
      <c r="T44" s="35"/>
    </row>
    <row r="45" spans="2:20" x14ac:dyDescent="0.25">
      <c r="B45" s="35"/>
      <c r="C45" s="35"/>
      <c r="D45" s="35"/>
      <c r="E45" s="35"/>
      <c r="F45" s="35"/>
      <c r="G45" s="35"/>
      <c r="H45" s="35"/>
      <c r="I45" s="35"/>
      <c r="J45" s="35"/>
      <c r="K45" s="35"/>
      <c r="L45" s="35"/>
      <c r="M45" s="35"/>
      <c r="N45" s="35"/>
      <c r="O45" s="35"/>
      <c r="P45" s="35"/>
      <c r="Q45" s="35"/>
      <c r="R45" s="35"/>
      <c r="S45" s="35"/>
      <c r="T45" s="35"/>
    </row>
    <row r="46" spans="2:20" x14ac:dyDescent="0.25">
      <c r="B46" s="35"/>
      <c r="C46" s="35"/>
      <c r="D46" s="35"/>
      <c r="E46" s="35"/>
      <c r="F46" s="35"/>
      <c r="G46" s="35"/>
      <c r="H46" s="35"/>
      <c r="I46" s="35"/>
      <c r="J46" s="35"/>
      <c r="K46" s="35"/>
      <c r="L46" s="35"/>
      <c r="M46" s="35"/>
      <c r="N46" s="35"/>
      <c r="O46" s="35"/>
      <c r="P46" s="35"/>
      <c r="Q46" s="35"/>
      <c r="R46" s="35"/>
      <c r="S46" s="35"/>
      <c r="T46" s="35"/>
    </row>
    <row r="47" spans="2:20" x14ac:dyDescent="0.25">
      <c r="B47" s="35"/>
      <c r="C47" s="35"/>
      <c r="D47" s="35"/>
      <c r="E47" s="35"/>
      <c r="F47" s="35"/>
      <c r="G47" s="35"/>
      <c r="H47" s="35"/>
      <c r="I47" s="35"/>
      <c r="J47" s="35"/>
      <c r="K47" s="35"/>
      <c r="L47" s="35"/>
      <c r="M47" s="35"/>
      <c r="N47" s="35"/>
      <c r="O47" s="35"/>
      <c r="P47" s="35"/>
      <c r="Q47" s="35"/>
      <c r="R47" s="35"/>
      <c r="S47" s="35"/>
      <c r="T47" s="35"/>
    </row>
    <row r="48" spans="2:20" x14ac:dyDescent="0.25">
      <c r="B48" s="35"/>
      <c r="C48" s="35"/>
      <c r="D48" s="35"/>
      <c r="E48" s="35"/>
      <c r="F48" s="35"/>
      <c r="G48" s="35"/>
      <c r="H48" s="35"/>
      <c r="I48" s="35"/>
      <c r="J48" s="35"/>
      <c r="K48" s="35"/>
      <c r="L48" s="35"/>
      <c r="M48" s="35"/>
      <c r="N48" s="35"/>
      <c r="O48" s="35"/>
      <c r="P48" s="35"/>
      <c r="Q48" s="35"/>
      <c r="R48" s="35"/>
      <c r="S48" s="35"/>
      <c r="T48" s="35"/>
    </row>
    <row r="49" spans="2:20" x14ac:dyDescent="0.25">
      <c r="B49" s="35"/>
      <c r="C49" s="35"/>
      <c r="D49" s="35"/>
      <c r="E49" s="35"/>
      <c r="F49" s="35"/>
      <c r="G49" s="35"/>
      <c r="H49" s="35"/>
      <c r="I49" s="35"/>
      <c r="J49" s="35"/>
      <c r="K49" s="35"/>
      <c r="L49" s="35"/>
      <c r="M49" s="35"/>
      <c r="N49" s="35"/>
      <c r="O49" s="35"/>
      <c r="P49" s="35"/>
      <c r="Q49" s="35"/>
      <c r="R49" s="35"/>
      <c r="S49" s="35"/>
      <c r="T49" s="35"/>
    </row>
  </sheetData>
  <mergeCells count="11">
    <mergeCell ref="R12:R14"/>
    <mergeCell ref="B3:B31"/>
    <mergeCell ref="D4:Q4"/>
    <mergeCell ref="D6:Q6"/>
    <mergeCell ref="D7:E7"/>
    <mergeCell ref="F7:Q7"/>
    <mergeCell ref="D10:Q10"/>
    <mergeCell ref="D12:Q12"/>
    <mergeCell ref="D13:E15"/>
    <mergeCell ref="F13:Q13"/>
    <mergeCell ref="I30:K30"/>
  </mergeCells>
  <hyperlinks>
    <hyperlink ref="I1" r:id="rId1" location=":~:text=Fatores%20de%20emiss%C3%A3o%20MDL%2FSIN,-Info&amp;text=Ele%20calcula%20a%20m%C3%A9dia%20das,que%20estejam%20funcionando%20na%20margem" xr:uid="{82DC6C72-B01A-45B9-8FA1-8807AE5CCEC7}"/>
  </hyperlinks>
  <pageMargins left="0.511811024" right="0.511811024" top="0.78740157499999996" bottom="0.78740157499999996" header="0.31496062000000002" footer="0.31496062000000002"/>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C09B8-C4AE-42DE-B216-A3986A5CD77D}">
  <sheetPr>
    <tabColor theme="4" tint="0.39997558519241921"/>
  </sheetPr>
  <dimension ref="A1:BE34"/>
  <sheetViews>
    <sheetView showGridLines="0" zoomScale="80" zoomScaleNormal="80" workbookViewId="0">
      <selection activeCell="L16" sqref="L16"/>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ht="15.75" x14ac:dyDescent="0.2">
      <c r="B4" s="157" t="s">
        <v>56</v>
      </c>
      <c r="C4" s="157"/>
      <c r="D4" s="157"/>
      <c r="E4" s="157"/>
      <c r="F4" s="157"/>
      <c r="G4" s="157"/>
      <c r="H4" s="157"/>
      <c r="I4" s="35"/>
      <c r="J4" s="21" t="s">
        <v>26</v>
      </c>
      <c r="K4" s="36">
        <v>11</v>
      </c>
      <c r="L4" s="36">
        <v>0</v>
      </c>
      <c r="M4" s="36">
        <v>0</v>
      </c>
      <c r="N4" s="36">
        <v>0</v>
      </c>
      <c r="O4" s="36">
        <v>0</v>
      </c>
      <c r="P4" s="36">
        <v>0</v>
      </c>
      <c r="Q4" s="36">
        <v>0</v>
      </c>
      <c r="R4" s="36">
        <v>0</v>
      </c>
      <c r="S4" s="36">
        <v>0</v>
      </c>
      <c r="T4" s="36">
        <v>0</v>
      </c>
      <c r="U4" s="36">
        <v>0</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23" t="s">
        <v>2</v>
      </c>
      <c r="C5" s="23" t="s">
        <v>57</v>
      </c>
      <c r="D5" s="23" t="s">
        <v>58</v>
      </c>
      <c r="E5" s="23" t="s">
        <v>59</v>
      </c>
      <c r="F5" s="23" t="s">
        <v>60</v>
      </c>
      <c r="G5" s="23" t="s">
        <v>61</v>
      </c>
      <c r="H5" s="23" t="s">
        <v>62</v>
      </c>
      <c r="I5" s="35"/>
      <c r="J5" s="21" t="s">
        <v>39</v>
      </c>
      <c r="K5" s="36">
        <v>18</v>
      </c>
      <c r="L5" s="36">
        <v>0</v>
      </c>
      <c r="M5" s="36">
        <v>0</v>
      </c>
      <c r="N5" s="36">
        <v>0</v>
      </c>
      <c r="O5" s="36">
        <v>0</v>
      </c>
      <c r="P5" s="36">
        <v>0</v>
      </c>
      <c r="Q5" s="36">
        <v>0</v>
      </c>
      <c r="R5" s="36">
        <v>0</v>
      </c>
      <c r="S5" s="36">
        <v>0</v>
      </c>
      <c r="T5" s="36">
        <v>0</v>
      </c>
      <c r="U5" s="36">
        <v>0</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x14ac:dyDescent="0.2">
      <c r="B6" s="24">
        <v>2021</v>
      </c>
      <c r="C6" s="36">
        <f>L16</f>
        <v>5.7494725181849242</v>
      </c>
      <c r="D6" s="37">
        <v>0</v>
      </c>
      <c r="E6" s="36">
        <f>L19</f>
        <v>141.12007461030487</v>
      </c>
      <c r="F6" s="41">
        <f>L23</f>
        <v>133.56007061332423</v>
      </c>
      <c r="G6" s="37">
        <v>0</v>
      </c>
      <c r="H6" s="36">
        <f>ROUNDDOWN(SUM(C6:G6),)</f>
        <v>280</v>
      </c>
      <c r="I6" s="35"/>
      <c r="J6" s="21" t="s">
        <v>41</v>
      </c>
      <c r="K6" s="36">
        <v>6</v>
      </c>
      <c r="L6" s="36">
        <v>0</v>
      </c>
      <c r="M6" s="36">
        <v>0</v>
      </c>
      <c r="N6" s="36">
        <v>0</v>
      </c>
      <c r="O6" s="36">
        <v>0</v>
      </c>
      <c r="P6" s="36">
        <v>0</v>
      </c>
      <c r="Q6" s="36">
        <v>0</v>
      </c>
      <c r="R6" s="36">
        <v>0</v>
      </c>
      <c r="S6" s="36">
        <v>0</v>
      </c>
      <c r="T6" s="36">
        <v>0</v>
      </c>
      <c r="U6" s="36">
        <v>0</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5">
      <c r="A7" s="39"/>
      <c r="B7" s="24">
        <v>2022</v>
      </c>
      <c r="C7" s="36">
        <f>M16</f>
        <v>5.7494725181849242</v>
      </c>
      <c r="D7" s="37">
        <v>0</v>
      </c>
      <c r="E7" s="36">
        <f>M19</f>
        <v>141.12007461030487</v>
      </c>
      <c r="F7" s="41">
        <f>M23</f>
        <v>133.56007061332423</v>
      </c>
      <c r="G7" s="37">
        <v>0</v>
      </c>
      <c r="H7" s="36">
        <f t="shared" ref="H7:H15" si="0">ROUNDDOWN(SUM(C7:G7),)</f>
        <v>280</v>
      </c>
      <c r="J7" s="21" t="s">
        <v>29</v>
      </c>
      <c r="K7" s="36">
        <f>K8</f>
        <v>0.95</v>
      </c>
      <c r="L7" s="36">
        <v>0</v>
      </c>
      <c r="M7" s="36">
        <v>0</v>
      </c>
      <c r="N7" s="36">
        <v>0</v>
      </c>
      <c r="O7" s="36">
        <v>0</v>
      </c>
      <c r="P7" s="36">
        <v>0</v>
      </c>
      <c r="Q7" s="36">
        <v>0</v>
      </c>
      <c r="R7" s="36">
        <v>0</v>
      </c>
      <c r="S7" s="36">
        <v>0</v>
      </c>
      <c r="T7" s="36">
        <v>0</v>
      </c>
      <c r="U7" s="36">
        <v>0</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2023</v>
      </c>
      <c r="C8" s="36">
        <f>N16</f>
        <v>5.7494725181849242</v>
      </c>
      <c r="D8" s="37">
        <v>0</v>
      </c>
      <c r="E8" s="36">
        <f>N19</f>
        <v>141.12007461030487</v>
      </c>
      <c r="F8" s="41">
        <f>N23</f>
        <v>133.56007061332423</v>
      </c>
      <c r="G8" s="37">
        <v>0</v>
      </c>
      <c r="H8" s="36">
        <f t="shared" si="0"/>
        <v>280</v>
      </c>
      <c r="J8" s="21" t="s">
        <v>44</v>
      </c>
      <c r="K8" s="36">
        <v>0.95</v>
      </c>
      <c r="L8" s="36">
        <v>0</v>
      </c>
      <c r="M8" s="36">
        <v>0</v>
      </c>
      <c r="N8" s="36">
        <v>0</v>
      </c>
      <c r="O8" s="36">
        <v>0</v>
      </c>
      <c r="P8" s="36">
        <v>0</v>
      </c>
      <c r="Q8" s="36">
        <v>0</v>
      </c>
      <c r="R8" s="36">
        <v>0</v>
      </c>
      <c r="S8" s="36">
        <v>0</v>
      </c>
      <c r="T8" s="36">
        <v>0</v>
      </c>
      <c r="U8" s="36">
        <v>0</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2024</v>
      </c>
      <c r="C9" s="36">
        <f>O16</f>
        <v>5.7494725181849242</v>
      </c>
      <c r="D9" s="37">
        <v>0</v>
      </c>
      <c r="E9" s="36">
        <f>O19</f>
        <v>141.12007461030487</v>
      </c>
      <c r="F9" s="41">
        <f>O23</f>
        <v>133.56007061332423</v>
      </c>
      <c r="G9" s="37">
        <v>0</v>
      </c>
      <c r="H9" s="36">
        <f t="shared" si="0"/>
        <v>280</v>
      </c>
      <c r="J9" s="21" t="s">
        <v>31</v>
      </c>
      <c r="K9" s="36">
        <v>4.9000000000000004</v>
      </c>
      <c r="L9" s="36">
        <f>'BEy_Fazenda Altenor'!Q29*'BEy_Fazenda Altenor'!Q56*K9</f>
        <v>2520001.3323268723</v>
      </c>
      <c r="M9" s="36">
        <f>L9</f>
        <v>2520001.3323268723</v>
      </c>
      <c r="N9" s="36">
        <f t="shared" ref="N9:U9" si="1">M9</f>
        <v>2520001.3323268723</v>
      </c>
      <c r="O9" s="36">
        <f t="shared" si="1"/>
        <v>2520001.3323268723</v>
      </c>
      <c r="P9" s="36">
        <f t="shared" si="1"/>
        <v>2520001.3323268723</v>
      </c>
      <c r="Q9" s="36">
        <f t="shared" si="1"/>
        <v>2520001.3323268723</v>
      </c>
      <c r="R9" s="36">
        <f t="shared" si="1"/>
        <v>2520001.3323268723</v>
      </c>
      <c r="S9" s="36">
        <f t="shared" si="1"/>
        <v>2520001.3323268723</v>
      </c>
      <c r="T9" s="36">
        <f t="shared" si="1"/>
        <v>2520001.3323268723</v>
      </c>
      <c r="U9" s="36">
        <f t="shared" si="1"/>
        <v>2520001.3323268723</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
      <c r="B10" s="24">
        <v>2025</v>
      </c>
      <c r="C10" s="36">
        <f>P16</f>
        <v>5.7494725181849242</v>
      </c>
      <c r="D10" s="37">
        <v>0</v>
      </c>
      <c r="E10" s="36">
        <f>P19</f>
        <v>141.12007461030487</v>
      </c>
      <c r="F10" s="41">
        <f>P23</f>
        <v>133.56007061332423</v>
      </c>
      <c r="G10" s="37">
        <v>0</v>
      </c>
      <c r="H10" s="36">
        <f t="shared" si="0"/>
        <v>280</v>
      </c>
      <c r="J10" s="40" t="s">
        <v>63</v>
      </c>
      <c r="K10" s="21" t="s">
        <v>64</v>
      </c>
      <c r="L10" s="36">
        <f t="shared" ref="L10:U10" si="2">SUM(L4:L9)/1000</f>
        <v>2520.0013323268722</v>
      </c>
      <c r="M10" s="36">
        <f t="shared" si="2"/>
        <v>2520.0013323268722</v>
      </c>
      <c r="N10" s="36">
        <f t="shared" si="2"/>
        <v>2520.0013323268722</v>
      </c>
      <c r="O10" s="36">
        <f t="shared" si="2"/>
        <v>2520.0013323268722</v>
      </c>
      <c r="P10" s="36">
        <f t="shared" si="2"/>
        <v>2520.0013323268722</v>
      </c>
      <c r="Q10" s="36">
        <f t="shared" si="2"/>
        <v>2520.0013323268722</v>
      </c>
      <c r="R10" s="36">
        <f t="shared" si="2"/>
        <v>2520.0013323268722</v>
      </c>
      <c r="S10" s="36">
        <f t="shared" si="2"/>
        <v>2520.0013323268722</v>
      </c>
      <c r="T10" s="36">
        <f t="shared" si="2"/>
        <v>2520.0013323268722</v>
      </c>
      <c r="U10" s="36">
        <f t="shared" si="2"/>
        <v>2520.0013323268722</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ht="19.5" customHeight="1" x14ac:dyDescent="0.2">
      <c r="B11" s="24">
        <v>2026</v>
      </c>
      <c r="C11" s="36">
        <f>S16</f>
        <v>5.7494725181849242</v>
      </c>
      <c r="D11" s="37">
        <v>0</v>
      </c>
      <c r="E11" s="36">
        <f>Q19</f>
        <v>141.12007461030487</v>
      </c>
      <c r="F11" s="41">
        <f>Q23</f>
        <v>133.56007061332423</v>
      </c>
      <c r="G11" s="37">
        <v>0</v>
      </c>
      <c r="H11" s="36">
        <f t="shared" si="0"/>
        <v>280</v>
      </c>
      <c r="J11" s="152" t="s">
        <v>65</v>
      </c>
      <c r="K11" s="153"/>
      <c r="L11" s="153"/>
      <c r="M11" s="153"/>
      <c r="N11" s="153"/>
      <c r="O11" s="153"/>
      <c r="P11" s="153"/>
      <c r="Q11" s="153"/>
      <c r="R11" s="153"/>
      <c r="S11" s="153"/>
      <c r="T11" s="153"/>
      <c r="U11" s="153"/>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2027</v>
      </c>
      <c r="C12" s="36">
        <f>T16</f>
        <v>5.7494725181849242</v>
      </c>
      <c r="D12" s="37">
        <v>0</v>
      </c>
      <c r="E12" s="36">
        <f>T19</f>
        <v>141.12007461030487</v>
      </c>
      <c r="F12" s="41">
        <f>R23</f>
        <v>133.56007061332423</v>
      </c>
      <c r="G12" s="37">
        <v>0</v>
      </c>
      <c r="H12" s="36">
        <f t="shared" si="0"/>
        <v>280</v>
      </c>
      <c r="J12" s="21" t="s">
        <v>66</v>
      </c>
      <c r="K12" s="21" t="s">
        <v>67</v>
      </c>
      <c r="L12" s="36">
        <v>0.01</v>
      </c>
      <c r="M12" s="36">
        <v>0.01</v>
      </c>
      <c r="N12" s="36">
        <v>0.01</v>
      </c>
      <c r="O12" s="36">
        <v>0.01</v>
      </c>
      <c r="P12" s="36">
        <v>0.01</v>
      </c>
      <c r="Q12" s="36">
        <v>0.01</v>
      </c>
      <c r="R12" s="36">
        <v>0.01</v>
      </c>
      <c r="S12" s="36">
        <v>0.01</v>
      </c>
      <c r="T12" s="36">
        <v>0.01</v>
      </c>
      <c r="U12" s="36">
        <v>0.01</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5.75" x14ac:dyDescent="0.2">
      <c r="B13" s="24">
        <v>2028</v>
      </c>
      <c r="C13" s="36">
        <f>U16</f>
        <v>5.7494725181849242</v>
      </c>
      <c r="D13" s="37">
        <v>0</v>
      </c>
      <c r="E13" s="36">
        <f>R19</f>
        <v>141.12007461030487</v>
      </c>
      <c r="F13" s="41">
        <f>S23</f>
        <v>133.56007061332423</v>
      </c>
      <c r="G13" s="37">
        <v>0</v>
      </c>
      <c r="H13" s="36">
        <f t="shared" si="0"/>
        <v>280</v>
      </c>
      <c r="J13" s="21" t="s">
        <v>68</v>
      </c>
      <c r="K13" s="21" t="s">
        <v>69</v>
      </c>
      <c r="L13" s="36">
        <f t="shared" ref="L13:U13" si="3">L12*L10</f>
        <v>25.200013323268724</v>
      </c>
      <c r="M13" s="36">
        <f t="shared" si="3"/>
        <v>25.200013323268724</v>
      </c>
      <c r="N13" s="36">
        <f t="shared" si="3"/>
        <v>25.200013323268724</v>
      </c>
      <c r="O13" s="36">
        <f t="shared" si="3"/>
        <v>25.200013323268724</v>
      </c>
      <c r="P13" s="36">
        <f t="shared" si="3"/>
        <v>25.200013323268724</v>
      </c>
      <c r="Q13" s="36">
        <f t="shared" si="3"/>
        <v>25.200013323268724</v>
      </c>
      <c r="R13" s="36">
        <f t="shared" si="3"/>
        <v>25.200013323268724</v>
      </c>
      <c r="S13" s="36">
        <f t="shared" si="3"/>
        <v>25.200013323268724</v>
      </c>
      <c r="T13" s="36">
        <f t="shared" si="3"/>
        <v>25.200013323268724</v>
      </c>
      <c r="U13" s="36">
        <f t="shared" si="3"/>
        <v>25.200013323268724</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2029</v>
      </c>
      <c r="C14" s="36">
        <f>T16</f>
        <v>5.7494725181849242</v>
      </c>
      <c r="D14" s="37">
        <v>0</v>
      </c>
      <c r="E14" s="36">
        <f>S19</f>
        <v>141.12007461030487</v>
      </c>
      <c r="F14" s="41">
        <f>T23</f>
        <v>133.56007061332423</v>
      </c>
      <c r="G14" s="37">
        <v>0</v>
      </c>
      <c r="H14" s="36">
        <f t="shared" si="0"/>
        <v>280</v>
      </c>
      <c r="J14" s="21" t="s">
        <v>70</v>
      </c>
      <c r="K14" s="21" t="s">
        <v>71</v>
      </c>
      <c r="L14" s="36">
        <f>'Emission Factor of the Grid'!$L$30</f>
        <v>0.19012795894291856</v>
      </c>
      <c r="M14" s="36">
        <f>'Emission Factor of the Grid'!$L$30</f>
        <v>0.19012795894291856</v>
      </c>
      <c r="N14" s="36">
        <f>'Emission Factor of the Grid'!$L$30</f>
        <v>0.19012795894291856</v>
      </c>
      <c r="O14" s="36">
        <f>'Emission Factor of the Grid'!$L$30</f>
        <v>0.19012795894291856</v>
      </c>
      <c r="P14" s="36">
        <f>'Emission Factor of the Grid'!$L$30</f>
        <v>0.19012795894291856</v>
      </c>
      <c r="Q14" s="36">
        <f>'Emission Factor of the Grid'!$L$30</f>
        <v>0.19012795894291856</v>
      </c>
      <c r="R14" s="36">
        <f>'Emission Factor of the Grid'!$L$30</f>
        <v>0.19012795894291856</v>
      </c>
      <c r="S14" s="36">
        <f>'Emission Factor of the Grid'!$L$30</f>
        <v>0.19012795894291856</v>
      </c>
      <c r="T14" s="36">
        <f>'Emission Factor of the Grid'!$L$30</f>
        <v>0.19012795894291856</v>
      </c>
      <c r="U14" s="36">
        <f>'Emission Factor of the Grid'!$L$30</f>
        <v>0.19012795894291856</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2030</v>
      </c>
      <c r="C15" s="36">
        <f>U16</f>
        <v>5.7494725181849242</v>
      </c>
      <c r="D15" s="37">
        <v>0</v>
      </c>
      <c r="E15" s="36">
        <f>T19</f>
        <v>141.12007461030487</v>
      </c>
      <c r="F15" s="41">
        <f>U23</f>
        <v>133.56007061332423</v>
      </c>
      <c r="G15" s="37">
        <v>0</v>
      </c>
      <c r="H15" s="36">
        <f t="shared" si="0"/>
        <v>280</v>
      </c>
      <c r="J15" s="21" t="s">
        <v>72</v>
      </c>
      <c r="K15" s="21" t="s">
        <v>73</v>
      </c>
      <c r="L15" s="70">
        <v>0.2</v>
      </c>
      <c r="M15" s="70">
        <v>0.2</v>
      </c>
      <c r="N15" s="70">
        <v>0.2</v>
      </c>
      <c r="O15" s="70">
        <v>0.2</v>
      </c>
      <c r="P15" s="70">
        <v>0.2</v>
      </c>
      <c r="Q15" s="70">
        <v>0.2</v>
      </c>
      <c r="R15" s="70">
        <v>0.2</v>
      </c>
      <c r="S15" s="70">
        <v>0.2</v>
      </c>
      <c r="T15" s="70">
        <v>0.2</v>
      </c>
      <c r="U15" s="70">
        <v>0.2</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J16" s="21" t="s">
        <v>113</v>
      </c>
      <c r="K16" s="21" t="s">
        <v>74</v>
      </c>
      <c r="L16" s="36">
        <f>L13*L14*(1+L15)</f>
        <v>5.7494725181849242</v>
      </c>
      <c r="M16" s="36">
        <f t="shared" ref="M16:U16" si="4">M13*M14*(1+M15)</f>
        <v>5.7494725181849242</v>
      </c>
      <c r="N16" s="36">
        <f t="shared" si="4"/>
        <v>5.7494725181849242</v>
      </c>
      <c r="O16" s="36">
        <f t="shared" si="4"/>
        <v>5.7494725181849242</v>
      </c>
      <c r="P16" s="36">
        <f t="shared" si="4"/>
        <v>5.7494725181849242</v>
      </c>
      <c r="Q16" s="36">
        <f t="shared" si="4"/>
        <v>5.7494725181849242</v>
      </c>
      <c r="R16" s="36">
        <f t="shared" si="4"/>
        <v>5.7494725181849242</v>
      </c>
      <c r="S16" s="36">
        <f t="shared" si="4"/>
        <v>5.7494725181849242</v>
      </c>
      <c r="T16" s="36">
        <f t="shared" si="4"/>
        <v>5.7494725181849242</v>
      </c>
      <c r="U16" s="36">
        <f t="shared" si="4"/>
        <v>5.7494725181849242</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152" t="s">
        <v>75</v>
      </c>
      <c r="K17" s="153"/>
      <c r="L17" s="153"/>
      <c r="M17" s="153"/>
      <c r="N17" s="153"/>
      <c r="O17" s="153"/>
      <c r="P17" s="153"/>
      <c r="Q17" s="153"/>
      <c r="R17" s="153"/>
      <c r="S17" s="153"/>
      <c r="T17" s="153"/>
      <c r="U17" s="153"/>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6.5" x14ac:dyDescent="0.2">
      <c r="J18" s="21" t="s">
        <v>76</v>
      </c>
      <c r="K18" s="21" t="s">
        <v>77</v>
      </c>
      <c r="L18" s="62">
        <v>2E-3</v>
      </c>
      <c r="M18" s="62">
        <v>2E-3</v>
      </c>
      <c r="N18" s="62">
        <v>2E-3</v>
      </c>
      <c r="O18" s="62">
        <v>2E-3</v>
      </c>
      <c r="P18" s="62">
        <v>2E-3</v>
      </c>
      <c r="Q18" s="62">
        <v>2E-3</v>
      </c>
      <c r="R18" s="62">
        <v>2E-3</v>
      </c>
      <c r="S18" s="62">
        <v>2E-3</v>
      </c>
      <c r="T18" s="62">
        <v>2E-3</v>
      </c>
      <c r="U18" s="62">
        <v>2E-3</v>
      </c>
    </row>
    <row r="19" spans="10:57" ht="15.75" x14ac:dyDescent="0.2">
      <c r="J19" s="21" t="s">
        <v>78</v>
      </c>
      <c r="K19" s="21" t="s">
        <v>79</v>
      </c>
      <c r="L19" s="36">
        <f>L10*L18*'BEy_Fazenda Altenor'!$M$7</f>
        <v>141.12007461030487</v>
      </c>
      <c r="M19" s="36">
        <f>$L$19</f>
        <v>141.12007461030487</v>
      </c>
      <c r="N19" s="36">
        <f t="shared" ref="N19:U19" si="5">$L$19</f>
        <v>141.12007461030487</v>
      </c>
      <c r="O19" s="36">
        <f t="shared" si="5"/>
        <v>141.12007461030487</v>
      </c>
      <c r="P19" s="36">
        <f t="shared" si="5"/>
        <v>141.12007461030487</v>
      </c>
      <c r="Q19" s="36">
        <f t="shared" si="5"/>
        <v>141.12007461030487</v>
      </c>
      <c r="R19" s="36">
        <f t="shared" si="5"/>
        <v>141.12007461030487</v>
      </c>
      <c r="S19" s="36">
        <f t="shared" si="5"/>
        <v>141.12007461030487</v>
      </c>
      <c r="T19" s="36">
        <f t="shared" si="5"/>
        <v>141.12007461030487</v>
      </c>
      <c r="U19" s="36">
        <f t="shared" si="5"/>
        <v>141.12007461030487</v>
      </c>
    </row>
    <row r="20" spans="10:57" ht="15.75" x14ac:dyDescent="0.2">
      <c r="J20" s="152" t="s">
        <v>80</v>
      </c>
      <c r="K20" s="153"/>
      <c r="L20" s="153"/>
      <c r="M20" s="153"/>
      <c r="N20" s="153"/>
      <c r="O20" s="153"/>
      <c r="P20" s="153"/>
      <c r="Q20" s="153"/>
      <c r="R20" s="153"/>
      <c r="S20" s="153"/>
      <c r="T20" s="153"/>
      <c r="U20" s="153"/>
    </row>
    <row r="21" spans="10:57" ht="16.5" x14ac:dyDescent="0.2">
      <c r="J21" s="21" t="s">
        <v>81</v>
      </c>
      <c r="K21" s="21" t="s">
        <v>82</v>
      </c>
      <c r="L21" s="63">
        <v>2.0000000000000001E-4</v>
      </c>
      <c r="M21" s="63">
        <v>2.0000000000000001E-4</v>
      </c>
      <c r="N21" s="63">
        <v>2.0000000000000001E-4</v>
      </c>
      <c r="O21" s="63">
        <v>2.0000000000000001E-4</v>
      </c>
      <c r="P21" s="63">
        <v>2.0000000000000001E-4</v>
      </c>
      <c r="Q21" s="63">
        <v>2.0000000000000001E-4</v>
      </c>
      <c r="R21" s="63">
        <v>2.0000000000000001E-4</v>
      </c>
      <c r="S21" s="63">
        <v>2.0000000000000001E-4</v>
      </c>
      <c r="T21" s="63">
        <v>2.0000000000000001E-4</v>
      </c>
      <c r="U21" s="63">
        <v>2.0000000000000001E-4</v>
      </c>
    </row>
    <row r="22" spans="10:57" ht="16.5" x14ac:dyDescent="0.2">
      <c r="J22" s="21" t="s">
        <v>83</v>
      </c>
      <c r="K22" s="21" t="s">
        <v>84</v>
      </c>
      <c r="L22" s="36">
        <v>265</v>
      </c>
      <c r="M22" s="36">
        <v>265</v>
      </c>
      <c r="N22" s="36">
        <v>265</v>
      </c>
      <c r="O22" s="36">
        <v>265</v>
      </c>
      <c r="P22" s="36">
        <v>265</v>
      </c>
      <c r="Q22" s="36">
        <v>265</v>
      </c>
      <c r="R22" s="36">
        <v>265</v>
      </c>
      <c r="S22" s="36">
        <v>265</v>
      </c>
      <c r="T22" s="36">
        <v>265</v>
      </c>
      <c r="U22" s="36">
        <v>265</v>
      </c>
    </row>
    <row r="23" spans="10:57" ht="15.75" x14ac:dyDescent="0.2">
      <c r="J23" s="37" t="s">
        <v>85</v>
      </c>
      <c r="K23" s="21" t="s">
        <v>79</v>
      </c>
      <c r="L23" s="36">
        <f t="shared" ref="L23:U23" si="6">L10*L21*L22</f>
        <v>133.56007061332423</v>
      </c>
      <c r="M23" s="36">
        <f t="shared" si="6"/>
        <v>133.56007061332423</v>
      </c>
      <c r="N23" s="36">
        <f t="shared" si="6"/>
        <v>133.56007061332423</v>
      </c>
      <c r="O23" s="36">
        <f t="shared" si="6"/>
        <v>133.56007061332423</v>
      </c>
      <c r="P23" s="36">
        <f t="shared" si="6"/>
        <v>133.56007061332423</v>
      </c>
      <c r="Q23" s="36">
        <f t="shared" si="6"/>
        <v>133.56007061332423</v>
      </c>
      <c r="R23" s="36">
        <f t="shared" si="6"/>
        <v>133.56007061332423</v>
      </c>
      <c r="S23" s="36">
        <f t="shared" si="6"/>
        <v>133.56007061332423</v>
      </c>
      <c r="T23" s="36">
        <f t="shared" si="6"/>
        <v>133.56007061332423</v>
      </c>
      <c r="U23" s="36">
        <f t="shared" si="6"/>
        <v>133.56007061332423</v>
      </c>
    </row>
    <row r="28" spans="10:57" ht="20.25" customHeight="1" x14ac:dyDescent="0.2"/>
    <row r="34" spans="22:22" x14ac:dyDescent="0.2">
      <c r="V34" s="42"/>
    </row>
  </sheetData>
  <mergeCells count="7">
    <mergeCell ref="J20:U20"/>
    <mergeCell ref="B2:H2"/>
    <mergeCell ref="J2:U2"/>
    <mergeCell ref="B3:H3"/>
    <mergeCell ref="B4:H4"/>
    <mergeCell ref="J11:U11"/>
    <mergeCell ref="J17:U17"/>
  </mergeCells>
  <pageMargins left="0.511811024" right="0.511811024" top="0.78740157499999996" bottom="0.78740157499999996" header="0.31496062000000002" footer="0.31496062000000002"/>
  <pageSetup orientation="portrait" horizontalDpi="4294967293"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4B43B-A5AE-4831-B010-C61A84DB6D5C}">
  <sheetPr>
    <tabColor theme="4" tint="0.39997558519241921"/>
  </sheetPr>
  <dimension ref="B1:K61"/>
  <sheetViews>
    <sheetView showGridLines="0" zoomScale="80" zoomScaleNormal="80" workbookViewId="0">
      <selection activeCell="O9" sqref="O9"/>
    </sheetView>
  </sheetViews>
  <sheetFormatPr defaultRowHeight="15.75" x14ac:dyDescent="0.3"/>
  <cols>
    <col min="1" max="1" width="9.140625" style="44"/>
    <col min="2" max="2" width="42.5703125" style="60" customWidth="1"/>
    <col min="3" max="3" width="12.5703125" style="61" customWidth="1"/>
    <col min="4" max="4" width="10.28515625" style="44" bestFit="1" customWidth="1"/>
    <col min="5" max="5" width="15.85546875" style="76" bestFit="1" customWidth="1"/>
    <col min="6" max="6" width="11.7109375" style="76" customWidth="1"/>
    <col min="7" max="8" width="9.140625" style="76"/>
    <col min="9" max="9" width="11.5703125" style="76" bestFit="1" customWidth="1"/>
    <col min="10" max="10" width="10.5703125" style="76" customWidth="1"/>
    <col min="11" max="11" width="15.28515625" style="76" customWidth="1"/>
    <col min="12" max="16384" width="9.140625" style="44"/>
  </cols>
  <sheetData>
    <row r="1" spans="2:11" ht="16.5" thickBot="1" x14ac:dyDescent="0.35"/>
    <row r="2" spans="2:11" ht="27.75" customHeight="1" thickBot="1" x14ac:dyDescent="0.3">
      <c r="B2" s="14" t="s">
        <v>125</v>
      </c>
      <c r="C2" s="14">
        <v>3</v>
      </c>
      <c r="E2" s="160" t="s">
        <v>137</v>
      </c>
      <c r="F2" s="161"/>
      <c r="G2" s="161"/>
      <c r="H2" s="161"/>
      <c r="I2" s="161"/>
      <c r="J2" s="161"/>
      <c r="K2" s="162"/>
    </row>
    <row r="3" spans="2:11" thickBot="1" x14ac:dyDescent="0.3">
      <c r="B3" s="158" t="s">
        <v>107</v>
      </c>
      <c r="C3" s="159"/>
      <c r="E3" s="77"/>
      <c r="F3" s="77"/>
      <c r="G3" s="77"/>
      <c r="H3" s="77"/>
      <c r="I3" s="77"/>
      <c r="J3" s="77"/>
      <c r="K3" s="77"/>
    </row>
    <row r="4" spans="2:11" x14ac:dyDescent="0.25">
      <c r="B4" s="17" t="s">
        <v>108</v>
      </c>
      <c r="C4" s="25">
        <f>K6</f>
        <v>5393.1283138918343</v>
      </c>
      <c r="E4" s="163" t="s">
        <v>132</v>
      </c>
      <c r="F4" s="164"/>
      <c r="G4" s="164"/>
      <c r="H4" s="164"/>
      <c r="I4" s="164"/>
      <c r="J4" s="164"/>
      <c r="K4" s="165"/>
    </row>
    <row r="5" spans="2:11" ht="30" x14ac:dyDescent="0.25">
      <c r="B5" s="17" t="s">
        <v>109</v>
      </c>
      <c r="C5" s="25">
        <f>K10</f>
        <v>118.1783389916653</v>
      </c>
      <c r="E5" s="78" t="s">
        <v>21</v>
      </c>
      <c r="F5" s="79">
        <v>2015</v>
      </c>
      <c r="G5" s="79">
        <v>2016</v>
      </c>
      <c r="H5" s="79">
        <v>2017</v>
      </c>
      <c r="I5" s="80">
        <v>2018</v>
      </c>
      <c r="J5" s="80">
        <v>2019</v>
      </c>
      <c r="K5" s="81" t="s">
        <v>136</v>
      </c>
    </row>
    <row r="6" spans="2:11" x14ac:dyDescent="0.25">
      <c r="B6" s="17" t="s">
        <v>110</v>
      </c>
      <c r="C6" s="25">
        <f>C5*(C4/365)</f>
        <v>1746.1669756291988</v>
      </c>
      <c r="E6" s="82" t="s">
        <v>31</v>
      </c>
      <c r="F6" s="83">
        <v>0</v>
      </c>
      <c r="G6" s="83">
        <v>2055</v>
      </c>
      <c r="H6" s="83">
        <v>6365</v>
      </c>
      <c r="I6" s="83">
        <v>6620</v>
      </c>
      <c r="J6" s="83">
        <v>2219</v>
      </c>
      <c r="K6" s="93">
        <f>(SUMPRODUCT(F6:J6,F7:J7)/K7)</f>
        <v>5393.1283138918343</v>
      </c>
    </row>
    <row r="7" spans="2:11" ht="27.75" thickBot="1" x14ac:dyDescent="0.3">
      <c r="B7" s="17" t="s">
        <v>111</v>
      </c>
      <c r="C7" s="90">
        <f>K14</f>
        <v>99.806446522342014</v>
      </c>
      <c r="E7" s="91" t="s">
        <v>138</v>
      </c>
      <c r="F7" s="83">
        <v>0</v>
      </c>
      <c r="G7" s="83">
        <v>127</v>
      </c>
      <c r="H7" s="83">
        <v>365</v>
      </c>
      <c r="I7" s="83">
        <v>341</v>
      </c>
      <c r="J7" s="83">
        <v>110</v>
      </c>
      <c r="K7" s="89">
        <f>SUM(F7:J7)</f>
        <v>943</v>
      </c>
    </row>
    <row r="8" spans="2:11" ht="30" x14ac:dyDescent="0.25">
      <c r="B8" s="17" t="s">
        <v>112</v>
      </c>
      <c r="C8" s="90">
        <f>K18</f>
        <v>294.52279957582186</v>
      </c>
      <c r="E8" s="163" t="s">
        <v>133</v>
      </c>
      <c r="F8" s="164"/>
      <c r="G8" s="164"/>
      <c r="H8" s="164"/>
      <c r="I8" s="164"/>
      <c r="J8" s="164"/>
      <c r="K8" s="165"/>
    </row>
    <row r="9" spans="2:11" ht="27" x14ac:dyDescent="0.25">
      <c r="B9" s="58"/>
      <c r="C9" s="58"/>
      <c r="D9" s="35"/>
      <c r="E9" s="78" t="s">
        <v>21</v>
      </c>
      <c r="F9" s="79">
        <v>2015</v>
      </c>
      <c r="G9" s="79">
        <v>2016</v>
      </c>
      <c r="H9" s="79">
        <v>2017</v>
      </c>
      <c r="I9" s="80">
        <v>2018</v>
      </c>
      <c r="J9" s="80">
        <v>2019</v>
      </c>
      <c r="K9" s="81" t="s">
        <v>136</v>
      </c>
    </row>
    <row r="10" spans="2:11" ht="15" x14ac:dyDescent="0.25">
      <c r="B10" s="58"/>
      <c r="C10" s="59"/>
      <c r="D10" s="35"/>
      <c r="E10" s="82" t="s">
        <v>31</v>
      </c>
      <c r="F10" s="83">
        <v>0</v>
      </c>
      <c r="G10" s="83">
        <v>127</v>
      </c>
      <c r="H10" s="83">
        <v>121.78554595443833</v>
      </c>
      <c r="I10" s="83">
        <v>113.66993957703927</v>
      </c>
      <c r="J10" s="83">
        <v>110</v>
      </c>
      <c r="K10" s="93">
        <f>(SUMPRODUCT(F10:J10,F11:J11)/K11)</f>
        <v>118.1783389916653</v>
      </c>
    </row>
    <row r="11" spans="2:11" ht="27.75" thickBot="1" x14ac:dyDescent="0.3">
      <c r="B11" s="58"/>
      <c r="C11" s="59"/>
      <c r="D11" s="35"/>
      <c r="E11" s="91" t="s">
        <v>138</v>
      </c>
      <c r="F11" s="87">
        <v>0</v>
      </c>
      <c r="G11" s="87">
        <v>127</v>
      </c>
      <c r="H11" s="87">
        <v>365</v>
      </c>
      <c r="I11" s="88">
        <v>341</v>
      </c>
      <c r="J11" s="88">
        <v>110</v>
      </c>
      <c r="K11" s="89">
        <f>SUM(F11:J11)</f>
        <v>943</v>
      </c>
    </row>
    <row r="12" spans="2:11" ht="15" x14ac:dyDescent="0.25">
      <c r="B12" s="58"/>
      <c r="C12" s="59"/>
      <c r="D12" s="35"/>
      <c r="E12" s="166" t="s">
        <v>134</v>
      </c>
      <c r="F12" s="167"/>
      <c r="G12" s="167"/>
      <c r="H12" s="167"/>
      <c r="I12" s="168"/>
      <c r="J12" s="168"/>
      <c r="K12" s="169"/>
    </row>
    <row r="13" spans="2:11" ht="27" x14ac:dyDescent="0.25">
      <c r="B13" s="58"/>
      <c r="C13" s="59"/>
      <c r="D13" s="35"/>
      <c r="E13" s="78" t="s">
        <v>21</v>
      </c>
      <c r="F13" s="79">
        <v>2015</v>
      </c>
      <c r="G13" s="79">
        <v>2016</v>
      </c>
      <c r="H13" s="79">
        <v>2017</v>
      </c>
      <c r="I13" s="80">
        <v>2018</v>
      </c>
      <c r="J13" s="80">
        <v>2019</v>
      </c>
      <c r="K13" s="81" t="s">
        <v>136</v>
      </c>
    </row>
    <row r="14" spans="2:11" ht="15" x14ac:dyDescent="0.25">
      <c r="B14" s="58"/>
      <c r="C14" s="59"/>
      <c r="D14" s="35"/>
      <c r="E14" s="82" t="s">
        <v>31</v>
      </c>
      <c r="F14" s="83">
        <v>0</v>
      </c>
      <c r="G14" s="83">
        <v>99.418246958637482</v>
      </c>
      <c r="H14" s="83">
        <v>104.34799895260541</v>
      </c>
      <c r="I14" s="83">
        <v>95.400686555891241</v>
      </c>
      <c r="J14" s="83">
        <v>98.842799759651498</v>
      </c>
      <c r="K14" s="94">
        <f>(SUMPRODUCT(F14:J14,F15:J15)/K15)</f>
        <v>99.806446522342014</v>
      </c>
    </row>
    <row r="15" spans="2:11" ht="27.75" thickBot="1" x14ac:dyDescent="0.3">
      <c r="B15" s="58"/>
      <c r="C15" s="59"/>
      <c r="D15" s="35"/>
      <c r="E15" s="91" t="s">
        <v>138</v>
      </c>
      <c r="F15" s="87">
        <v>0</v>
      </c>
      <c r="G15" s="87">
        <v>127</v>
      </c>
      <c r="H15" s="87">
        <v>365</v>
      </c>
      <c r="I15" s="88">
        <v>341</v>
      </c>
      <c r="J15" s="88">
        <v>110</v>
      </c>
      <c r="K15" s="89">
        <f>SUM(F15:J15)</f>
        <v>943</v>
      </c>
    </row>
    <row r="16" spans="2:11" ht="15" x14ac:dyDescent="0.25">
      <c r="B16" s="58"/>
      <c r="C16" s="59"/>
      <c r="D16" s="35"/>
      <c r="E16" s="166" t="s">
        <v>135</v>
      </c>
      <c r="F16" s="167"/>
      <c r="G16" s="167"/>
      <c r="H16" s="167"/>
      <c r="I16" s="168"/>
      <c r="J16" s="168"/>
      <c r="K16" s="169"/>
    </row>
    <row r="17" spans="2:11" ht="27" x14ac:dyDescent="0.25">
      <c r="B17" s="58"/>
      <c r="C17" s="59"/>
      <c r="D17" s="35"/>
      <c r="E17" s="78" t="s">
        <v>21</v>
      </c>
      <c r="F17" s="79">
        <v>2015</v>
      </c>
      <c r="G17" s="79">
        <v>2016</v>
      </c>
      <c r="H17" s="79">
        <v>2017</v>
      </c>
      <c r="I17" s="80">
        <v>2018</v>
      </c>
      <c r="J17" s="80">
        <v>2019</v>
      </c>
      <c r="K17" s="81" t="s">
        <v>136</v>
      </c>
    </row>
    <row r="18" spans="2:11" ht="15" x14ac:dyDescent="0.25">
      <c r="B18" s="58"/>
      <c r="C18" s="59"/>
      <c r="D18" s="35"/>
      <c r="E18" s="82" t="s">
        <v>31</v>
      </c>
      <c r="F18" s="85">
        <v>0</v>
      </c>
      <c r="G18" s="85">
        <v>127</v>
      </c>
      <c r="H18" s="85">
        <v>365</v>
      </c>
      <c r="I18" s="85">
        <v>341</v>
      </c>
      <c r="J18" s="85">
        <v>110</v>
      </c>
      <c r="K18" s="94">
        <f>(SUMPRODUCT(F18:J18,F19:J19)/K19)</f>
        <v>294.52279957582186</v>
      </c>
    </row>
    <row r="19" spans="2:11" ht="27.75" thickBot="1" x14ac:dyDescent="0.3">
      <c r="B19" s="58"/>
      <c r="C19" s="59"/>
      <c r="D19" s="35"/>
      <c r="E19" s="92" t="s">
        <v>138</v>
      </c>
      <c r="F19" s="84">
        <v>0</v>
      </c>
      <c r="G19" s="84">
        <v>127</v>
      </c>
      <c r="H19" s="84">
        <v>365</v>
      </c>
      <c r="I19" s="95">
        <v>341</v>
      </c>
      <c r="J19" s="95">
        <v>110</v>
      </c>
      <c r="K19" s="86">
        <f>SUM(F19:J19)</f>
        <v>943</v>
      </c>
    </row>
    <row r="20" spans="2:11" ht="15" x14ac:dyDescent="0.25">
      <c r="E20" s="44"/>
      <c r="F20" s="44"/>
      <c r="G20" s="44"/>
      <c r="H20" s="44"/>
      <c r="I20" s="44"/>
      <c r="J20" s="44"/>
      <c r="K20" s="44"/>
    </row>
    <row r="21" spans="2:11" ht="15" x14ac:dyDescent="0.25">
      <c r="E21" s="44"/>
      <c r="F21" s="44"/>
      <c r="G21" s="44"/>
      <c r="H21" s="44"/>
      <c r="I21" s="44"/>
      <c r="J21" s="44"/>
      <c r="K21" s="44"/>
    </row>
    <row r="22" spans="2:11" ht="15" x14ac:dyDescent="0.25">
      <c r="E22" s="44"/>
      <c r="F22" s="44"/>
      <c r="G22" s="44"/>
      <c r="H22" s="44"/>
      <c r="I22" s="44"/>
      <c r="J22" s="44"/>
      <c r="K22" s="44"/>
    </row>
    <row r="23" spans="2:11" ht="15" x14ac:dyDescent="0.25">
      <c r="E23" s="44"/>
      <c r="F23" s="44"/>
      <c r="G23" s="44"/>
      <c r="H23" s="44"/>
      <c r="I23" s="44"/>
      <c r="J23" s="44"/>
      <c r="K23" s="44"/>
    </row>
    <row r="24" spans="2:11" ht="15" x14ac:dyDescent="0.25">
      <c r="E24" s="44"/>
      <c r="F24" s="44"/>
      <c r="G24" s="44"/>
      <c r="H24" s="44"/>
      <c r="I24" s="44"/>
      <c r="J24" s="44"/>
      <c r="K24" s="44"/>
    </row>
    <row r="25" spans="2:11" ht="15" x14ac:dyDescent="0.25">
      <c r="E25" s="44"/>
      <c r="F25" s="44"/>
      <c r="G25" s="44"/>
      <c r="H25" s="44"/>
      <c r="I25" s="44"/>
      <c r="J25" s="44"/>
      <c r="K25" s="44"/>
    </row>
    <row r="26" spans="2:11" ht="15" x14ac:dyDescent="0.25">
      <c r="E26" s="44"/>
      <c r="F26" s="44"/>
      <c r="G26" s="44"/>
      <c r="H26" s="44"/>
      <c r="I26" s="44"/>
      <c r="J26" s="44"/>
      <c r="K26" s="44"/>
    </row>
    <row r="27" spans="2:11" ht="15" x14ac:dyDescent="0.25">
      <c r="E27" s="44"/>
      <c r="F27" s="44"/>
      <c r="G27" s="44"/>
      <c r="H27" s="44"/>
      <c r="I27" s="44"/>
      <c r="J27" s="44"/>
      <c r="K27" s="44"/>
    </row>
    <row r="28" spans="2:11" ht="15" x14ac:dyDescent="0.25">
      <c r="E28" s="44"/>
      <c r="F28" s="44"/>
      <c r="G28" s="44"/>
      <c r="H28" s="44"/>
      <c r="I28" s="44"/>
      <c r="J28" s="44"/>
      <c r="K28" s="44"/>
    </row>
    <row r="29" spans="2:11" ht="15" x14ac:dyDescent="0.25">
      <c r="E29" s="44"/>
      <c r="F29" s="44"/>
      <c r="G29" s="44"/>
      <c r="H29" s="44"/>
      <c r="I29" s="44"/>
      <c r="J29" s="44"/>
      <c r="K29" s="44"/>
    </row>
    <row r="30" spans="2:11" ht="15" x14ac:dyDescent="0.25">
      <c r="E30" s="44"/>
      <c r="F30" s="44"/>
      <c r="G30" s="44"/>
      <c r="H30" s="44"/>
      <c r="I30" s="44"/>
      <c r="J30" s="44"/>
      <c r="K30" s="44"/>
    </row>
    <row r="31" spans="2:11" ht="15" x14ac:dyDescent="0.25">
      <c r="E31" s="44"/>
      <c r="F31" s="44"/>
      <c r="G31" s="44"/>
      <c r="H31" s="44"/>
      <c r="I31" s="44"/>
      <c r="J31" s="44"/>
      <c r="K31" s="44"/>
    </row>
    <row r="32" spans="2:11" ht="15" x14ac:dyDescent="0.25">
      <c r="E32" s="44"/>
      <c r="F32" s="44"/>
      <c r="G32" s="44"/>
      <c r="H32" s="44"/>
      <c r="I32" s="44"/>
      <c r="J32" s="44"/>
      <c r="K32" s="44"/>
    </row>
    <row r="33" spans="5:11" ht="15" x14ac:dyDescent="0.25">
      <c r="E33" s="44"/>
      <c r="F33" s="44"/>
      <c r="G33" s="44"/>
      <c r="H33" s="44"/>
      <c r="I33" s="44"/>
      <c r="J33" s="44"/>
      <c r="K33" s="44"/>
    </row>
    <row r="34" spans="5:11" ht="15" x14ac:dyDescent="0.25">
      <c r="E34" s="44"/>
      <c r="F34" s="44"/>
      <c r="G34" s="44"/>
      <c r="H34" s="44"/>
      <c r="I34" s="44"/>
      <c r="J34" s="44"/>
      <c r="K34" s="44"/>
    </row>
    <row r="35" spans="5:11" ht="15" x14ac:dyDescent="0.25">
      <c r="E35" s="44"/>
      <c r="F35" s="44"/>
      <c r="G35" s="44"/>
      <c r="H35" s="44"/>
      <c r="I35" s="44"/>
      <c r="J35" s="44"/>
      <c r="K35" s="44"/>
    </row>
    <row r="36" spans="5:11" ht="15" customHeight="1" x14ac:dyDescent="0.25">
      <c r="E36" s="44"/>
      <c r="F36" s="44"/>
      <c r="G36" s="44"/>
      <c r="H36" s="44"/>
      <c r="I36" s="44"/>
      <c r="J36" s="44"/>
      <c r="K36" s="44"/>
    </row>
    <row r="37" spans="5:11" ht="15" x14ac:dyDescent="0.25">
      <c r="E37" s="44"/>
      <c r="F37" s="44"/>
      <c r="G37" s="44"/>
      <c r="H37" s="44"/>
      <c r="I37" s="44"/>
      <c r="J37" s="44"/>
      <c r="K37" s="44"/>
    </row>
    <row r="38" spans="5:11" ht="15" x14ac:dyDescent="0.25">
      <c r="E38" s="44"/>
      <c r="F38" s="44"/>
      <c r="G38" s="44"/>
      <c r="H38" s="44"/>
      <c r="I38" s="44"/>
      <c r="J38" s="44"/>
      <c r="K38" s="44"/>
    </row>
    <row r="39" spans="5:11" ht="15" x14ac:dyDescent="0.25">
      <c r="E39" s="44"/>
      <c r="F39" s="44"/>
      <c r="G39" s="44"/>
      <c r="H39" s="44"/>
      <c r="I39" s="44"/>
      <c r="J39" s="44"/>
      <c r="K39" s="44"/>
    </row>
    <row r="40" spans="5:11" ht="15" x14ac:dyDescent="0.25">
      <c r="E40" s="44"/>
      <c r="F40" s="44"/>
      <c r="G40" s="44"/>
      <c r="H40" s="44"/>
      <c r="I40" s="44"/>
      <c r="J40" s="44"/>
      <c r="K40" s="44"/>
    </row>
    <row r="41" spans="5:11" ht="15" x14ac:dyDescent="0.25">
      <c r="E41" s="44"/>
      <c r="F41" s="44"/>
      <c r="G41" s="44"/>
      <c r="H41" s="44"/>
      <c r="I41" s="44"/>
      <c r="J41" s="44"/>
      <c r="K41" s="44"/>
    </row>
    <row r="42" spans="5:11" ht="15" x14ac:dyDescent="0.25">
      <c r="E42" s="44"/>
      <c r="F42" s="44"/>
      <c r="G42" s="44"/>
      <c r="H42" s="44"/>
      <c r="I42" s="44"/>
      <c r="J42" s="44"/>
      <c r="K42" s="44"/>
    </row>
    <row r="43" spans="5:11" ht="15" x14ac:dyDescent="0.25">
      <c r="E43" s="44"/>
      <c r="F43" s="44"/>
      <c r="G43" s="44"/>
      <c r="H43" s="44"/>
      <c r="I43" s="44"/>
      <c r="J43" s="44"/>
      <c r="K43" s="44"/>
    </row>
    <row r="44" spans="5:11" ht="15" x14ac:dyDescent="0.25">
      <c r="E44" s="44"/>
      <c r="F44" s="44"/>
      <c r="G44" s="44"/>
      <c r="H44" s="44"/>
      <c r="I44" s="44"/>
      <c r="J44" s="44"/>
      <c r="K44" s="44"/>
    </row>
    <row r="45" spans="5:11" ht="15" x14ac:dyDescent="0.25">
      <c r="E45" s="44"/>
      <c r="F45" s="44"/>
      <c r="G45" s="44"/>
      <c r="H45" s="44"/>
      <c r="I45" s="44"/>
      <c r="J45" s="44"/>
      <c r="K45" s="44"/>
    </row>
    <row r="46" spans="5:11" ht="15" x14ac:dyDescent="0.25">
      <c r="E46" s="44"/>
      <c r="F46" s="44"/>
      <c r="G46" s="44"/>
      <c r="H46" s="44"/>
      <c r="I46" s="44"/>
      <c r="J46" s="44"/>
      <c r="K46" s="44"/>
    </row>
    <row r="47" spans="5:11" ht="15" x14ac:dyDescent="0.25">
      <c r="E47" s="44"/>
      <c r="F47" s="44"/>
      <c r="G47" s="44"/>
      <c r="H47" s="44"/>
      <c r="I47" s="44"/>
      <c r="J47" s="44"/>
      <c r="K47" s="44"/>
    </row>
    <row r="48" spans="5:11" ht="15" x14ac:dyDescent="0.25">
      <c r="E48" s="44"/>
      <c r="F48" s="44"/>
      <c r="G48" s="44"/>
      <c r="H48" s="44"/>
      <c r="I48" s="44"/>
      <c r="J48" s="44"/>
      <c r="K48" s="44"/>
    </row>
    <row r="49" spans="5:11" ht="15" x14ac:dyDescent="0.25">
      <c r="E49" s="44"/>
      <c r="F49" s="44"/>
      <c r="G49" s="44"/>
      <c r="H49" s="44"/>
      <c r="I49" s="44"/>
      <c r="J49" s="44"/>
      <c r="K49" s="44"/>
    </row>
    <row r="50" spans="5:11" ht="15" x14ac:dyDescent="0.25">
      <c r="E50" s="44"/>
      <c r="F50" s="44"/>
      <c r="G50" s="44"/>
      <c r="H50" s="44"/>
      <c r="I50" s="44"/>
      <c r="J50" s="44"/>
      <c r="K50" s="44"/>
    </row>
    <row r="51" spans="5:11" ht="15" x14ac:dyDescent="0.25">
      <c r="E51" s="44"/>
      <c r="F51" s="44"/>
      <c r="G51" s="44"/>
      <c r="H51" s="44"/>
      <c r="I51" s="44"/>
      <c r="J51" s="44"/>
      <c r="K51" s="44"/>
    </row>
    <row r="52" spans="5:11" ht="15" x14ac:dyDescent="0.25">
      <c r="E52" s="44"/>
      <c r="F52" s="44"/>
      <c r="G52" s="44"/>
      <c r="H52" s="44"/>
      <c r="I52" s="44"/>
      <c r="J52" s="44"/>
      <c r="K52" s="44"/>
    </row>
    <row r="53" spans="5:11" ht="15" x14ac:dyDescent="0.25">
      <c r="E53" s="44"/>
      <c r="F53" s="44"/>
      <c r="G53" s="44"/>
      <c r="H53" s="44"/>
      <c r="I53" s="44"/>
      <c r="J53" s="44"/>
      <c r="K53" s="44"/>
    </row>
    <row r="54" spans="5:11" ht="15" x14ac:dyDescent="0.25">
      <c r="E54" s="44"/>
      <c r="F54" s="44"/>
      <c r="G54" s="44"/>
      <c r="H54" s="44"/>
      <c r="I54" s="44"/>
      <c r="J54" s="44"/>
      <c r="K54" s="44"/>
    </row>
    <row r="55" spans="5:11" ht="15" x14ac:dyDescent="0.25">
      <c r="E55" s="44"/>
      <c r="F55" s="44"/>
      <c r="G55" s="44"/>
      <c r="H55" s="44"/>
      <c r="I55" s="44"/>
      <c r="J55" s="44"/>
      <c r="K55" s="44"/>
    </row>
    <row r="56" spans="5:11" ht="15" x14ac:dyDescent="0.25">
      <c r="E56" s="61"/>
      <c r="F56" s="61"/>
      <c r="G56" s="61"/>
      <c r="H56" s="61"/>
      <c r="I56" s="61"/>
      <c r="J56" s="61"/>
      <c r="K56" s="61"/>
    </row>
    <row r="57" spans="5:11" ht="15" x14ac:dyDescent="0.25">
      <c r="E57" s="61"/>
      <c r="F57" s="61"/>
      <c r="G57" s="61"/>
      <c r="H57" s="61"/>
      <c r="I57" s="61"/>
      <c r="J57" s="61"/>
      <c r="K57" s="61"/>
    </row>
    <row r="58" spans="5:11" ht="15" x14ac:dyDescent="0.25">
      <c r="E58" s="61"/>
      <c r="F58" s="61"/>
      <c r="G58" s="61"/>
      <c r="H58" s="61"/>
      <c r="I58" s="61"/>
      <c r="J58" s="61"/>
      <c r="K58" s="61"/>
    </row>
    <row r="59" spans="5:11" ht="15" x14ac:dyDescent="0.25">
      <c r="E59" s="61"/>
      <c r="F59" s="61"/>
      <c r="G59" s="61"/>
      <c r="H59" s="61"/>
      <c r="I59" s="61"/>
      <c r="J59" s="61"/>
      <c r="K59" s="61"/>
    </row>
    <row r="60" spans="5:11" ht="15" x14ac:dyDescent="0.25">
      <c r="E60" s="61"/>
      <c r="F60" s="61"/>
      <c r="G60" s="61"/>
      <c r="H60" s="61"/>
      <c r="I60" s="61"/>
      <c r="J60" s="61"/>
      <c r="K60" s="61"/>
    </row>
    <row r="61" spans="5:11" ht="15" x14ac:dyDescent="0.25">
      <c r="E61" s="61"/>
      <c r="F61" s="61"/>
      <c r="G61" s="61"/>
      <c r="H61" s="61"/>
      <c r="I61" s="61"/>
      <c r="J61" s="61"/>
      <c r="K61" s="61"/>
    </row>
  </sheetData>
  <mergeCells count="6">
    <mergeCell ref="B3:C3"/>
    <mergeCell ref="E2:K2"/>
    <mergeCell ref="E4:K4"/>
    <mergeCell ref="E16:K16"/>
    <mergeCell ref="E8:K8"/>
    <mergeCell ref="E12:K12"/>
  </mergeCells>
  <pageMargins left="0.511811024" right="0.511811024" top="0.78740157499999996" bottom="0.78740157499999996" header="0.31496062000000002" footer="0.31496062000000002"/>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DE6F-3376-454A-A2B7-99B48E06BED4}">
  <sheetPr>
    <tabColor theme="5" tint="0.39997558519241921"/>
  </sheetPr>
  <dimension ref="A1:Z75"/>
  <sheetViews>
    <sheetView showGridLines="0" topLeftCell="A4" zoomScale="80" zoomScaleNormal="80" workbookViewId="0">
      <selection activeCell="H17" sqref="H17"/>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v>0</v>
      </c>
      <c r="R5" s="22">
        <f t="shared" ref="R5:Z9" si="0">$Q5</f>
        <v>0</v>
      </c>
      <c r="S5" s="22">
        <f t="shared" si="0"/>
        <v>0</v>
      </c>
      <c r="T5" s="22">
        <f t="shared" si="0"/>
        <v>0</v>
      </c>
      <c r="U5" s="22">
        <f t="shared" si="0"/>
        <v>0</v>
      </c>
      <c r="V5" s="22">
        <f t="shared" si="0"/>
        <v>0</v>
      </c>
      <c r="W5" s="22">
        <f t="shared" si="0"/>
        <v>0</v>
      </c>
      <c r="X5" s="22">
        <f t="shared" si="0"/>
        <v>0</v>
      </c>
      <c r="Y5" s="22">
        <f t="shared" si="0"/>
        <v>0</v>
      </c>
      <c r="Z5" s="22">
        <f t="shared" si="0"/>
        <v>0</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v>0</v>
      </c>
      <c r="R6" s="22">
        <f t="shared" si="0"/>
        <v>0</v>
      </c>
      <c r="S6" s="22">
        <f t="shared" si="0"/>
        <v>0</v>
      </c>
      <c r="T6" s="22">
        <f t="shared" si="0"/>
        <v>0</v>
      </c>
      <c r="U6" s="22">
        <f t="shared" si="0"/>
        <v>0</v>
      </c>
      <c r="V6" s="22">
        <f t="shared" si="0"/>
        <v>0</v>
      </c>
      <c r="W6" s="22">
        <f t="shared" si="0"/>
        <v>0</v>
      </c>
      <c r="X6" s="22">
        <f t="shared" si="0"/>
        <v>0</v>
      </c>
      <c r="Y6" s="22">
        <f t="shared" si="0"/>
        <v>0</v>
      </c>
      <c r="Z6" s="22">
        <f t="shared" si="0"/>
        <v>0</v>
      </c>
    </row>
    <row r="7" spans="2:26" ht="15.75" x14ac:dyDescent="0.25">
      <c r="B7" s="24">
        <v>2021</v>
      </c>
      <c r="C7" s="3">
        <f>$M$7*$M$5*$M$4*$M$6*$M$17*Q$23*Q$41*$M$8</f>
        <v>0</v>
      </c>
      <c r="D7" s="3">
        <f>$M$7*$M$5*$M$4*$M$6*$M$17*Q$24*Q$42*$M$8</f>
        <v>0</v>
      </c>
      <c r="E7" s="3">
        <f>$M$7*$M$5*$M$4*$M$6*$M$17*Q$24*Q$42*$M$8</f>
        <v>0</v>
      </c>
      <c r="F7" s="3">
        <f>$M$7*$M$5*$M$4*$M$6*$M$17*Q$26*Q$44*$M$8</f>
        <v>0</v>
      </c>
      <c r="G7" s="3">
        <f>$M$7*$M$5*$M$4*$M$6*$M$25*Q$27*Q$45*$M$8</f>
        <v>0</v>
      </c>
      <c r="H7" s="25">
        <f>ROUNDDOWN($M$7*$M$5*$M$4*$M$6*$M$25*Q$28*Q$46*$M$8, )</f>
        <v>707</v>
      </c>
      <c r="I7" s="26">
        <f>ROUNDDOWN($M$7*$M$5*$M$4*$M$6*$M$25*Q$29*Q$47*$M$8, )</f>
        <v>499</v>
      </c>
      <c r="J7" s="25">
        <f>ROUNDDOWN(SUM(C7:I7),)</f>
        <v>1206</v>
      </c>
      <c r="L7" s="19" t="s">
        <v>33</v>
      </c>
      <c r="M7" s="20">
        <v>28</v>
      </c>
      <c r="N7" s="18" t="s">
        <v>34</v>
      </c>
      <c r="P7" s="21" t="s">
        <v>27</v>
      </c>
      <c r="Q7" s="22">
        <v>0</v>
      </c>
      <c r="R7" s="22">
        <f t="shared" si="0"/>
        <v>0</v>
      </c>
      <c r="S7" s="22">
        <f t="shared" si="0"/>
        <v>0</v>
      </c>
      <c r="T7" s="22">
        <f t="shared" si="0"/>
        <v>0</v>
      </c>
      <c r="U7" s="22">
        <f t="shared" si="0"/>
        <v>0</v>
      </c>
      <c r="V7" s="22">
        <f t="shared" si="0"/>
        <v>0</v>
      </c>
      <c r="W7" s="22">
        <f t="shared" si="0"/>
        <v>0</v>
      </c>
      <c r="X7" s="22">
        <f t="shared" si="0"/>
        <v>0</v>
      </c>
      <c r="Y7" s="22">
        <f t="shared" si="0"/>
        <v>0</v>
      </c>
      <c r="Z7" s="22">
        <f t="shared" si="0"/>
        <v>0</v>
      </c>
    </row>
    <row r="8" spans="2:26" ht="28.5" x14ac:dyDescent="0.25">
      <c r="B8" s="24">
        <v>2022</v>
      </c>
      <c r="C8" s="3">
        <f>$M$7*$M$5*$M$4*$M$6*$M$17*R$23*R$41*$M$8</f>
        <v>0</v>
      </c>
      <c r="D8" s="3">
        <f>$M$7*$M$5*$M$4*$M$6*$M$17*R$24*R$42*$M$8</f>
        <v>0</v>
      </c>
      <c r="E8" s="3">
        <f>$M$7*$M$5*$M$4*$M$6*$M$17*R$24*R$42*$M$8</f>
        <v>0</v>
      </c>
      <c r="F8" s="3">
        <f>$M$7*$M$5*$M$4*$M$6*$M$17*R$26*R$44*$M$8</f>
        <v>0</v>
      </c>
      <c r="G8" s="3">
        <f>$M$7*$M$5*$M$4*$M$6*$M$25*R$27*R$45*$M$8</f>
        <v>0</v>
      </c>
      <c r="H8" s="25">
        <f>ROUNDDOWN($M$7*$M$5*$M$4*$M$6*$M$25*R$28*R$46*$M$8, )</f>
        <v>707</v>
      </c>
      <c r="I8" s="26">
        <f>ROUNDDOWN($M$7*$M$5*$M$4*$M$6*$M$25*R$29*R$47*$M$8, )</f>
        <v>499</v>
      </c>
      <c r="J8" s="25">
        <f>ROUNDDOWN(SUM(C8:I8),)</f>
        <v>1206</v>
      </c>
      <c r="L8" s="19" t="s">
        <v>35</v>
      </c>
      <c r="M8" s="20">
        <v>1</v>
      </c>
      <c r="N8" s="18" t="s">
        <v>20</v>
      </c>
      <c r="P8" s="21" t="s">
        <v>28</v>
      </c>
      <c r="Q8" s="22">
        <v>0</v>
      </c>
      <c r="R8" s="22">
        <f t="shared" si="0"/>
        <v>0</v>
      </c>
      <c r="S8" s="22">
        <f t="shared" si="0"/>
        <v>0</v>
      </c>
      <c r="T8" s="22">
        <f t="shared" si="0"/>
        <v>0</v>
      </c>
      <c r="U8" s="22">
        <f t="shared" si="0"/>
        <v>0</v>
      </c>
      <c r="V8" s="22">
        <f t="shared" si="0"/>
        <v>0</v>
      </c>
      <c r="W8" s="22">
        <f t="shared" si="0"/>
        <v>0</v>
      </c>
      <c r="X8" s="22">
        <f t="shared" si="0"/>
        <v>0</v>
      </c>
      <c r="Y8" s="22">
        <f t="shared" si="0"/>
        <v>0</v>
      </c>
      <c r="Z8" s="22">
        <f t="shared" si="0"/>
        <v>0</v>
      </c>
    </row>
    <row r="9" spans="2:26" x14ac:dyDescent="0.25">
      <c r="B9" s="24">
        <v>2023</v>
      </c>
      <c r="C9" s="3">
        <f>$M$7*$M$5*$M$4*$M$6*$M$17*S$23*S$41*$M$8</f>
        <v>0</v>
      </c>
      <c r="D9" s="3">
        <f>$M$7*$M$5*$M$4*$M$6*$M$17*S$24*S$42*$M$8</f>
        <v>0</v>
      </c>
      <c r="E9" s="3">
        <f>$M$7*$M$5*$M$4*$M$6*$M$17*S$24*S$42*$M$8</f>
        <v>0</v>
      </c>
      <c r="F9" s="3">
        <f>$M$7*$M$5*$M$4*$M$6*$M$17*S$26*S$44*$M$8</f>
        <v>0</v>
      </c>
      <c r="G9" s="3">
        <f>$M$7*$M$5*$M$4*$M$6*$M$25*S$27*S$45*$M$8</f>
        <v>0</v>
      </c>
      <c r="H9" s="25">
        <f>ROUNDDOWN($M$7*$M$5*$M$4*$M$6*$M$25*S$28*S$46*$M$8, )</f>
        <v>707</v>
      </c>
      <c r="I9" s="26">
        <f>ROUNDDOWN($M$7*$M$5*$M$4*$M$6*$M$25*S$29*S$47*$M$8, )</f>
        <v>499</v>
      </c>
      <c r="J9" s="25">
        <f t="shared" ref="J9:J16" si="1">ROUNDDOWN(SUM(C9:I9),)</f>
        <v>1206</v>
      </c>
      <c r="P9" s="21" t="s">
        <v>29</v>
      </c>
      <c r="Q9" s="22">
        <v>0</v>
      </c>
      <c r="R9" s="22">
        <f t="shared" si="0"/>
        <v>0</v>
      </c>
      <c r="S9" s="22">
        <f t="shared" si="0"/>
        <v>0</v>
      </c>
      <c r="T9" s="22">
        <f t="shared" si="0"/>
        <v>0</v>
      </c>
      <c r="U9" s="22">
        <f t="shared" si="0"/>
        <v>0</v>
      </c>
      <c r="V9" s="22">
        <f t="shared" si="0"/>
        <v>0</v>
      </c>
      <c r="W9" s="22">
        <f t="shared" si="0"/>
        <v>0</v>
      </c>
      <c r="X9" s="22">
        <f t="shared" si="0"/>
        <v>0</v>
      </c>
      <c r="Y9" s="22">
        <f t="shared" si="0"/>
        <v>0</v>
      </c>
      <c r="Z9" s="22">
        <f t="shared" si="0"/>
        <v>0</v>
      </c>
    </row>
    <row r="10" spans="2:26" ht="14.25" customHeight="1" x14ac:dyDescent="0.25">
      <c r="B10" s="24">
        <v>2024</v>
      </c>
      <c r="C10" s="3">
        <f>$M$7*$M$5*$M$4*$M$6*$M$17*T$23*T$41*$M$8</f>
        <v>0</v>
      </c>
      <c r="D10" s="3">
        <f>$M$7*$M$5*$M$4*$M$6*$M$17*T$24*T$42*$M$8</f>
        <v>0</v>
      </c>
      <c r="E10" s="3">
        <f>$M$7*$M$5*$M$4*$M$6*$M$17*T$24*T$42*$M$8</f>
        <v>0</v>
      </c>
      <c r="F10" s="3">
        <f>$M$7*$M$5*$M$4*$M$6*$M$17*T$26*T$44*$M$8</f>
        <v>0</v>
      </c>
      <c r="G10" s="3">
        <f>$M$7*$M$5*$M$4*$M$6*$M$25*T$27*T$45*$M$8</f>
        <v>0</v>
      </c>
      <c r="H10" s="25">
        <f>ROUNDDOWN($M$7*$M$5*$M$4*$M$6*$M$25*T$28*T$46*$M$8, )</f>
        <v>707</v>
      </c>
      <c r="I10" s="26">
        <f>ROUNDDOWN($M$7*$M$5*$M$4*$M$6*$M$25*T$29*T$47*$M$8, )</f>
        <v>499</v>
      </c>
      <c r="J10" s="25">
        <f t="shared" si="1"/>
        <v>1206</v>
      </c>
      <c r="L10" s="142" t="s">
        <v>120</v>
      </c>
      <c r="M10" s="143"/>
      <c r="N10" s="144"/>
      <c r="P10" s="21" t="s">
        <v>30</v>
      </c>
      <c r="Q10" s="22">
        <f>'Last MR Verified_Baccin'!C4</f>
        <v>42133.904761904763</v>
      </c>
      <c r="R10" s="22">
        <f>$Q$10</f>
        <v>42133.904761904763</v>
      </c>
      <c r="S10" s="22">
        <f t="shared" ref="S10:Z10" si="2">$Q$10</f>
        <v>42133.904761904763</v>
      </c>
      <c r="T10" s="22">
        <f t="shared" si="2"/>
        <v>42133.904761904763</v>
      </c>
      <c r="U10" s="22">
        <f t="shared" si="2"/>
        <v>42133.904761904763</v>
      </c>
      <c r="V10" s="22">
        <f t="shared" si="2"/>
        <v>42133.904761904763</v>
      </c>
      <c r="W10" s="22">
        <f t="shared" si="2"/>
        <v>42133.904761904763</v>
      </c>
      <c r="X10" s="22">
        <f t="shared" si="2"/>
        <v>42133.904761904763</v>
      </c>
      <c r="Y10" s="22">
        <f t="shared" si="2"/>
        <v>42133.904761904763</v>
      </c>
      <c r="Z10" s="22">
        <f t="shared" si="2"/>
        <v>42133.904761904763</v>
      </c>
    </row>
    <row r="11" spans="2:26" x14ac:dyDescent="0.25">
      <c r="B11" s="24">
        <v>2025</v>
      </c>
      <c r="C11" s="3">
        <f>$M$7*$M$5*$M$4*$M$6*$M$17*U$23*U$41*$M$8</f>
        <v>0</v>
      </c>
      <c r="D11" s="3">
        <f>$M$7*$M$5*$M$4*$M$6*$M$17*U$24*U$42*$M$8</f>
        <v>0</v>
      </c>
      <c r="E11" s="3">
        <f>$M$7*$M$5*$M$4*$M$6*$M$17*U$24*U$42*$M$8</f>
        <v>0</v>
      </c>
      <c r="F11" s="3">
        <f>$M$7*$M$5*$M$4*$M$6*$M$17*U$26*U$44*$M$8</f>
        <v>0</v>
      </c>
      <c r="G11" s="3">
        <f>$M$7*$M$5*$M$4*$M$6*$M$25*U$27*U$45*$M$8</f>
        <v>0</v>
      </c>
      <c r="H11" s="25">
        <f>ROUNDDOWN($M$7*$M$5*$M$4*$M$6*$M$25*U$28*U$46*$M$8, )</f>
        <v>707</v>
      </c>
      <c r="I11" s="26">
        <f>ROUNDDOWN($M$7*$M$5*$M$4*$M$6*$M$25*U$29*U$47*$M$8, )</f>
        <v>499</v>
      </c>
      <c r="J11" s="25">
        <f t="shared" si="1"/>
        <v>1206</v>
      </c>
      <c r="L11" s="145"/>
      <c r="M11" s="146"/>
      <c r="N11" s="147"/>
      <c r="P11" s="21" t="s">
        <v>31</v>
      </c>
      <c r="Q11" s="22">
        <f>'Last MR Verified_Baccin'!C13</f>
        <v>5882.7460317460318</v>
      </c>
      <c r="R11" s="22">
        <f>$Q$11</f>
        <v>5882.7460317460318</v>
      </c>
      <c r="S11" s="22">
        <f t="shared" ref="S11:Z11" si="3">$Q$11</f>
        <v>5882.7460317460318</v>
      </c>
      <c r="T11" s="22">
        <f t="shared" si="3"/>
        <v>5882.7460317460318</v>
      </c>
      <c r="U11" s="22">
        <f t="shared" si="3"/>
        <v>5882.7460317460318</v>
      </c>
      <c r="V11" s="22">
        <f t="shared" si="3"/>
        <v>5882.7460317460318</v>
      </c>
      <c r="W11" s="22">
        <f t="shared" si="3"/>
        <v>5882.7460317460318</v>
      </c>
      <c r="X11" s="22">
        <f t="shared" si="3"/>
        <v>5882.7460317460318</v>
      </c>
      <c r="Y11" s="22">
        <f t="shared" si="3"/>
        <v>5882.7460317460318</v>
      </c>
      <c r="Z11" s="22">
        <f t="shared" si="3"/>
        <v>5882.7460317460318</v>
      </c>
    </row>
    <row r="12" spans="2:26" ht="15.75" x14ac:dyDescent="0.25">
      <c r="B12" s="24">
        <v>2026</v>
      </c>
      <c r="C12" s="3">
        <f>$M$7*$M$5*$M$4*$M$6*$M$17*V$23*V$41*$M$8</f>
        <v>0</v>
      </c>
      <c r="D12" s="3">
        <f>$M$7*$M$5*$M$4*$M$6*$M$17*V$24*V$42*$M$8</f>
        <v>0</v>
      </c>
      <c r="E12" s="3">
        <f>$M$7*$M$5*$M$4*$M$6*$M$17*V$24*V$42*$M$8</f>
        <v>0</v>
      </c>
      <c r="F12" s="3">
        <f>$M$7*$M$5*$M$4*$M$6*$M$17*V$26*V$44*$M$8</f>
        <v>0</v>
      </c>
      <c r="G12" s="3">
        <f>$M$7*$M$5*$M$4*$M$6*$M$25*V$27*V$45*$M$8</f>
        <v>0</v>
      </c>
      <c r="H12" s="25">
        <f>ROUNDDOWN($M$7*$M$5*$M$4*$M$6*$M$25*V$28*V$46*$M$8, )</f>
        <v>707</v>
      </c>
      <c r="I12" s="26">
        <f>ROUNDDOWN($M$7*$M$5*$M$4*$M$6*$M$25*V$29*V$47*$M$8, )</f>
        <v>499</v>
      </c>
      <c r="J12" s="25">
        <f t="shared" si="1"/>
        <v>1206</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$M$7*$M$5*$M$4*$M$6*$M$17*W$23*W$41*$M$8</f>
        <v>0</v>
      </c>
      <c r="D13" s="3">
        <f>$M$7*$M$5*$M$4*$M$6*$M$17*W$24*W$42*$M$8</f>
        <v>0</v>
      </c>
      <c r="E13" s="3">
        <f>$M$7*$M$5*$M$4*$M$6*$M$17*W$24*W$42*$M$8</f>
        <v>0</v>
      </c>
      <c r="F13" s="3">
        <f>$M$7*$M$5*$M$4*$M$6*$M$17*W$26*W$44*$M$8</f>
        <v>0</v>
      </c>
      <c r="G13" s="3">
        <f>$M$7*$M$5*$M$4*$M$6*$M$25*W$27*W$45*$M$8</f>
        <v>0</v>
      </c>
      <c r="H13" s="25">
        <f>ROUNDDOWN($M$7*$M$5*$M$4*$M$6*$M$25*W$28*W$46*$M$8, )</f>
        <v>707</v>
      </c>
      <c r="I13" s="26">
        <f>ROUNDDOWN($M$7*$M$5*$M$4*$M$6*$M$25*W$29*W$47*$M$8, )</f>
        <v>499</v>
      </c>
      <c r="J13" s="25">
        <f t="shared" si="1"/>
        <v>1206</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4.25" customHeight="1" x14ac:dyDescent="0.25">
      <c r="B14" s="24">
        <v>2028</v>
      </c>
      <c r="C14" s="3">
        <f>$M$7*$M$5*$M$4*$M$6*$M$17*X$23*X$41*$M$8</f>
        <v>0</v>
      </c>
      <c r="D14" s="3">
        <f>$M$7*$M$5*$M$4*$M$6*$M$17*X$24*X$42*$M$8</f>
        <v>0</v>
      </c>
      <c r="E14" s="3">
        <f>$M$7*$M$5*$M$4*$M$6*$M$17*X$24*X$42*$M$8</f>
        <v>0</v>
      </c>
      <c r="F14" s="3">
        <f>$M$7*$M$5*$M$4*$M$6*$M$17*X$26*X$44*$M$8</f>
        <v>0</v>
      </c>
      <c r="G14" s="3">
        <f>$M$7*$M$5*$M$4*$M$6*$M$25*X$27*X$45*$M$8</f>
        <v>0</v>
      </c>
      <c r="H14" s="25">
        <f>ROUNDDOWN($M$7*$M$5*$M$4*$M$6*$M$25*X$28*X$46*$M$8, )</f>
        <v>707</v>
      </c>
      <c r="I14" s="26">
        <f>ROUNDDOWN($M$7*$M$5*$M$4*$M$6*$M$25*X$29*X$47*$M$8, )</f>
        <v>499</v>
      </c>
      <c r="J14" s="25">
        <f t="shared" si="1"/>
        <v>1206</v>
      </c>
      <c r="L14" s="139" t="s">
        <v>37</v>
      </c>
      <c r="M14" s="140"/>
      <c r="N14" s="141"/>
      <c r="P14" s="21" t="s">
        <v>25</v>
      </c>
      <c r="Q14" s="22">
        <v>0</v>
      </c>
      <c r="R14" s="22">
        <f t="shared" ref="R14:Z18" si="4">$Q14</f>
        <v>0</v>
      </c>
      <c r="S14" s="22">
        <f t="shared" si="4"/>
        <v>0</v>
      </c>
      <c r="T14" s="22">
        <f t="shared" si="4"/>
        <v>0</v>
      </c>
      <c r="U14" s="22">
        <f t="shared" si="4"/>
        <v>0</v>
      </c>
      <c r="V14" s="22">
        <f t="shared" si="4"/>
        <v>0</v>
      </c>
      <c r="W14" s="22">
        <f t="shared" si="4"/>
        <v>0</v>
      </c>
      <c r="X14" s="22">
        <f t="shared" si="4"/>
        <v>0</v>
      </c>
      <c r="Y14" s="22">
        <f t="shared" si="4"/>
        <v>0</v>
      </c>
      <c r="Z14" s="22">
        <f t="shared" si="4"/>
        <v>0</v>
      </c>
    </row>
    <row r="15" spans="2:26" x14ac:dyDescent="0.25">
      <c r="B15" s="24">
        <v>2029</v>
      </c>
      <c r="C15" s="3">
        <f>$M$7*$M$5*$M$4*$M$6*$M$17*Y$23*Y$41*$M$8</f>
        <v>0</v>
      </c>
      <c r="D15" s="3">
        <f>$M$7*$M$5*$M$4*$M$6*$M$17*Y$24*Y$42*$M$8</f>
        <v>0</v>
      </c>
      <c r="E15" s="3">
        <f>$M$7*$M$5*$M$4*$M$6*$M$17*Y$24*Y$42*$M$8</f>
        <v>0</v>
      </c>
      <c r="F15" s="3">
        <f>$M$7*$M$5*$M$4*$M$6*$M$17*Y$26*Y$44*$M$8</f>
        <v>0</v>
      </c>
      <c r="G15" s="3">
        <f>$M$7*$M$5*$M$4*$M$6*$M$25*Y$27*Y$45*$M$8</f>
        <v>0</v>
      </c>
      <c r="H15" s="25">
        <f>ROUNDDOWN($M$7*$M$5*$M$4*$M$6*$M$25*Y$28*Y$46*$M$8, )</f>
        <v>707</v>
      </c>
      <c r="I15" s="26">
        <f>ROUNDDOWN($M$7*$M$5*$M$4*$M$6*$M$25*Y$29*Y$47*$M$8, )</f>
        <v>499</v>
      </c>
      <c r="J15" s="25">
        <f t="shared" si="1"/>
        <v>1206</v>
      </c>
      <c r="L15" s="74" t="s">
        <v>40</v>
      </c>
      <c r="M15" s="75">
        <f>(1.7*(M19/1000))</f>
        <v>0.34849999999999998</v>
      </c>
      <c r="N15" s="74" t="s">
        <v>38</v>
      </c>
      <c r="P15" s="21" t="s">
        <v>26</v>
      </c>
      <c r="Q15" s="22">
        <v>0</v>
      </c>
      <c r="R15" s="22">
        <f t="shared" si="4"/>
        <v>0</v>
      </c>
      <c r="S15" s="22">
        <f t="shared" si="4"/>
        <v>0</v>
      </c>
      <c r="T15" s="22">
        <f t="shared" si="4"/>
        <v>0</v>
      </c>
      <c r="U15" s="22">
        <f t="shared" si="4"/>
        <v>0</v>
      </c>
      <c r="V15" s="22">
        <f t="shared" si="4"/>
        <v>0</v>
      </c>
      <c r="W15" s="22">
        <f t="shared" si="4"/>
        <v>0</v>
      </c>
      <c r="X15" s="22">
        <f t="shared" si="4"/>
        <v>0</v>
      </c>
      <c r="Y15" s="22">
        <f t="shared" si="4"/>
        <v>0</v>
      </c>
      <c r="Z15" s="22">
        <f t="shared" si="4"/>
        <v>0</v>
      </c>
    </row>
    <row r="16" spans="2:26" ht="14.25" customHeight="1" x14ac:dyDescent="0.25">
      <c r="B16" s="24">
        <v>2030</v>
      </c>
      <c r="C16" s="3">
        <f>$M$7*$M$5*$M$4*$M$6*$M$17*Z$23*Z$41*$M$8</f>
        <v>0</v>
      </c>
      <c r="D16" s="3">
        <f>$M$7*$M$5*$M$4*$M$6*$M$17*Z$24*Z$42*$M$8</f>
        <v>0</v>
      </c>
      <c r="E16" s="3">
        <f>$M$7*$M$5*$M$4*$M$6*$M$17*Z$24*Z$42*$M$8</f>
        <v>0</v>
      </c>
      <c r="F16" s="3">
        <f>$M$7*$M$5*$M$4*$M$6*$M$17*Z$26*Z$44*$M$8</f>
        <v>0</v>
      </c>
      <c r="G16" s="3">
        <f>$M$7*$M$5*$M$4*$M$6*$M$25*Z$27*Z$45*$M$8</f>
        <v>0</v>
      </c>
      <c r="H16" s="25">
        <f>ROUNDDOWN($M$7*$M$5*$M$4*$M$6*$M$25*Z$28*Z$46*$M$8, )</f>
        <v>707</v>
      </c>
      <c r="I16" s="26">
        <f>ROUNDDOWN($M$7*$M$5*$M$4*$M$6*$M$25*Z$29*Z$47*$M$8, )</f>
        <v>499</v>
      </c>
      <c r="J16" s="25">
        <f t="shared" si="1"/>
        <v>1206</v>
      </c>
      <c r="L16" s="139" t="s">
        <v>42</v>
      </c>
      <c r="M16" s="140"/>
      <c r="N16" s="141"/>
      <c r="P16" s="21" t="s">
        <v>39</v>
      </c>
      <c r="Q16" s="22">
        <v>0</v>
      </c>
      <c r="R16" s="22">
        <f t="shared" si="4"/>
        <v>0</v>
      </c>
      <c r="S16" s="22">
        <f t="shared" si="4"/>
        <v>0</v>
      </c>
      <c r="T16" s="22">
        <f t="shared" si="4"/>
        <v>0</v>
      </c>
      <c r="U16" s="22">
        <f t="shared" si="4"/>
        <v>0</v>
      </c>
      <c r="V16" s="22">
        <f t="shared" si="4"/>
        <v>0</v>
      </c>
      <c r="W16" s="22">
        <f t="shared" si="4"/>
        <v>0</v>
      </c>
      <c r="X16" s="22">
        <f t="shared" si="4"/>
        <v>0</v>
      </c>
      <c r="Y16" s="22">
        <f t="shared" si="4"/>
        <v>0</v>
      </c>
      <c r="Z16" s="22">
        <f t="shared" si="4"/>
        <v>0</v>
      </c>
    </row>
    <row r="17" spans="2:26" ht="15.75" x14ac:dyDescent="0.25">
      <c r="B17" s="28" t="s">
        <v>0</v>
      </c>
      <c r="C17" s="25">
        <f>ROUNDDOWN(SUM(C7:C16),)</f>
        <v>0</v>
      </c>
      <c r="D17" s="25">
        <f t="shared" ref="D17:H17" si="5">ROUNDDOWN(SUM(D7:D16),)</f>
        <v>0</v>
      </c>
      <c r="E17" s="25">
        <f t="shared" si="5"/>
        <v>0</v>
      </c>
      <c r="F17" s="25">
        <f t="shared" si="5"/>
        <v>0</v>
      </c>
      <c r="G17" s="25">
        <f t="shared" si="5"/>
        <v>0</v>
      </c>
      <c r="H17" s="25">
        <f t="shared" si="5"/>
        <v>7070</v>
      </c>
      <c r="I17" s="25">
        <f>ROUNDDOWN(SUM(I7:I16),)</f>
        <v>4990</v>
      </c>
      <c r="J17" s="25">
        <f>ROUNDDOWN(SUM(C17:I17),)</f>
        <v>12060</v>
      </c>
      <c r="L17" s="74" t="s">
        <v>40</v>
      </c>
      <c r="M17" s="74">
        <f>0.45</f>
        <v>0.45</v>
      </c>
      <c r="N17" s="74" t="s">
        <v>43</v>
      </c>
      <c r="P17" s="21" t="s">
        <v>41</v>
      </c>
      <c r="Q17" s="22">
        <v>0</v>
      </c>
      <c r="R17" s="22">
        <f t="shared" si="4"/>
        <v>0</v>
      </c>
      <c r="S17" s="22">
        <f t="shared" si="4"/>
        <v>0</v>
      </c>
      <c r="T17" s="22">
        <f t="shared" si="4"/>
        <v>0</v>
      </c>
      <c r="U17" s="22">
        <f t="shared" si="4"/>
        <v>0</v>
      </c>
      <c r="V17" s="22">
        <f t="shared" si="4"/>
        <v>0</v>
      </c>
      <c r="W17" s="22">
        <f t="shared" si="4"/>
        <v>0</v>
      </c>
      <c r="X17" s="22">
        <f t="shared" si="4"/>
        <v>0</v>
      </c>
      <c r="Y17" s="22">
        <f t="shared" si="4"/>
        <v>0</v>
      </c>
      <c r="Z17" s="22">
        <f t="shared" si="4"/>
        <v>0</v>
      </c>
    </row>
    <row r="18" spans="2:26" ht="14.25" customHeight="1" x14ac:dyDescent="0.25">
      <c r="B18" s="29"/>
      <c r="C18" s="30"/>
      <c r="D18" s="30"/>
      <c r="E18" s="30"/>
      <c r="F18" s="30"/>
      <c r="G18" s="30"/>
      <c r="H18" s="30"/>
      <c r="I18" s="30"/>
      <c r="J18" s="30"/>
      <c r="L18" s="139" t="s">
        <v>46</v>
      </c>
      <c r="M18" s="140"/>
      <c r="N18" s="141"/>
      <c r="P18" s="21" t="s">
        <v>29</v>
      </c>
      <c r="Q18" s="22">
        <v>0</v>
      </c>
      <c r="R18" s="22">
        <f t="shared" si="4"/>
        <v>0</v>
      </c>
      <c r="S18" s="22">
        <f t="shared" si="4"/>
        <v>0</v>
      </c>
      <c r="T18" s="22">
        <f t="shared" si="4"/>
        <v>0</v>
      </c>
      <c r="U18" s="22">
        <f t="shared" si="4"/>
        <v>0</v>
      </c>
      <c r="V18" s="22">
        <f t="shared" si="4"/>
        <v>0</v>
      </c>
      <c r="W18" s="22">
        <f t="shared" si="4"/>
        <v>0</v>
      </c>
      <c r="X18" s="22">
        <f t="shared" si="4"/>
        <v>0</v>
      </c>
      <c r="Y18" s="22">
        <f t="shared" si="4"/>
        <v>0</v>
      </c>
      <c r="Z18" s="22">
        <f t="shared" si="4"/>
        <v>0</v>
      </c>
    </row>
    <row r="19" spans="2:26" ht="14.25" customHeight="1" x14ac:dyDescent="0.25">
      <c r="B19" s="29"/>
      <c r="C19" s="30"/>
      <c r="D19" s="30"/>
      <c r="E19" s="30"/>
      <c r="F19" s="30"/>
      <c r="G19" s="30"/>
      <c r="H19" s="30"/>
      <c r="I19" s="30"/>
      <c r="J19" s="30"/>
      <c r="L19" s="74" t="s">
        <v>40</v>
      </c>
      <c r="M19" s="74">
        <v>205</v>
      </c>
      <c r="N19" s="74" t="s">
        <v>47</v>
      </c>
      <c r="P19" s="21" t="s">
        <v>44</v>
      </c>
      <c r="Q19" s="22">
        <f>'Last MR Verified_Baccin'!C5</f>
        <v>48.254035124164723</v>
      </c>
      <c r="R19" s="22">
        <f>$Q$19</f>
        <v>48.254035124164723</v>
      </c>
      <c r="S19" s="22">
        <f t="shared" ref="S19:Z19" si="6">$Q$19</f>
        <v>48.254035124164723</v>
      </c>
      <c r="T19" s="22">
        <f t="shared" si="6"/>
        <v>48.254035124164723</v>
      </c>
      <c r="U19" s="22">
        <f t="shared" si="6"/>
        <v>48.254035124164723</v>
      </c>
      <c r="V19" s="22">
        <f t="shared" si="6"/>
        <v>48.254035124164723</v>
      </c>
      <c r="W19" s="22">
        <f t="shared" si="6"/>
        <v>48.254035124164723</v>
      </c>
      <c r="X19" s="22">
        <f t="shared" si="6"/>
        <v>48.254035124164723</v>
      </c>
      <c r="Y19" s="22">
        <f t="shared" si="6"/>
        <v>48.254035124164723</v>
      </c>
      <c r="Z19" s="22">
        <f t="shared" si="6"/>
        <v>48.254035124164723</v>
      </c>
    </row>
    <row r="20" spans="2:26" x14ac:dyDescent="0.25">
      <c r="B20" s="30"/>
      <c r="C20" s="30"/>
      <c r="D20" s="30"/>
      <c r="E20" s="30"/>
      <c r="F20" s="30"/>
      <c r="G20" s="30"/>
      <c r="H20" s="30"/>
      <c r="I20" s="30"/>
      <c r="J20" s="68"/>
      <c r="L20" s="148" t="s">
        <v>131</v>
      </c>
      <c r="M20" s="149"/>
      <c r="N20" s="150"/>
      <c r="P20" s="21" t="s">
        <v>31</v>
      </c>
      <c r="Q20" s="22">
        <f>'Last MR Verified_Baccin'!C14</f>
        <v>98.520400553957586</v>
      </c>
      <c r="R20" s="22">
        <f>$Q$20</f>
        <v>98.520400553957586</v>
      </c>
      <c r="S20" s="22">
        <f t="shared" ref="S20:Z20" si="7">$Q$20</f>
        <v>98.520400553957586</v>
      </c>
      <c r="T20" s="22">
        <f t="shared" si="7"/>
        <v>98.520400553957586</v>
      </c>
      <c r="U20" s="22">
        <f t="shared" si="7"/>
        <v>98.520400553957586</v>
      </c>
      <c r="V20" s="22">
        <f t="shared" si="7"/>
        <v>98.520400553957586</v>
      </c>
      <c r="W20" s="22">
        <f t="shared" si="7"/>
        <v>98.520400553957586</v>
      </c>
      <c r="X20" s="22">
        <f t="shared" si="7"/>
        <v>98.520400553957586</v>
      </c>
      <c r="Y20" s="22">
        <f t="shared" si="7"/>
        <v>98.520400553957586</v>
      </c>
      <c r="Z20" s="22">
        <f t="shared" si="7"/>
        <v>98.520400553957586</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4.2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30"/>
      <c r="I23" s="30"/>
      <c r="J23" s="30"/>
      <c r="L23" s="74" t="s">
        <v>40</v>
      </c>
      <c r="M23" s="75">
        <f>(4.3*(M27/1000))</f>
        <v>0.25369999999999998</v>
      </c>
      <c r="N23" s="74" t="s">
        <v>38</v>
      </c>
      <c r="P23" s="21" t="s">
        <v>25</v>
      </c>
      <c r="Q23" s="31">
        <v>0</v>
      </c>
      <c r="R23" s="31">
        <f t="shared" ref="R23:R27" si="8">Q23</f>
        <v>0</v>
      </c>
      <c r="S23" s="22">
        <f t="shared" ref="S23:Z27" si="9">$Q23</f>
        <v>0</v>
      </c>
      <c r="T23" s="22">
        <f t="shared" si="9"/>
        <v>0</v>
      </c>
      <c r="U23" s="22">
        <f t="shared" si="9"/>
        <v>0</v>
      </c>
      <c r="V23" s="22">
        <f t="shared" si="9"/>
        <v>0</v>
      </c>
      <c r="W23" s="22">
        <f t="shared" si="9"/>
        <v>0</v>
      </c>
      <c r="X23" s="22">
        <f t="shared" si="9"/>
        <v>0</v>
      </c>
      <c r="Y23" s="22">
        <f t="shared" si="9"/>
        <v>0</v>
      </c>
      <c r="Z23" s="22">
        <f t="shared" si="9"/>
        <v>0</v>
      </c>
    </row>
    <row r="24" spans="2:26" ht="14.25" customHeight="1" x14ac:dyDescent="0.25">
      <c r="B24" s="30"/>
      <c r="C24" s="30"/>
      <c r="D24" s="30"/>
      <c r="E24" s="30"/>
      <c r="F24" s="30"/>
      <c r="G24" s="30"/>
      <c r="H24" s="30"/>
      <c r="I24" s="30"/>
      <c r="J24" s="30"/>
      <c r="L24" s="139" t="s">
        <v>42</v>
      </c>
      <c r="M24" s="140"/>
      <c r="N24" s="141"/>
      <c r="P24" s="21" t="s">
        <v>26</v>
      </c>
      <c r="Q24" s="31">
        <v>0</v>
      </c>
      <c r="R24" s="31">
        <f t="shared" si="8"/>
        <v>0</v>
      </c>
      <c r="S24" s="22">
        <f t="shared" si="9"/>
        <v>0</v>
      </c>
      <c r="T24" s="22">
        <f t="shared" si="9"/>
        <v>0</v>
      </c>
      <c r="U24" s="22">
        <f t="shared" si="9"/>
        <v>0</v>
      </c>
      <c r="V24" s="22">
        <f t="shared" si="9"/>
        <v>0</v>
      </c>
      <c r="W24" s="22">
        <f t="shared" si="9"/>
        <v>0</v>
      </c>
      <c r="X24" s="22">
        <f t="shared" si="9"/>
        <v>0</v>
      </c>
      <c r="Y24" s="22">
        <f t="shared" si="9"/>
        <v>0</v>
      </c>
      <c r="Z24" s="22">
        <f t="shared" si="9"/>
        <v>0</v>
      </c>
    </row>
    <row r="25" spans="2:26" ht="15.75" x14ac:dyDescent="0.25">
      <c r="B25" s="30"/>
      <c r="C25" s="30"/>
      <c r="D25" s="30"/>
      <c r="E25" s="30"/>
      <c r="F25" s="30"/>
      <c r="G25" s="30"/>
      <c r="H25" s="30"/>
      <c r="I25" s="30"/>
      <c r="J25" s="30"/>
      <c r="L25" s="74" t="s">
        <v>40</v>
      </c>
      <c r="M25" s="74">
        <f>0.45</f>
        <v>0.45</v>
      </c>
      <c r="N25" s="74" t="s">
        <v>43</v>
      </c>
      <c r="P25" s="21" t="s">
        <v>39</v>
      </c>
      <c r="Q25" s="31">
        <v>0</v>
      </c>
      <c r="R25" s="31">
        <f t="shared" si="8"/>
        <v>0</v>
      </c>
      <c r="S25" s="22">
        <f t="shared" si="9"/>
        <v>0</v>
      </c>
      <c r="T25" s="22">
        <f t="shared" si="9"/>
        <v>0</v>
      </c>
      <c r="U25" s="22">
        <f t="shared" si="9"/>
        <v>0</v>
      </c>
      <c r="V25" s="22">
        <f t="shared" si="9"/>
        <v>0</v>
      </c>
      <c r="W25" s="22">
        <f t="shared" si="9"/>
        <v>0</v>
      </c>
      <c r="X25" s="22">
        <f t="shared" si="9"/>
        <v>0</v>
      </c>
      <c r="Y25" s="22">
        <f t="shared" si="9"/>
        <v>0</v>
      </c>
      <c r="Z25" s="22">
        <f t="shared" si="9"/>
        <v>0</v>
      </c>
    </row>
    <row r="26" spans="2:26" ht="12.75" customHeight="1" x14ac:dyDescent="0.25">
      <c r="B26" s="30"/>
      <c r="C26" s="30"/>
      <c r="D26" s="30"/>
      <c r="E26" s="30"/>
      <c r="F26" s="30"/>
      <c r="G26" s="30"/>
      <c r="H26" s="30"/>
      <c r="I26" s="30"/>
      <c r="J26" s="30"/>
      <c r="L26" s="139" t="s">
        <v>46</v>
      </c>
      <c r="M26" s="140"/>
      <c r="N26" s="141"/>
      <c r="P26" s="21" t="s">
        <v>41</v>
      </c>
      <c r="Q26" s="31">
        <v>0</v>
      </c>
      <c r="R26" s="31">
        <f t="shared" si="8"/>
        <v>0</v>
      </c>
      <c r="S26" s="22">
        <f t="shared" si="9"/>
        <v>0</v>
      </c>
      <c r="T26" s="22">
        <f t="shared" si="9"/>
        <v>0</v>
      </c>
      <c r="U26" s="22">
        <f t="shared" si="9"/>
        <v>0</v>
      </c>
      <c r="V26" s="22">
        <f t="shared" si="9"/>
        <v>0</v>
      </c>
      <c r="W26" s="22">
        <f t="shared" si="9"/>
        <v>0</v>
      </c>
      <c r="X26" s="22">
        <f t="shared" si="9"/>
        <v>0</v>
      </c>
      <c r="Y26" s="22">
        <f t="shared" si="9"/>
        <v>0</v>
      </c>
      <c r="Z26" s="22">
        <f t="shared" si="9"/>
        <v>0</v>
      </c>
    </row>
    <row r="27" spans="2:26" ht="12.75" customHeight="1" x14ac:dyDescent="0.25">
      <c r="B27" s="30"/>
      <c r="C27" s="30"/>
      <c r="D27" s="30"/>
      <c r="E27" s="30"/>
      <c r="F27" s="30"/>
      <c r="G27" s="30"/>
      <c r="H27" s="30"/>
      <c r="I27" s="30"/>
      <c r="J27" s="30"/>
      <c r="L27" s="74" t="s">
        <v>40</v>
      </c>
      <c r="M27" s="74">
        <v>59</v>
      </c>
      <c r="N27" s="74" t="s">
        <v>47</v>
      </c>
      <c r="P27" s="21" t="s">
        <v>29</v>
      </c>
      <c r="Q27" s="31">
        <v>0</v>
      </c>
      <c r="R27" s="31">
        <f t="shared" si="8"/>
        <v>0</v>
      </c>
      <c r="S27" s="22">
        <f t="shared" si="9"/>
        <v>0</v>
      </c>
      <c r="T27" s="22">
        <f t="shared" si="9"/>
        <v>0</v>
      </c>
      <c r="U27" s="22">
        <f t="shared" si="9"/>
        <v>0</v>
      </c>
      <c r="V27" s="22">
        <f t="shared" si="9"/>
        <v>0</v>
      </c>
      <c r="W27" s="22">
        <f t="shared" si="9"/>
        <v>0</v>
      </c>
      <c r="X27" s="22">
        <f t="shared" si="9"/>
        <v>0</v>
      </c>
      <c r="Y27" s="22">
        <f t="shared" si="9"/>
        <v>0</v>
      </c>
      <c r="Z27" s="22">
        <f t="shared" si="9"/>
        <v>0</v>
      </c>
    </row>
    <row r="28" spans="2:26" x14ac:dyDescent="0.25">
      <c r="B28" s="30"/>
      <c r="C28" s="30"/>
      <c r="D28" s="30"/>
      <c r="E28" s="30"/>
      <c r="F28" s="30"/>
      <c r="G28" s="30"/>
      <c r="H28" s="30"/>
      <c r="I28" s="30"/>
      <c r="J28" s="30"/>
      <c r="L28" s="30"/>
      <c r="M28" s="30"/>
      <c r="N28" s="30"/>
      <c r="P28" s="21" t="s">
        <v>44</v>
      </c>
      <c r="Q28" s="22">
        <f>'Last MR Verified_Baccin'!C6</f>
        <v>5570.2216994497639</v>
      </c>
      <c r="R28" s="22">
        <f>$Q$28</f>
        <v>5570.2216994497639</v>
      </c>
      <c r="S28" s="22">
        <f t="shared" ref="S28:Z28" si="10">$Q$28</f>
        <v>5570.2216994497639</v>
      </c>
      <c r="T28" s="22">
        <f t="shared" si="10"/>
        <v>5570.2216994497639</v>
      </c>
      <c r="U28" s="22">
        <f t="shared" si="10"/>
        <v>5570.2216994497639</v>
      </c>
      <c r="V28" s="22">
        <f t="shared" si="10"/>
        <v>5570.2216994497639</v>
      </c>
      <c r="W28" s="22">
        <f t="shared" si="10"/>
        <v>5570.2216994497639</v>
      </c>
      <c r="X28" s="22">
        <f t="shared" si="10"/>
        <v>5570.2216994497639</v>
      </c>
      <c r="Y28" s="22">
        <f t="shared" si="10"/>
        <v>5570.2216994497639</v>
      </c>
      <c r="Z28" s="22">
        <f t="shared" si="10"/>
        <v>5570.2216994497639</v>
      </c>
    </row>
    <row r="29" spans="2:26" x14ac:dyDescent="0.25">
      <c r="B29" s="30"/>
      <c r="C29" s="30"/>
      <c r="D29" s="30"/>
      <c r="E29" s="30"/>
      <c r="F29" s="30"/>
      <c r="G29" s="30"/>
      <c r="H29" s="30"/>
      <c r="I29" s="30"/>
      <c r="J29" s="30"/>
      <c r="L29" s="30"/>
      <c r="M29" s="30"/>
      <c r="N29" s="30"/>
      <c r="P29" s="21" t="s">
        <v>31</v>
      </c>
      <c r="Q29" s="22">
        <f>'Last MR Verified_Baccin'!C15</f>
        <v>1587.8643709721193</v>
      </c>
      <c r="R29" s="22">
        <f>$Q$29</f>
        <v>1587.8643709721193</v>
      </c>
      <c r="S29" s="22">
        <f t="shared" ref="S29:Z29" si="11">$Q$29</f>
        <v>1587.8643709721193</v>
      </c>
      <c r="T29" s="22">
        <f t="shared" si="11"/>
        <v>1587.8643709721193</v>
      </c>
      <c r="U29" s="22">
        <f t="shared" si="11"/>
        <v>1587.8643709721193</v>
      </c>
      <c r="V29" s="22">
        <f t="shared" si="11"/>
        <v>1587.8643709721193</v>
      </c>
      <c r="W29" s="22">
        <f t="shared" si="11"/>
        <v>1587.8643709721193</v>
      </c>
      <c r="X29" s="22">
        <f t="shared" si="11"/>
        <v>1587.8643709721193</v>
      </c>
      <c r="Y29" s="22">
        <f t="shared" si="11"/>
        <v>1587.8643709721193</v>
      </c>
      <c r="Z29" s="22">
        <f t="shared" si="11"/>
        <v>1587.8643709721193</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x14ac:dyDescent="0.25">
      <c r="C32" s="30"/>
      <c r="D32" s="30"/>
      <c r="E32" s="30"/>
      <c r="F32" s="30"/>
      <c r="G32" s="30"/>
      <c r="H32" s="30"/>
      <c r="I32" s="30"/>
      <c r="J32" s="30"/>
      <c r="L32" s="30"/>
      <c r="M32" s="30"/>
      <c r="N32" s="30"/>
      <c r="P32" s="21" t="s">
        <v>49</v>
      </c>
      <c r="Q32" s="22">
        <v>0</v>
      </c>
      <c r="R32" s="22">
        <f t="shared" ref="R32:Z36" si="12">$Q32</f>
        <v>0</v>
      </c>
      <c r="S32" s="22">
        <f t="shared" si="12"/>
        <v>0</v>
      </c>
      <c r="T32" s="22">
        <f t="shared" si="12"/>
        <v>0</v>
      </c>
      <c r="U32" s="22">
        <f t="shared" si="12"/>
        <v>0</v>
      </c>
      <c r="V32" s="22">
        <f t="shared" si="12"/>
        <v>0</v>
      </c>
      <c r="W32" s="22">
        <f t="shared" si="12"/>
        <v>0</v>
      </c>
      <c r="X32" s="22">
        <f t="shared" si="12"/>
        <v>0</v>
      </c>
      <c r="Y32" s="22">
        <f t="shared" si="12"/>
        <v>0</v>
      </c>
      <c r="Z32" s="22">
        <f t="shared" si="12"/>
        <v>0</v>
      </c>
    </row>
    <row r="33" spans="3:26" x14ac:dyDescent="0.25">
      <c r="C33" s="30"/>
      <c r="D33" s="30"/>
      <c r="E33" s="30"/>
      <c r="F33" s="30"/>
      <c r="G33" s="30"/>
      <c r="H33" s="30"/>
      <c r="I33" s="30"/>
      <c r="J33" s="30"/>
      <c r="L33" s="30"/>
      <c r="M33" s="30"/>
      <c r="N33" s="30"/>
      <c r="P33" s="21" t="s">
        <v>26</v>
      </c>
      <c r="Q33" s="22">
        <v>0</v>
      </c>
      <c r="R33" s="22">
        <f t="shared" si="12"/>
        <v>0</v>
      </c>
      <c r="S33" s="22">
        <f t="shared" si="12"/>
        <v>0</v>
      </c>
      <c r="T33" s="22">
        <f t="shared" si="12"/>
        <v>0</v>
      </c>
      <c r="U33" s="22">
        <f t="shared" si="12"/>
        <v>0</v>
      </c>
      <c r="V33" s="22">
        <f t="shared" si="12"/>
        <v>0</v>
      </c>
      <c r="W33" s="22">
        <f t="shared" si="12"/>
        <v>0</v>
      </c>
      <c r="X33" s="22">
        <f t="shared" si="12"/>
        <v>0</v>
      </c>
      <c r="Y33" s="22">
        <f t="shared" si="12"/>
        <v>0</v>
      </c>
      <c r="Z33" s="22">
        <f t="shared" si="12"/>
        <v>0</v>
      </c>
    </row>
    <row r="34" spans="3:26" ht="14.25" customHeight="1" x14ac:dyDescent="0.25">
      <c r="C34" s="30"/>
      <c r="D34" s="30"/>
      <c r="E34" s="30"/>
      <c r="F34" s="30"/>
      <c r="G34" s="30"/>
      <c r="H34" s="30"/>
      <c r="I34" s="30"/>
      <c r="J34" s="30"/>
      <c r="L34" s="30"/>
      <c r="M34" s="30"/>
      <c r="N34" s="30"/>
      <c r="P34" s="21" t="s">
        <v>39</v>
      </c>
      <c r="Q34" s="22">
        <v>0</v>
      </c>
      <c r="R34" s="22">
        <f t="shared" si="12"/>
        <v>0</v>
      </c>
      <c r="S34" s="22">
        <f t="shared" si="12"/>
        <v>0</v>
      </c>
      <c r="T34" s="22">
        <f t="shared" si="12"/>
        <v>0</v>
      </c>
      <c r="U34" s="22">
        <f t="shared" si="12"/>
        <v>0</v>
      </c>
      <c r="V34" s="22">
        <f t="shared" si="12"/>
        <v>0</v>
      </c>
      <c r="W34" s="22">
        <f t="shared" si="12"/>
        <v>0</v>
      </c>
      <c r="X34" s="22">
        <f t="shared" si="12"/>
        <v>0</v>
      </c>
      <c r="Y34" s="22">
        <f t="shared" si="12"/>
        <v>0</v>
      </c>
      <c r="Z34" s="22">
        <f t="shared" si="12"/>
        <v>0</v>
      </c>
    </row>
    <row r="35" spans="3:26" ht="12.75" customHeight="1" x14ac:dyDescent="0.25">
      <c r="C35" s="30"/>
      <c r="D35" s="30"/>
      <c r="E35" s="30"/>
      <c r="F35" s="30"/>
      <c r="G35" s="30"/>
      <c r="H35" s="30"/>
      <c r="I35" s="30"/>
      <c r="J35" s="30"/>
      <c r="L35" s="30"/>
      <c r="M35" s="30"/>
      <c r="N35" s="30"/>
      <c r="P35" s="21" t="s">
        <v>41</v>
      </c>
      <c r="Q35" s="22">
        <v>0</v>
      </c>
      <c r="R35" s="22">
        <f t="shared" si="12"/>
        <v>0</v>
      </c>
      <c r="S35" s="22">
        <f t="shared" si="12"/>
        <v>0</v>
      </c>
      <c r="T35" s="22">
        <f t="shared" si="12"/>
        <v>0</v>
      </c>
      <c r="U35" s="22">
        <f t="shared" si="12"/>
        <v>0</v>
      </c>
      <c r="V35" s="22">
        <f t="shared" si="12"/>
        <v>0</v>
      </c>
      <c r="W35" s="22">
        <f t="shared" si="12"/>
        <v>0</v>
      </c>
      <c r="X35" s="22">
        <f t="shared" si="12"/>
        <v>0</v>
      </c>
      <c r="Y35" s="22">
        <f t="shared" si="12"/>
        <v>0</v>
      </c>
      <c r="Z35" s="22">
        <f t="shared" si="12"/>
        <v>0</v>
      </c>
    </row>
    <row r="36" spans="3:26" x14ac:dyDescent="0.25">
      <c r="C36" s="30"/>
      <c r="D36" s="30"/>
      <c r="E36" s="30"/>
      <c r="F36" s="30"/>
      <c r="G36" s="30"/>
      <c r="H36" s="30"/>
      <c r="I36" s="30"/>
      <c r="J36" s="30"/>
      <c r="L36" s="30"/>
      <c r="M36" s="30"/>
      <c r="N36" s="30"/>
      <c r="P36" s="21" t="s">
        <v>50</v>
      </c>
      <c r="Q36" s="22">
        <v>0</v>
      </c>
      <c r="R36" s="22">
        <f t="shared" si="12"/>
        <v>0</v>
      </c>
      <c r="S36" s="22">
        <f t="shared" si="12"/>
        <v>0</v>
      </c>
      <c r="T36" s="22">
        <f t="shared" si="12"/>
        <v>0</v>
      </c>
      <c r="U36" s="22">
        <f t="shared" si="12"/>
        <v>0</v>
      </c>
      <c r="V36" s="22">
        <f t="shared" si="12"/>
        <v>0</v>
      </c>
      <c r="W36" s="22">
        <f t="shared" si="12"/>
        <v>0</v>
      </c>
      <c r="X36" s="22">
        <f t="shared" si="12"/>
        <v>0</v>
      </c>
      <c r="Y36" s="22">
        <f t="shared" si="12"/>
        <v>0</v>
      </c>
      <c r="Z36" s="22">
        <f t="shared" si="12"/>
        <v>0</v>
      </c>
    </row>
    <row r="37" spans="3:26" ht="15" customHeight="1" x14ac:dyDescent="0.25">
      <c r="C37" s="30"/>
      <c r="D37" s="30"/>
      <c r="E37" s="30"/>
      <c r="F37" s="30"/>
      <c r="G37" s="30"/>
      <c r="H37" s="30"/>
      <c r="I37" s="30"/>
      <c r="J37" s="30"/>
      <c r="L37" s="30"/>
      <c r="M37" s="30"/>
      <c r="N37" s="30"/>
      <c r="P37" s="21" t="s">
        <v>30</v>
      </c>
      <c r="Q37" s="22">
        <f>'Last MR Verified_Baccin'!C7</f>
        <v>19.200488716618853</v>
      </c>
      <c r="R37" s="22">
        <f>$Q$37</f>
        <v>19.200488716618853</v>
      </c>
      <c r="S37" s="22">
        <f t="shared" ref="S37:Z37" si="13">$Q$37</f>
        <v>19.200488716618853</v>
      </c>
      <c r="T37" s="22">
        <f t="shared" si="13"/>
        <v>19.200488716618853</v>
      </c>
      <c r="U37" s="22">
        <f t="shared" si="13"/>
        <v>19.200488716618853</v>
      </c>
      <c r="V37" s="22">
        <f t="shared" si="13"/>
        <v>19.200488716618853</v>
      </c>
      <c r="W37" s="22">
        <f t="shared" si="13"/>
        <v>19.200488716618853</v>
      </c>
      <c r="X37" s="22">
        <f t="shared" si="13"/>
        <v>19.200488716618853</v>
      </c>
      <c r="Y37" s="22">
        <f t="shared" si="13"/>
        <v>19.200488716618853</v>
      </c>
      <c r="Z37" s="22">
        <f t="shared" si="13"/>
        <v>19.200488716618853</v>
      </c>
    </row>
    <row r="38" spans="3:26" x14ac:dyDescent="0.25">
      <c r="C38" s="30"/>
      <c r="D38" s="30"/>
      <c r="E38" s="30"/>
      <c r="F38" s="30"/>
      <c r="G38" s="30"/>
      <c r="H38" s="30"/>
      <c r="I38" s="30"/>
      <c r="J38" s="30"/>
      <c r="L38" s="30"/>
      <c r="M38" s="30"/>
      <c r="N38" s="30"/>
      <c r="P38" s="21" t="s">
        <v>31</v>
      </c>
      <c r="Q38" s="22">
        <f>'Last MR Verified_Baccin'!C16</f>
        <v>97.791371595873017</v>
      </c>
      <c r="R38" s="22">
        <f>$Q$38</f>
        <v>97.791371595873017</v>
      </c>
      <c r="S38" s="22">
        <f t="shared" ref="S38:Z38" si="14">$Q$38</f>
        <v>97.791371595873017</v>
      </c>
      <c r="T38" s="22">
        <f t="shared" si="14"/>
        <v>97.791371595873017</v>
      </c>
      <c r="U38" s="22">
        <f t="shared" si="14"/>
        <v>97.791371595873017</v>
      </c>
      <c r="V38" s="22">
        <f t="shared" si="14"/>
        <v>97.791371595873017</v>
      </c>
      <c r="W38" s="22">
        <f t="shared" si="14"/>
        <v>97.791371595873017</v>
      </c>
      <c r="X38" s="22">
        <f t="shared" si="14"/>
        <v>97.791371595873017</v>
      </c>
      <c r="Y38" s="22">
        <f t="shared" si="14"/>
        <v>97.791371595873017</v>
      </c>
      <c r="Z38" s="22">
        <f t="shared" si="14"/>
        <v>97.791371595873017</v>
      </c>
    </row>
    <row r="39" spans="3:26" x14ac:dyDescent="0.25">
      <c r="C39" s="30"/>
      <c r="D39" s="30"/>
      <c r="E39" s="30"/>
      <c r="F39" s="30"/>
      <c r="G39" s="30"/>
      <c r="H39" s="30"/>
      <c r="I39" s="30"/>
      <c r="J39" s="30"/>
      <c r="L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96">
        <f>(Q32/$M$19)*$M$15*Q50</f>
        <v>0</v>
      </c>
      <c r="R41" s="22">
        <f t="shared" ref="R41:Z45" si="15">$Q41</f>
        <v>0</v>
      </c>
      <c r="S41" s="22">
        <f t="shared" si="15"/>
        <v>0</v>
      </c>
      <c r="T41" s="22">
        <f t="shared" si="15"/>
        <v>0</v>
      </c>
      <c r="U41" s="22">
        <f t="shared" si="15"/>
        <v>0</v>
      </c>
      <c r="V41" s="22">
        <f t="shared" si="15"/>
        <v>0</v>
      </c>
      <c r="W41" s="22">
        <f t="shared" si="15"/>
        <v>0</v>
      </c>
      <c r="X41" s="22">
        <f t="shared" si="15"/>
        <v>0</v>
      </c>
      <c r="Y41" s="22">
        <f t="shared" si="15"/>
        <v>0</v>
      </c>
      <c r="Z41" s="22">
        <f t="shared" si="15"/>
        <v>0</v>
      </c>
    </row>
    <row r="42" spans="3:26" x14ac:dyDescent="0.25">
      <c r="L42" s="30"/>
      <c r="M42" s="30"/>
      <c r="N42" s="30"/>
      <c r="P42" s="21" t="s">
        <v>26</v>
      </c>
      <c r="Q42" s="96">
        <f>(Q33/$M$19)*$M$15*Q51</f>
        <v>0</v>
      </c>
      <c r="R42" s="22">
        <f t="shared" si="15"/>
        <v>0</v>
      </c>
      <c r="S42" s="22">
        <f t="shared" si="15"/>
        <v>0</v>
      </c>
      <c r="T42" s="22">
        <f t="shared" si="15"/>
        <v>0</v>
      </c>
      <c r="U42" s="22">
        <f t="shared" si="15"/>
        <v>0</v>
      </c>
      <c r="V42" s="22">
        <f t="shared" si="15"/>
        <v>0</v>
      </c>
      <c r="W42" s="22">
        <f t="shared" si="15"/>
        <v>0</v>
      </c>
      <c r="X42" s="22">
        <f t="shared" si="15"/>
        <v>0</v>
      </c>
      <c r="Y42" s="22">
        <f t="shared" si="15"/>
        <v>0</v>
      </c>
      <c r="Z42" s="22">
        <f t="shared" si="15"/>
        <v>0</v>
      </c>
    </row>
    <row r="43" spans="3:26" x14ac:dyDescent="0.25">
      <c r="L43" s="30"/>
      <c r="M43" s="30"/>
      <c r="N43" s="30"/>
      <c r="P43" s="21" t="s">
        <v>39</v>
      </c>
      <c r="Q43" s="96">
        <f>(Q34/$M$19)*$M$15*Q52</f>
        <v>0</v>
      </c>
      <c r="R43" s="22">
        <f t="shared" si="15"/>
        <v>0</v>
      </c>
      <c r="S43" s="22">
        <f t="shared" si="15"/>
        <v>0</v>
      </c>
      <c r="T43" s="22">
        <f t="shared" si="15"/>
        <v>0</v>
      </c>
      <c r="U43" s="22">
        <f t="shared" si="15"/>
        <v>0</v>
      </c>
      <c r="V43" s="22">
        <f t="shared" si="15"/>
        <v>0</v>
      </c>
      <c r="W43" s="22">
        <f t="shared" si="15"/>
        <v>0</v>
      </c>
      <c r="X43" s="22">
        <f t="shared" si="15"/>
        <v>0</v>
      </c>
      <c r="Y43" s="22">
        <f t="shared" si="15"/>
        <v>0</v>
      </c>
      <c r="Z43" s="22">
        <f t="shared" si="15"/>
        <v>0</v>
      </c>
    </row>
    <row r="44" spans="3:26" x14ac:dyDescent="0.25">
      <c r="L44" s="32"/>
      <c r="M44" s="33"/>
      <c r="N44" s="33"/>
      <c r="P44" s="21" t="s">
        <v>41</v>
      </c>
      <c r="Q44" s="96">
        <f>(Q35/$M$19)*$M$15*Q53</f>
        <v>0</v>
      </c>
      <c r="R44" s="22">
        <f t="shared" si="15"/>
        <v>0</v>
      </c>
      <c r="S44" s="22">
        <f t="shared" si="15"/>
        <v>0</v>
      </c>
      <c r="T44" s="22">
        <f t="shared" si="15"/>
        <v>0</v>
      </c>
      <c r="U44" s="22">
        <f t="shared" si="15"/>
        <v>0</v>
      </c>
      <c r="V44" s="22">
        <f t="shared" si="15"/>
        <v>0</v>
      </c>
      <c r="W44" s="22">
        <f t="shared" si="15"/>
        <v>0</v>
      </c>
      <c r="X44" s="22">
        <f t="shared" si="15"/>
        <v>0</v>
      </c>
      <c r="Y44" s="22">
        <f t="shared" si="15"/>
        <v>0</v>
      </c>
      <c r="Z44" s="22">
        <f t="shared" si="15"/>
        <v>0</v>
      </c>
    </row>
    <row r="45" spans="3:26" x14ac:dyDescent="0.25">
      <c r="P45" s="21" t="s">
        <v>50</v>
      </c>
      <c r="Q45" s="96">
        <f>(Q36/$M$27)*$M$23*Q54</f>
        <v>0</v>
      </c>
      <c r="R45" s="22">
        <f t="shared" si="15"/>
        <v>0</v>
      </c>
      <c r="S45" s="22">
        <f t="shared" si="15"/>
        <v>0</v>
      </c>
      <c r="T45" s="22">
        <f t="shared" si="15"/>
        <v>0</v>
      </c>
      <c r="U45" s="22">
        <f t="shared" si="15"/>
        <v>0</v>
      </c>
      <c r="V45" s="22">
        <f t="shared" si="15"/>
        <v>0</v>
      </c>
      <c r="W45" s="22">
        <f t="shared" si="15"/>
        <v>0</v>
      </c>
      <c r="X45" s="22">
        <f t="shared" si="15"/>
        <v>0</v>
      </c>
      <c r="Y45" s="22">
        <f t="shared" si="15"/>
        <v>0</v>
      </c>
      <c r="Z45" s="22">
        <f t="shared" si="15"/>
        <v>0</v>
      </c>
    </row>
    <row r="46" spans="3:26" x14ac:dyDescent="0.25">
      <c r="P46" s="21" t="s">
        <v>30</v>
      </c>
      <c r="Q46" s="96">
        <f>(Q37/$M$27)*$M$23*Q55</f>
        <v>21.922203707648901</v>
      </c>
      <c r="R46" s="22">
        <f>$Q$46</f>
        <v>21.922203707648901</v>
      </c>
      <c r="S46" s="22">
        <f t="shared" ref="S46:Z46" si="16">$Q$46</f>
        <v>21.922203707648901</v>
      </c>
      <c r="T46" s="22">
        <f t="shared" si="16"/>
        <v>21.922203707648901</v>
      </c>
      <c r="U46" s="22">
        <f t="shared" si="16"/>
        <v>21.922203707648901</v>
      </c>
      <c r="V46" s="22">
        <f t="shared" si="16"/>
        <v>21.922203707648901</v>
      </c>
      <c r="W46" s="22">
        <f t="shared" si="16"/>
        <v>21.922203707648901</v>
      </c>
      <c r="X46" s="22">
        <f t="shared" si="16"/>
        <v>21.922203707648901</v>
      </c>
      <c r="Y46" s="22">
        <f t="shared" si="16"/>
        <v>21.922203707648901</v>
      </c>
      <c r="Z46" s="22">
        <f t="shared" si="16"/>
        <v>21.922203707648901</v>
      </c>
    </row>
    <row r="47" spans="3:26" x14ac:dyDescent="0.25">
      <c r="P47" s="21" t="s">
        <v>31</v>
      </c>
      <c r="Q47" s="96">
        <f>(Q38/$M$27)*$M$23*Q56</f>
        <v>54.253773356460648</v>
      </c>
      <c r="R47" s="22">
        <f>$Q$47</f>
        <v>54.253773356460648</v>
      </c>
      <c r="S47" s="22">
        <f t="shared" ref="S47:Z47" si="17">$Q$47</f>
        <v>54.253773356460648</v>
      </c>
      <c r="T47" s="22">
        <f t="shared" si="17"/>
        <v>54.253773356460648</v>
      </c>
      <c r="U47" s="22">
        <f t="shared" si="17"/>
        <v>54.253773356460648</v>
      </c>
      <c r="V47" s="22">
        <f t="shared" si="17"/>
        <v>54.253773356460648</v>
      </c>
      <c r="W47" s="22">
        <f t="shared" si="17"/>
        <v>54.253773356460648</v>
      </c>
      <c r="X47" s="22">
        <f t="shared" si="17"/>
        <v>54.253773356460648</v>
      </c>
      <c r="Y47" s="22">
        <f t="shared" si="17"/>
        <v>54.253773356460648</v>
      </c>
      <c r="Z47" s="22">
        <f t="shared" si="17"/>
        <v>54.253773356460648</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25">
        <v>0</v>
      </c>
      <c r="R50" s="22">
        <f t="shared" ref="R50:Z54" si="18">$Q50</f>
        <v>0</v>
      </c>
      <c r="S50" s="22">
        <f t="shared" si="18"/>
        <v>0</v>
      </c>
      <c r="T50" s="22">
        <f t="shared" si="18"/>
        <v>0</v>
      </c>
      <c r="U50" s="22">
        <f t="shared" si="18"/>
        <v>0</v>
      </c>
      <c r="V50" s="22">
        <f t="shared" si="18"/>
        <v>0</v>
      </c>
      <c r="W50" s="22">
        <f t="shared" si="18"/>
        <v>0</v>
      </c>
      <c r="X50" s="22">
        <f t="shared" si="18"/>
        <v>0</v>
      </c>
      <c r="Y50" s="22">
        <f t="shared" si="18"/>
        <v>0</v>
      </c>
      <c r="Z50" s="22">
        <f t="shared" si="18"/>
        <v>0</v>
      </c>
    </row>
    <row r="51" spans="15:26" x14ac:dyDescent="0.25">
      <c r="O51" s="30"/>
      <c r="P51" s="21" t="s">
        <v>26</v>
      </c>
      <c r="Q51" s="25">
        <v>0</v>
      </c>
      <c r="R51" s="22">
        <f t="shared" si="18"/>
        <v>0</v>
      </c>
      <c r="S51" s="22">
        <f t="shared" si="18"/>
        <v>0</v>
      </c>
      <c r="T51" s="22">
        <f t="shared" si="18"/>
        <v>0</v>
      </c>
      <c r="U51" s="22">
        <f t="shared" si="18"/>
        <v>0</v>
      </c>
      <c r="V51" s="22">
        <f t="shared" si="18"/>
        <v>0</v>
      </c>
      <c r="W51" s="22">
        <f t="shared" si="18"/>
        <v>0</v>
      </c>
      <c r="X51" s="22">
        <f t="shared" si="18"/>
        <v>0</v>
      </c>
      <c r="Y51" s="22">
        <f t="shared" si="18"/>
        <v>0</v>
      </c>
      <c r="Z51" s="22">
        <f t="shared" si="18"/>
        <v>0</v>
      </c>
    </row>
    <row r="52" spans="15:26" x14ac:dyDescent="0.25">
      <c r="O52" s="30"/>
      <c r="P52" s="21" t="s">
        <v>39</v>
      </c>
      <c r="Q52" s="25">
        <v>0</v>
      </c>
      <c r="R52" s="22">
        <f t="shared" si="18"/>
        <v>0</v>
      </c>
      <c r="S52" s="22">
        <f t="shared" si="18"/>
        <v>0</v>
      </c>
      <c r="T52" s="22">
        <f t="shared" si="18"/>
        <v>0</v>
      </c>
      <c r="U52" s="22">
        <f t="shared" si="18"/>
        <v>0</v>
      </c>
      <c r="V52" s="22">
        <f t="shared" si="18"/>
        <v>0</v>
      </c>
      <c r="W52" s="22">
        <f t="shared" si="18"/>
        <v>0</v>
      </c>
      <c r="X52" s="22">
        <f t="shared" si="18"/>
        <v>0</v>
      </c>
      <c r="Y52" s="22">
        <f t="shared" si="18"/>
        <v>0</v>
      </c>
      <c r="Z52" s="22">
        <f t="shared" si="18"/>
        <v>0</v>
      </c>
    </row>
    <row r="53" spans="15:26" x14ac:dyDescent="0.25">
      <c r="O53" s="30"/>
      <c r="P53" s="21" t="s">
        <v>41</v>
      </c>
      <c r="Q53" s="25">
        <v>0</v>
      </c>
      <c r="R53" s="22">
        <f t="shared" si="18"/>
        <v>0</v>
      </c>
      <c r="S53" s="22">
        <f t="shared" si="18"/>
        <v>0</v>
      </c>
      <c r="T53" s="22">
        <f t="shared" si="18"/>
        <v>0</v>
      </c>
      <c r="U53" s="22">
        <f t="shared" si="18"/>
        <v>0</v>
      </c>
      <c r="V53" s="22">
        <f t="shared" si="18"/>
        <v>0</v>
      </c>
      <c r="W53" s="22">
        <f t="shared" si="18"/>
        <v>0</v>
      </c>
      <c r="X53" s="22">
        <f t="shared" si="18"/>
        <v>0</v>
      </c>
      <c r="Y53" s="22">
        <f t="shared" si="18"/>
        <v>0</v>
      </c>
      <c r="Z53" s="22">
        <f t="shared" si="18"/>
        <v>0</v>
      </c>
    </row>
    <row r="54" spans="15:26" x14ac:dyDescent="0.25">
      <c r="O54" s="30"/>
      <c r="P54" s="21" t="s">
        <v>50</v>
      </c>
      <c r="Q54" s="25">
        <v>0</v>
      </c>
      <c r="R54" s="22">
        <f t="shared" si="18"/>
        <v>0</v>
      </c>
      <c r="S54" s="22">
        <f t="shared" si="18"/>
        <v>0</v>
      </c>
      <c r="T54" s="22">
        <f t="shared" si="18"/>
        <v>0</v>
      </c>
      <c r="U54" s="22">
        <f t="shared" si="18"/>
        <v>0</v>
      </c>
      <c r="V54" s="22">
        <f t="shared" si="18"/>
        <v>0</v>
      </c>
      <c r="W54" s="22">
        <f t="shared" si="18"/>
        <v>0</v>
      </c>
      <c r="X54" s="22">
        <f t="shared" si="18"/>
        <v>0</v>
      </c>
      <c r="Y54" s="22">
        <f t="shared" si="18"/>
        <v>0</v>
      </c>
      <c r="Z54" s="22">
        <f t="shared" si="18"/>
        <v>0</v>
      </c>
    </row>
    <row r="55" spans="15:26" x14ac:dyDescent="0.25">
      <c r="O55" s="30"/>
      <c r="P55" s="21" t="s">
        <v>30</v>
      </c>
      <c r="Q55" s="25">
        <f>'Last MR Verified_Baccin'!C8</f>
        <v>265.52380952380952</v>
      </c>
      <c r="R55" s="22">
        <f>$Q$55</f>
        <v>265.52380952380952</v>
      </c>
      <c r="S55" s="22">
        <f t="shared" ref="S55:Z55" si="19">$Q$55</f>
        <v>265.52380952380952</v>
      </c>
      <c r="T55" s="22">
        <f t="shared" si="19"/>
        <v>265.52380952380952</v>
      </c>
      <c r="U55" s="22">
        <f t="shared" si="19"/>
        <v>265.52380952380952</v>
      </c>
      <c r="V55" s="22">
        <f t="shared" si="19"/>
        <v>265.52380952380952</v>
      </c>
      <c r="W55" s="22">
        <f t="shared" si="19"/>
        <v>265.52380952380952</v>
      </c>
      <c r="X55" s="22">
        <f t="shared" si="19"/>
        <v>265.52380952380952</v>
      </c>
      <c r="Y55" s="22">
        <f t="shared" si="19"/>
        <v>265.52380952380952</v>
      </c>
      <c r="Z55" s="22">
        <f t="shared" si="19"/>
        <v>265.52380952380952</v>
      </c>
    </row>
    <row r="56" spans="15:26" x14ac:dyDescent="0.25">
      <c r="O56" s="30"/>
      <c r="P56" s="21" t="s">
        <v>31</v>
      </c>
      <c r="Q56" s="25">
        <f>'Last MR Verified_Baccin'!C17</f>
        <v>129.02116402116403</v>
      </c>
      <c r="R56" s="22">
        <f>$Q$56</f>
        <v>129.02116402116403</v>
      </c>
      <c r="S56" s="22">
        <f t="shared" ref="S56:Z56" si="20">$Q$56</f>
        <v>129.02116402116403</v>
      </c>
      <c r="T56" s="22">
        <f t="shared" si="20"/>
        <v>129.02116402116403</v>
      </c>
      <c r="U56" s="22">
        <f t="shared" si="20"/>
        <v>129.02116402116403</v>
      </c>
      <c r="V56" s="22">
        <f t="shared" si="20"/>
        <v>129.02116402116403</v>
      </c>
      <c r="W56" s="22">
        <f t="shared" si="20"/>
        <v>129.02116402116403</v>
      </c>
      <c r="X56" s="22">
        <f t="shared" si="20"/>
        <v>129.02116402116403</v>
      </c>
      <c r="Y56" s="22">
        <f t="shared" si="20"/>
        <v>129.02116402116403</v>
      </c>
      <c r="Z56" s="22">
        <f t="shared" si="20"/>
        <v>129.02116402116403</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P48:Z48"/>
    <mergeCell ref="P30:Z30"/>
    <mergeCell ref="P39:Z39"/>
    <mergeCell ref="P21:Z21"/>
    <mergeCell ref="L22:N22"/>
    <mergeCell ref="L24:N24"/>
    <mergeCell ref="L26:N26"/>
    <mergeCell ref="L20:N20"/>
    <mergeCell ref="B2:J2"/>
    <mergeCell ref="L2:N2"/>
    <mergeCell ref="L14:N14"/>
    <mergeCell ref="L16:N16"/>
    <mergeCell ref="L18:N18"/>
    <mergeCell ref="P2:Z2"/>
    <mergeCell ref="P3:Z3"/>
    <mergeCell ref="B5:J5"/>
    <mergeCell ref="L10:N11"/>
    <mergeCell ref="L12:N12"/>
    <mergeCell ref="P12:Z12"/>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6BE7E-FA7E-42A0-A460-0FB8189CAADC}">
  <sheetPr>
    <tabColor theme="5" tint="0.39997558519241921"/>
  </sheetPr>
  <dimension ref="A1:BE34"/>
  <sheetViews>
    <sheetView showGridLines="0" topLeftCell="A3" zoomScale="80" zoomScaleNormal="80" workbookViewId="0">
      <selection activeCell="L13" sqref="L13"/>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ht="15.75" x14ac:dyDescent="0.2">
      <c r="B4" s="157" t="s">
        <v>56</v>
      </c>
      <c r="C4" s="157"/>
      <c r="D4" s="157"/>
      <c r="E4" s="157"/>
      <c r="F4" s="157"/>
      <c r="G4" s="157"/>
      <c r="H4" s="157"/>
      <c r="I4" s="35"/>
      <c r="J4" s="21" t="s">
        <v>26</v>
      </c>
      <c r="K4" s="36">
        <v>11</v>
      </c>
      <c r="L4" s="36">
        <f>BEy_Baccin!Q23*BEy_Baccin!Q50*K4</f>
        <v>0</v>
      </c>
      <c r="M4" s="36">
        <f t="shared" ref="M4:U7" si="0">L4</f>
        <v>0</v>
      </c>
      <c r="N4" s="36">
        <f t="shared" si="0"/>
        <v>0</v>
      </c>
      <c r="O4" s="36">
        <f t="shared" si="0"/>
        <v>0</v>
      </c>
      <c r="P4" s="36">
        <f t="shared" si="0"/>
        <v>0</v>
      </c>
      <c r="Q4" s="36">
        <f t="shared" si="0"/>
        <v>0</v>
      </c>
      <c r="R4" s="36">
        <f t="shared" si="0"/>
        <v>0</v>
      </c>
      <c r="S4" s="36">
        <f t="shared" si="0"/>
        <v>0</v>
      </c>
      <c r="T4" s="36">
        <f t="shared" si="0"/>
        <v>0</v>
      </c>
      <c r="U4" s="36">
        <f t="shared" si="0"/>
        <v>0</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23" t="s">
        <v>2</v>
      </c>
      <c r="C5" s="23" t="s">
        <v>57</v>
      </c>
      <c r="D5" s="23" t="s">
        <v>58</v>
      </c>
      <c r="E5" s="23" t="s">
        <v>59</v>
      </c>
      <c r="F5" s="23" t="s">
        <v>60</v>
      </c>
      <c r="G5" s="23" t="s">
        <v>61</v>
      </c>
      <c r="H5" s="23" t="s">
        <v>62</v>
      </c>
      <c r="I5" s="35"/>
      <c r="J5" s="21" t="s">
        <v>39</v>
      </c>
      <c r="K5" s="36">
        <v>18</v>
      </c>
      <c r="L5" s="36">
        <f>BEy_Baccin!Q24*BEy_Baccin!Q51*K5</f>
        <v>0</v>
      </c>
      <c r="M5" s="36">
        <f t="shared" si="0"/>
        <v>0</v>
      </c>
      <c r="N5" s="36">
        <f t="shared" si="0"/>
        <v>0</v>
      </c>
      <c r="O5" s="36">
        <f t="shared" si="0"/>
        <v>0</v>
      </c>
      <c r="P5" s="36">
        <f t="shared" si="0"/>
        <v>0</v>
      </c>
      <c r="Q5" s="36">
        <f t="shared" si="0"/>
        <v>0</v>
      </c>
      <c r="R5" s="36">
        <f t="shared" si="0"/>
        <v>0</v>
      </c>
      <c r="S5" s="36">
        <f t="shared" si="0"/>
        <v>0</v>
      </c>
      <c r="T5" s="36">
        <f t="shared" si="0"/>
        <v>0</v>
      </c>
      <c r="U5" s="36">
        <f t="shared" si="0"/>
        <v>0</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x14ac:dyDescent="0.2">
      <c r="B6" s="24">
        <v>2021</v>
      </c>
      <c r="C6" s="36">
        <f>L16</f>
        <v>5.4960568143833628</v>
      </c>
      <c r="D6" s="37">
        <v>0</v>
      </c>
      <c r="E6" s="36">
        <f>L19</f>
        <v>134.90001826343342</v>
      </c>
      <c r="F6" s="41">
        <f>L23</f>
        <v>127.67323157074948</v>
      </c>
      <c r="G6" s="37">
        <v>0</v>
      </c>
      <c r="H6" s="36">
        <f>ROUNDDOWN(SUM(C6:G6),)</f>
        <v>268</v>
      </c>
      <c r="I6" s="35"/>
      <c r="J6" s="21" t="s">
        <v>41</v>
      </c>
      <c r="K6" s="36">
        <v>6</v>
      </c>
      <c r="L6" s="36">
        <f>BEy_Baccin!Q26*BEy_Baccin!Q53*K6</f>
        <v>0</v>
      </c>
      <c r="M6" s="36">
        <f t="shared" si="0"/>
        <v>0</v>
      </c>
      <c r="N6" s="36">
        <f t="shared" si="0"/>
        <v>0</v>
      </c>
      <c r="O6" s="36">
        <f t="shared" si="0"/>
        <v>0</v>
      </c>
      <c r="P6" s="36">
        <f t="shared" si="0"/>
        <v>0</v>
      </c>
      <c r="Q6" s="36">
        <f t="shared" si="0"/>
        <v>0</v>
      </c>
      <c r="R6" s="36">
        <f t="shared" si="0"/>
        <v>0</v>
      </c>
      <c r="S6" s="36">
        <f t="shared" si="0"/>
        <v>0</v>
      </c>
      <c r="T6" s="36">
        <f t="shared" si="0"/>
        <v>0</v>
      </c>
      <c r="U6" s="36">
        <f t="shared" si="0"/>
        <v>0</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5">
      <c r="A7" s="39"/>
      <c r="B7" s="24">
        <v>2022</v>
      </c>
      <c r="C7" s="36">
        <f>M16</f>
        <v>5.4960568143833628</v>
      </c>
      <c r="D7" s="37">
        <v>0</v>
      </c>
      <c r="E7" s="36">
        <f>M19</f>
        <v>134.90001826343342</v>
      </c>
      <c r="F7" s="41">
        <f>M23</f>
        <v>127.67323157074948</v>
      </c>
      <c r="G7" s="37">
        <v>0</v>
      </c>
      <c r="H7" s="36">
        <f t="shared" ref="H7:H15" si="1">ROUNDDOWN(SUM(C7:G7),)</f>
        <v>268</v>
      </c>
      <c r="J7" s="21" t="s">
        <v>29</v>
      </c>
      <c r="K7" s="36">
        <f>K8</f>
        <v>0.95</v>
      </c>
      <c r="L7" s="36">
        <f>BEy_Baccin!Q27*BEy_Baccin!Q54*K7</f>
        <v>0</v>
      </c>
      <c r="M7" s="36">
        <f t="shared" si="0"/>
        <v>0</v>
      </c>
      <c r="N7" s="36">
        <f t="shared" si="0"/>
        <v>0</v>
      </c>
      <c r="O7" s="36">
        <f t="shared" si="0"/>
        <v>0</v>
      </c>
      <c r="P7" s="36">
        <f t="shared" si="0"/>
        <v>0</v>
      </c>
      <c r="Q7" s="36">
        <f t="shared" si="0"/>
        <v>0</v>
      </c>
      <c r="R7" s="36">
        <f t="shared" si="0"/>
        <v>0</v>
      </c>
      <c r="S7" s="36">
        <f t="shared" si="0"/>
        <v>0</v>
      </c>
      <c r="T7" s="36">
        <f t="shared" si="0"/>
        <v>0</v>
      </c>
      <c r="U7" s="36">
        <f t="shared" si="0"/>
        <v>0</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2023</v>
      </c>
      <c r="C8" s="36">
        <f>N16</f>
        <v>5.4960568143833628</v>
      </c>
      <c r="D8" s="37">
        <v>0</v>
      </c>
      <c r="E8" s="36">
        <f>N19</f>
        <v>134.90001826343342</v>
      </c>
      <c r="F8" s="41">
        <f>N23</f>
        <v>127.67323157074948</v>
      </c>
      <c r="G8" s="37">
        <v>0</v>
      </c>
      <c r="H8" s="36">
        <f t="shared" si="1"/>
        <v>268</v>
      </c>
      <c r="J8" s="21" t="s">
        <v>44</v>
      </c>
      <c r="K8" s="36">
        <v>0.95</v>
      </c>
      <c r="L8" s="36">
        <f>BEy_Baccin!Q28*BEy_Baccin!Q55*K8</f>
        <v>1405075.161253585</v>
      </c>
      <c r="M8" s="36">
        <f>$L$8</f>
        <v>1405075.161253585</v>
      </c>
      <c r="N8" s="36">
        <f t="shared" ref="N8:U8" si="2">$L$8</f>
        <v>1405075.161253585</v>
      </c>
      <c r="O8" s="36">
        <f t="shared" si="2"/>
        <v>1405075.161253585</v>
      </c>
      <c r="P8" s="36">
        <f t="shared" si="2"/>
        <v>1405075.161253585</v>
      </c>
      <c r="Q8" s="36">
        <f t="shared" si="2"/>
        <v>1405075.161253585</v>
      </c>
      <c r="R8" s="36">
        <f t="shared" si="2"/>
        <v>1405075.161253585</v>
      </c>
      <c r="S8" s="36">
        <f t="shared" si="2"/>
        <v>1405075.161253585</v>
      </c>
      <c r="T8" s="36">
        <f t="shared" si="2"/>
        <v>1405075.161253585</v>
      </c>
      <c r="U8" s="36">
        <f t="shared" si="2"/>
        <v>1405075.161253585</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2024</v>
      </c>
      <c r="C9" s="36">
        <f>O16</f>
        <v>5.4960568143833628</v>
      </c>
      <c r="D9" s="37">
        <v>0</v>
      </c>
      <c r="E9" s="36">
        <f>O19</f>
        <v>134.90001826343342</v>
      </c>
      <c r="F9" s="41">
        <f>O23</f>
        <v>127.67323157074948</v>
      </c>
      <c r="G9" s="37">
        <v>0</v>
      </c>
      <c r="H9" s="36">
        <f t="shared" si="1"/>
        <v>268</v>
      </c>
      <c r="J9" s="21" t="s">
        <v>31</v>
      </c>
      <c r="K9" s="36">
        <v>4.9000000000000004</v>
      </c>
      <c r="L9" s="36">
        <f>BEy_Baccin!Q29*BEy_Baccin!Q56*K9</f>
        <v>1003853.7363077257</v>
      </c>
      <c r="M9" s="36">
        <f>$L$9</f>
        <v>1003853.7363077257</v>
      </c>
      <c r="N9" s="36">
        <f t="shared" ref="N9:U9" si="3">$L$9</f>
        <v>1003853.7363077257</v>
      </c>
      <c r="O9" s="36">
        <f t="shared" si="3"/>
        <v>1003853.7363077257</v>
      </c>
      <c r="P9" s="36">
        <f t="shared" si="3"/>
        <v>1003853.7363077257</v>
      </c>
      <c r="Q9" s="36">
        <f t="shared" si="3"/>
        <v>1003853.7363077257</v>
      </c>
      <c r="R9" s="36">
        <f t="shared" si="3"/>
        <v>1003853.7363077257</v>
      </c>
      <c r="S9" s="36">
        <f t="shared" si="3"/>
        <v>1003853.7363077257</v>
      </c>
      <c r="T9" s="36">
        <f t="shared" si="3"/>
        <v>1003853.7363077257</v>
      </c>
      <c r="U9" s="36">
        <f t="shared" si="3"/>
        <v>1003853.7363077257</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
      <c r="B10" s="24">
        <v>2025</v>
      </c>
      <c r="C10" s="36">
        <f>P16</f>
        <v>5.4960568143833628</v>
      </c>
      <c r="D10" s="37">
        <v>0</v>
      </c>
      <c r="E10" s="36">
        <f>P19</f>
        <v>134.90001826343342</v>
      </c>
      <c r="F10" s="41">
        <f>P23</f>
        <v>127.67323157074948</v>
      </c>
      <c r="G10" s="37">
        <v>0</v>
      </c>
      <c r="H10" s="36">
        <f t="shared" si="1"/>
        <v>268</v>
      </c>
      <c r="J10" s="40" t="s">
        <v>63</v>
      </c>
      <c r="K10" s="21" t="s">
        <v>64</v>
      </c>
      <c r="L10" s="36">
        <f t="shared" ref="L10:U10" si="4">SUM(L4:L9)/1000</f>
        <v>2408.9288975613108</v>
      </c>
      <c r="M10" s="36">
        <f t="shared" si="4"/>
        <v>2408.9288975613108</v>
      </c>
      <c r="N10" s="36">
        <f t="shared" si="4"/>
        <v>2408.9288975613108</v>
      </c>
      <c r="O10" s="36">
        <f t="shared" si="4"/>
        <v>2408.9288975613108</v>
      </c>
      <c r="P10" s="36">
        <f t="shared" si="4"/>
        <v>2408.9288975613108</v>
      </c>
      <c r="Q10" s="36">
        <f t="shared" si="4"/>
        <v>2408.9288975613108</v>
      </c>
      <c r="R10" s="36">
        <f t="shared" si="4"/>
        <v>2408.9288975613108</v>
      </c>
      <c r="S10" s="36">
        <f t="shared" si="4"/>
        <v>2408.9288975613108</v>
      </c>
      <c r="T10" s="36">
        <f t="shared" si="4"/>
        <v>2408.9288975613108</v>
      </c>
      <c r="U10" s="36">
        <f t="shared" si="4"/>
        <v>2408.9288975613108</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ht="19.5" customHeight="1" x14ac:dyDescent="0.2">
      <c r="B11" s="24">
        <v>2026</v>
      </c>
      <c r="C11" s="36">
        <f>S16</f>
        <v>5.4960568143833628</v>
      </c>
      <c r="D11" s="37">
        <v>0</v>
      </c>
      <c r="E11" s="36">
        <f>Q19</f>
        <v>134.90001826343342</v>
      </c>
      <c r="F11" s="41">
        <f>Q23</f>
        <v>127.67323157074948</v>
      </c>
      <c r="G11" s="37">
        <v>0</v>
      </c>
      <c r="H11" s="36">
        <f t="shared" si="1"/>
        <v>268</v>
      </c>
      <c r="J11" s="152" t="s">
        <v>65</v>
      </c>
      <c r="K11" s="153"/>
      <c r="L11" s="153"/>
      <c r="M11" s="153"/>
      <c r="N11" s="153"/>
      <c r="O11" s="153"/>
      <c r="P11" s="153"/>
      <c r="Q11" s="153"/>
      <c r="R11" s="153"/>
      <c r="S11" s="153"/>
      <c r="T11" s="153"/>
      <c r="U11" s="153"/>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2027</v>
      </c>
      <c r="C12" s="36">
        <f>T16</f>
        <v>5.4960568143833628</v>
      </c>
      <c r="D12" s="37">
        <v>0</v>
      </c>
      <c r="E12" s="36">
        <f>T19</f>
        <v>134.90001826343342</v>
      </c>
      <c r="F12" s="41">
        <f>R23</f>
        <v>127.67323157074948</v>
      </c>
      <c r="G12" s="37">
        <v>0</v>
      </c>
      <c r="H12" s="36">
        <f t="shared" si="1"/>
        <v>268</v>
      </c>
      <c r="J12" s="21" t="s">
        <v>66</v>
      </c>
      <c r="K12" s="21" t="s">
        <v>67</v>
      </c>
      <c r="L12" s="36">
        <v>0.01</v>
      </c>
      <c r="M12" s="36">
        <v>0.01</v>
      </c>
      <c r="N12" s="36">
        <v>0.01</v>
      </c>
      <c r="O12" s="36">
        <v>0.01</v>
      </c>
      <c r="P12" s="36">
        <v>0.01</v>
      </c>
      <c r="Q12" s="36">
        <v>0.01</v>
      </c>
      <c r="R12" s="36">
        <v>0.01</v>
      </c>
      <c r="S12" s="36">
        <v>0.01</v>
      </c>
      <c r="T12" s="36">
        <v>0.01</v>
      </c>
      <c r="U12" s="36">
        <v>0.01</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5.75" x14ac:dyDescent="0.2">
      <c r="B13" s="24">
        <v>2028</v>
      </c>
      <c r="C13" s="36">
        <f>U16</f>
        <v>5.4960568143833628</v>
      </c>
      <c r="D13" s="37">
        <v>0</v>
      </c>
      <c r="E13" s="36">
        <f>R19</f>
        <v>134.90001826343342</v>
      </c>
      <c r="F13" s="41">
        <f>S23</f>
        <v>127.67323157074948</v>
      </c>
      <c r="G13" s="37">
        <v>0</v>
      </c>
      <c r="H13" s="36">
        <f t="shared" si="1"/>
        <v>268</v>
      </c>
      <c r="J13" s="21" t="s">
        <v>68</v>
      </c>
      <c r="K13" s="21" t="s">
        <v>69</v>
      </c>
      <c r="L13" s="36">
        <f t="shared" ref="L13:U13" si="5">L12*L10</f>
        <v>24.089288975613108</v>
      </c>
      <c r="M13" s="36">
        <f t="shared" si="5"/>
        <v>24.089288975613108</v>
      </c>
      <c r="N13" s="36">
        <f t="shared" si="5"/>
        <v>24.089288975613108</v>
      </c>
      <c r="O13" s="36">
        <f t="shared" si="5"/>
        <v>24.089288975613108</v>
      </c>
      <c r="P13" s="36">
        <f t="shared" si="5"/>
        <v>24.089288975613108</v>
      </c>
      <c r="Q13" s="36">
        <f t="shared" si="5"/>
        <v>24.089288975613108</v>
      </c>
      <c r="R13" s="36">
        <f t="shared" si="5"/>
        <v>24.089288975613108</v>
      </c>
      <c r="S13" s="36">
        <f t="shared" si="5"/>
        <v>24.089288975613108</v>
      </c>
      <c r="T13" s="36">
        <f t="shared" si="5"/>
        <v>24.089288975613108</v>
      </c>
      <c r="U13" s="36">
        <f t="shared" si="5"/>
        <v>24.089288975613108</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2029</v>
      </c>
      <c r="C14" s="36">
        <f>T16</f>
        <v>5.4960568143833628</v>
      </c>
      <c r="D14" s="37">
        <v>0</v>
      </c>
      <c r="E14" s="36">
        <f>S19</f>
        <v>134.90001826343342</v>
      </c>
      <c r="F14" s="41">
        <f>T23</f>
        <v>127.67323157074948</v>
      </c>
      <c r="G14" s="37">
        <v>0</v>
      </c>
      <c r="H14" s="36">
        <f t="shared" si="1"/>
        <v>268</v>
      </c>
      <c r="J14" s="21" t="s">
        <v>70</v>
      </c>
      <c r="K14" s="21" t="s">
        <v>71</v>
      </c>
      <c r="L14" s="36">
        <f>'Emission Factor of the Grid'!$L$30</f>
        <v>0.19012795894291856</v>
      </c>
      <c r="M14" s="36">
        <f>'Emission Factor of the Grid'!$L$30</f>
        <v>0.19012795894291856</v>
      </c>
      <c r="N14" s="36">
        <f>'Emission Factor of the Grid'!$L$30</f>
        <v>0.19012795894291856</v>
      </c>
      <c r="O14" s="36">
        <f>'Emission Factor of the Grid'!$L$30</f>
        <v>0.19012795894291856</v>
      </c>
      <c r="P14" s="36">
        <f>'Emission Factor of the Grid'!$L$30</f>
        <v>0.19012795894291856</v>
      </c>
      <c r="Q14" s="36">
        <f>'Emission Factor of the Grid'!$L$30</f>
        <v>0.19012795894291856</v>
      </c>
      <c r="R14" s="36">
        <f>'Emission Factor of the Grid'!$L$30</f>
        <v>0.19012795894291856</v>
      </c>
      <c r="S14" s="36">
        <f>'Emission Factor of the Grid'!$L$30</f>
        <v>0.19012795894291856</v>
      </c>
      <c r="T14" s="36">
        <f>'Emission Factor of the Grid'!$L$30</f>
        <v>0.19012795894291856</v>
      </c>
      <c r="U14" s="36">
        <f>'Emission Factor of the Grid'!$L$30</f>
        <v>0.19012795894291856</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2030</v>
      </c>
      <c r="C15" s="36">
        <f>U16</f>
        <v>5.4960568143833628</v>
      </c>
      <c r="D15" s="37">
        <v>0</v>
      </c>
      <c r="E15" s="36">
        <f>T19</f>
        <v>134.90001826343342</v>
      </c>
      <c r="F15" s="41">
        <f>U23</f>
        <v>127.67323157074948</v>
      </c>
      <c r="G15" s="37">
        <v>0</v>
      </c>
      <c r="H15" s="36">
        <f t="shared" si="1"/>
        <v>268</v>
      </c>
      <c r="J15" s="21" t="s">
        <v>72</v>
      </c>
      <c r="K15" s="21" t="s">
        <v>73</v>
      </c>
      <c r="L15" s="70">
        <v>0.2</v>
      </c>
      <c r="M15" s="70">
        <v>0.2</v>
      </c>
      <c r="N15" s="70">
        <v>0.2</v>
      </c>
      <c r="O15" s="70">
        <v>0.2</v>
      </c>
      <c r="P15" s="70">
        <v>0.2</v>
      </c>
      <c r="Q15" s="70">
        <v>0.2</v>
      </c>
      <c r="R15" s="70">
        <v>0.2</v>
      </c>
      <c r="S15" s="70">
        <v>0.2</v>
      </c>
      <c r="T15" s="70">
        <v>0.2</v>
      </c>
      <c r="U15" s="70">
        <v>0.2</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J16" s="21" t="s">
        <v>117</v>
      </c>
      <c r="K16" s="21" t="s">
        <v>74</v>
      </c>
      <c r="L16" s="36">
        <f>L13*L14*(1+L15)</f>
        <v>5.4960568143833628</v>
      </c>
      <c r="M16" s="36">
        <f t="shared" ref="M16:U16" si="6">M13*M14*(1+M15)</f>
        <v>5.4960568143833628</v>
      </c>
      <c r="N16" s="36">
        <f t="shared" si="6"/>
        <v>5.4960568143833628</v>
      </c>
      <c r="O16" s="36">
        <f t="shared" si="6"/>
        <v>5.4960568143833628</v>
      </c>
      <c r="P16" s="36">
        <f t="shared" si="6"/>
        <v>5.4960568143833628</v>
      </c>
      <c r="Q16" s="36">
        <f t="shared" si="6"/>
        <v>5.4960568143833628</v>
      </c>
      <c r="R16" s="36">
        <f t="shared" si="6"/>
        <v>5.4960568143833628</v>
      </c>
      <c r="S16" s="36">
        <f t="shared" si="6"/>
        <v>5.4960568143833628</v>
      </c>
      <c r="T16" s="36">
        <f t="shared" si="6"/>
        <v>5.4960568143833628</v>
      </c>
      <c r="U16" s="36">
        <f t="shared" si="6"/>
        <v>5.4960568143833628</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152" t="s">
        <v>75</v>
      </c>
      <c r="K17" s="153"/>
      <c r="L17" s="153"/>
      <c r="M17" s="153"/>
      <c r="N17" s="153"/>
      <c r="O17" s="153"/>
      <c r="P17" s="153"/>
      <c r="Q17" s="153"/>
      <c r="R17" s="153"/>
      <c r="S17" s="153"/>
      <c r="T17" s="153"/>
      <c r="U17" s="153"/>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6.5" x14ac:dyDescent="0.2">
      <c r="J18" s="21" t="s">
        <v>76</v>
      </c>
      <c r="K18" s="21" t="s">
        <v>77</v>
      </c>
      <c r="L18" s="62">
        <v>2E-3</v>
      </c>
      <c r="M18" s="62">
        <v>2E-3</v>
      </c>
      <c r="N18" s="62">
        <v>2E-3</v>
      </c>
      <c r="O18" s="62">
        <v>2E-3</v>
      </c>
      <c r="P18" s="62">
        <v>2E-3</v>
      </c>
      <c r="Q18" s="62">
        <v>2E-3</v>
      </c>
      <c r="R18" s="62">
        <v>2E-3</v>
      </c>
      <c r="S18" s="62">
        <v>2E-3</v>
      </c>
      <c r="T18" s="62">
        <v>2E-3</v>
      </c>
      <c r="U18" s="62">
        <v>2E-3</v>
      </c>
    </row>
    <row r="19" spans="10:57" ht="15.75" x14ac:dyDescent="0.2">
      <c r="J19" s="21" t="s">
        <v>78</v>
      </c>
      <c r="K19" s="21" t="s">
        <v>79</v>
      </c>
      <c r="L19" s="36">
        <f>L10*L18*BEy_Baccin!M7</f>
        <v>134.90001826343342</v>
      </c>
      <c r="M19" s="36">
        <f>$L$19</f>
        <v>134.90001826343342</v>
      </c>
      <c r="N19" s="36">
        <f t="shared" ref="N19:U19" si="7">$L$19</f>
        <v>134.90001826343342</v>
      </c>
      <c r="O19" s="36">
        <f t="shared" si="7"/>
        <v>134.90001826343342</v>
      </c>
      <c r="P19" s="36">
        <f t="shared" si="7"/>
        <v>134.90001826343342</v>
      </c>
      <c r="Q19" s="36">
        <f t="shared" si="7"/>
        <v>134.90001826343342</v>
      </c>
      <c r="R19" s="36">
        <f t="shared" si="7"/>
        <v>134.90001826343342</v>
      </c>
      <c r="S19" s="36">
        <f t="shared" si="7"/>
        <v>134.90001826343342</v>
      </c>
      <c r="T19" s="36">
        <f t="shared" si="7"/>
        <v>134.90001826343342</v>
      </c>
      <c r="U19" s="36">
        <f t="shared" si="7"/>
        <v>134.90001826343342</v>
      </c>
    </row>
    <row r="20" spans="10:57" ht="15.75" x14ac:dyDescent="0.2">
      <c r="J20" s="152" t="s">
        <v>80</v>
      </c>
      <c r="K20" s="153"/>
      <c r="L20" s="153"/>
      <c r="M20" s="153"/>
      <c r="N20" s="153"/>
      <c r="O20" s="153"/>
      <c r="P20" s="153"/>
      <c r="Q20" s="153"/>
      <c r="R20" s="153"/>
      <c r="S20" s="153"/>
      <c r="T20" s="153"/>
      <c r="U20" s="153"/>
    </row>
    <row r="21" spans="10:57" ht="16.5" x14ac:dyDescent="0.2">
      <c r="J21" s="21" t="s">
        <v>81</v>
      </c>
      <c r="K21" s="21" t="s">
        <v>82</v>
      </c>
      <c r="L21" s="63">
        <v>2.0000000000000001E-4</v>
      </c>
      <c r="M21" s="63">
        <v>2.0000000000000001E-4</v>
      </c>
      <c r="N21" s="63">
        <v>2.0000000000000001E-4</v>
      </c>
      <c r="O21" s="63">
        <v>2.0000000000000001E-4</v>
      </c>
      <c r="P21" s="63">
        <v>2.0000000000000001E-4</v>
      </c>
      <c r="Q21" s="63">
        <v>2.0000000000000001E-4</v>
      </c>
      <c r="R21" s="63">
        <v>2.0000000000000001E-4</v>
      </c>
      <c r="S21" s="63">
        <v>2.0000000000000001E-4</v>
      </c>
      <c r="T21" s="63">
        <v>2.0000000000000001E-4</v>
      </c>
      <c r="U21" s="63">
        <v>2.0000000000000001E-4</v>
      </c>
    </row>
    <row r="22" spans="10:57" ht="16.5" x14ac:dyDescent="0.2">
      <c r="J22" s="21" t="s">
        <v>83</v>
      </c>
      <c r="K22" s="21" t="s">
        <v>84</v>
      </c>
      <c r="L22" s="36">
        <v>265</v>
      </c>
      <c r="M22" s="36">
        <v>265</v>
      </c>
      <c r="N22" s="36">
        <v>265</v>
      </c>
      <c r="O22" s="36">
        <v>265</v>
      </c>
      <c r="P22" s="36">
        <v>265</v>
      </c>
      <c r="Q22" s="36">
        <v>265</v>
      </c>
      <c r="R22" s="36">
        <v>265</v>
      </c>
      <c r="S22" s="36">
        <v>265</v>
      </c>
      <c r="T22" s="36">
        <v>265</v>
      </c>
      <c r="U22" s="36">
        <v>265</v>
      </c>
    </row>
    <row r="23" spans="10:57" ht="15.75" x14ac:dyDescent="0.2">
      <c r="J23" s="37" t="s">
        <v>85</v>
      </c>
      <c r="K23" s="21" t="s">
        <v>79</v>
      </c>
      <c r="L23" s="36">
        <f t="shared" ref="L23:U23" si="8">L10*L21*L22</f>
        <v>127.67323157074948</v>
      </c>
      <c r="M23" s="36">
        <f t="shared" si="8"/>
        <v>127.67323157074948</v>
      </c>
      <c r="N23" s="36">
        <f t="shared" si="8"/>
        <v>127.67323157074948</v>
      </c>
      <c r="O23" s="36">
        <f t="shared" si="8"/>
        <v>127.67323157074948</v>
      </c>
      <c r="P23" s="36">
        <f t="shared" si="8"/>
        <v>127.67323157074948</v>
      </c>
      <c r="Q23" s="36">
        <f t="shared" si="8"/>
        <v>127.67323157074948</v>
      </c>
      <c r="R23" s="36">
        <f t="shared" si="8"/>
        <v>127.67323157074948</v>
      </c>
      <c r="S23" s="36">
        <f t="shared" si="8"/>
        <v>127.67323157074948</v>
      </c>
      <c r="T23" s="36">
        <f t="shared" si="8"/>
        <v>127.67323157074948</v>
      </c>
      <c r="U23" s="36">
        <f t="shared" si="8"/>
        <v>127.67323157074948</v>
      </c>
    </row>
    <row r="28" spans="10:57" ht="20.25" customHeight="1" x14ac:dyDescent="0.2"/>
    <row r="34" spans="22:22" x14ac:dyDescent="0.2">
      <c r="V34" s="42"/>
    </row>
  </sheetData>
  <mergeCells count="7">
    <mergeCell ref="J20:U20"/>
    <mergeCell ref="B2:H2"/>
    <mergeCell ref="J2:U2"/>
    <mergeCell ref="B3:H3"/>
    <mergeCell ref="B4:H4"/>
    <mergeCell ref="J11:U11"/>
    <mergeCell ref="J17:U17"/>
  </mergeCells>
  <pageMargins left="0.511811024" right="0.511811024" top="0.78740157499999996" bottom="0.78740157499999996" header="0.31496062000000002" footer="0.31496062000000002"/>
  <pageSetup orientation="portrait" horizontalDpi="4294967293"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1AD5-E139-461C-A6C3-AD795CB67BD8}">
  <sheetPr>
    <tabColor theme="5" tint="0.39997558519241921"/>
  </sheetPr>
  <dimension ref="B1:L42"/>
  <sheetViews>
    <sheetView showGridLines="0" topLeftCell="A15" zoomScale="80" zoomScaleNormal="80" workbookViewId="0">
      <selection activeCell="R17" sqref="R17"/>
    </sheetView>
  </sheetViews>
  <sheetFormatPr defaultRowHeight="15" x14ac:dyDescent="0.25"/>
  <cols>
    <col min="1" max="1" width="9.140625" style="65"/>
    <col min="2" max="2" width="42.5703125" style="66" customWidth="1"/>
    <col min="3" max="3" width="12.5703125" style="67" customWidth="1"/>
    <col min="4" max="4" width="10.28515625" style="65" bestFit="1" customWidth="1"/>
    <col min="5" max="5" width="14.85546875" style="65" bestFit="1" customWidth="1"/>
    <col min="6" max="6" width="11.7109375" style="65" customWidth="1"/>
    <col min="7" max="8" width="9.140625" style="65"/>
    <col min="9" max="9" width="11.5703125" style="65" bestFit="1" customWidth="1"/>
    <col min="10" max="10" width="10.5703125" style="65" customWidth="1"/>
    <col min="11" max="11" width="18.28515625" style="65" customWidth="1"/>
    <col min="12" max="16384" width="9.140625" style="65"/>
  </cols>
  <sheetData>
    <row r="1" spans="2:11" ht="15.75" thickBot="1" x14ac:dyDescent="0.3"/>
    <row r="2" spans="2:11" ht="36" customHeight="1" thickBot="1" x14ac:dyDescent="0.3">
      <c r="B2" s="14" t="s">
        <v>118</v>
      </c>
      <c r="C2" s="14">
        <v>3</v>
      </c>
      <c r="E2" s="160" t="s">
        <v>140</v>
      </c>
      <c r="F2" s="161"/>
      <c r="G2" s="161"/>
      <c r="H2" s="161"/>
      <c r="I2" s="161"/>
      <c r="J2" s="161"/>
      <c r="K2" s="162"/>
    </row>
    <row r="3" spans="2:11" ht="15.75" thickBot="1" x14ac:dyDescent="0.3">
      <c r="B3" s="158" t="s">
        <v>107</v>
      </c>
      <c r="C3" s="159"/>
      <c r="E3" s="77"/>
      <c r="F3" s="77"/>
      <c r="G3" s="77"/>
      <c r="H3" s="77"/>
      <c r="I3" s="77"/>
      <c r="J3" s="77"/>
      <c r="K3" s="77"/>
    </row>
    <row r="4" spans="2:11" ht="16.5" thickBot="1" x14ac:dyDescent="0.3">
      <c r="B4" s="17" t="s">
        <v>108</v>
      </c>
      <c r="C4" s="25">
        <f>K6</f>
        <v>42133.904761904763</v>
      </c>
      <c r="E4" s="170" t="s">
        <v>132</v>
      </c>
      <c r="F4" s="171"/>
      <c r="G4" s="171"/>
      <c r="H4" s="171"/>
      <c r="I4" s="171"/>
      <c r="J4" s="171"/>
      <c r="K4" s="172"/>
    </row>
    <row r="5" spans="2:11" ht="75" customHeight="1" thickBot="1" x14ac:dyDescent="0.3">
      <c r="B5" s="17" t="s">
        <v>109</v>
      </c>
      <c r="C5" s="25">
        <f>K12</f>
        <v>48.254035124164723</v>
      </c>
      <c r="E5" s="110" t="s">
        <v>21</v>
      </c>
      <c r="F5" s="111">
        <v>2015</v>
      </c>
      <c r="G5" s="111">
        <v>2016</v>
      </c>
      <c r="H5" s="111">
        <v>2017</v>
      </c>
      <c r="I5" s="112">
        <v>2018</v>
      </c>
      <c r="J5" s="112">
        <v>2019</v>
      </c>
      <c r="K5" s="113" t="s">
        <v>136</v>
      </c>
    </row>
    <row r="6" spans="2:11" ht="15.75" x14ac:dyDescent="0.25">
      <c r="B6" s="17" t="s">
        <v>110</v>
      </c>
      <c r="C6" s="25">
        <f>C5*(C4/365)</f>
        <v>5570.2216994497639</v>
      </c>
      <c r="E6" s="101" t="s">
        <v>30</v>
      </c>
      <c r="F6" s="102">
        <v>0</v>
      </c>
      <c r="G6" s="102">
        <v>46762</v>
      </c>
      <c r="H6" s="102">
        <v>7886</v>
      </c>
      <c r="I6" s="102">
        <v>0</v>
      </c>
      <c r="J6" s="102">
        <v>0</v>
      </c>
      <c r="K6" s="109">
        <f>(SUMPRODUCT(F6:J6,F7:J7)/K7)</f>
        <v>42133.904761904763</v>
      </c>
    </row>
    <row r="7" spans="2:11" ht="27.75" thickBot="1" x14ac:dyDescent="0.3">
      <c r="B7" s="17" t="s">
        <v>111</v>
      </c>
      <c r="C7" s="25">
        <f>K18</f>
        <v>19.200488716618853</v>
      </c>
      <c r="E7" s="104" t="s">
        <v>138</v>
      </c>
      <c r="F7" s="84">
        <v>0</v>
      </c>
      <c r="G7" s="84">
        <v>296</v>
      </c>
      <c r="H7" s="84">
        <v>40</v>
      </c>
      <c r="I7" s="84">
        <v>0</v>
      </c>
      <c r="J7" s="84">
        <v>0</v>
      </c>
      <c r="K7" s="105">
        <f>SUM(F7:J7)</f>
        <v>336</v>
      </c>
    </row>
    <row r="8" spans="2:11" ht="30" x14ac:dyDescent="0.25">
      <c r="B8" s="17" t="s">
        <v>112</v>
      </c>
      <c r="C8" s="25">
        <f>K24</f>
        <v>265.52380952380952</v>
      </c>
      <c r="E8" s="106" t="s">
        <v>31</v>
      </c>
      <c r="F8" s="107">
        <v>8493</v>
      </c>
      <c r="G8" s="107">
        <v>0</v>
      </c>
      <c r="H8" s="107">
        <v>4182</v>
      </c>
      <c r="I8" s="107">
        <v>4064</v>
      </c>
      <c r="J8" s="107">
        <v>0</v>
      </c>
      <c r="K8" s="108">
        <f>(SUMPRODUCT(F8:J8,F9:J9)/K9)</f>
        <v>5882.7460317460318</v>
      </c>
    </row>
    <row r="9" spans="2:11" ht="27.75" thickBot="1" x14ac:dyDescent="0.3">
      <c r="B9" s="65"/>
      <c r="C9" s="65"/>
      <c r="D9" s="35"/>
      <c r="E9" s="104" t="s">
        <v>138</v>
      </c>
      <c r="F9" s="84">
        <v>152</v>
      </c>
      <c r="G9" s="84">
        <v>0</v>
      </c>
      <c r="H9" s="84">
        <v>121</v>
      </c>
      <c r="I9" s="84">
        <v>105</v>
      </c>
      <c r="J9" s="84">
        <v>0</v>
      </c>
      <c r="K9" s="105">
        <f>SUM(F9:J9)</f>
        <v>378</v>
      </c>
    </row>
    <row r="10" spans="2:11" ht="15.75" thickBot="1" x14ac:dyDescent="0.3">
      <c r="B10" s="58"/>
      <c r="C10" s="59"/>
      <c r="D10" s="35"/>
      <c r="E10" s="170" t="s">
        <v>133</v>
      </c>
      <c r="F10" s="171"/>
      <c r="G10" s="171"/>
      <c r="H10" s="171"/>
      <c r="I10" s="171"/>
      <c r="J10" s="171"/>
      <c r="K10" s="172"/>
    </row>
    <row r="11" spans="2:11" ht="15.75" thickBot="1" x14ac:dyDescent="0.3">
      <c r="B11" s="14" t="s">
        <v>119</v>
      </c>
      <c r="C11" s="14">
        <v>3</v>
      </c>
      <c r="D11" s="35"/>
      <c r="E11" s="110" t="s">
        <v>21</v>
      </c>
      <c r="F11" s="111">
        <v>2015</v>
      </c>
      <c r="G11" s="111">
        <v>2016</v>
      </c>
      <c r="H11" s="111">
        <v>2017</v>
      </c>
      <c r="I11" s="112">
        <v>2018</v>
      </c>
      <c r="J11" s="112">
        <v>2019</v>
      </c>
      <c r="K11" s="113" t="s">
        <v>136</v>
      </c>
    </row>
    <row r="12" spans="2:11" x14ac:dyDescent="0.25">
      <c r="B12" s="158" t="s">
        <v>107</v>
      </c>
      <c r="C12" s="159"/>
      <c r="D12" s="35"/>
      <c r="E12" s="101" t="s">
        <v>44</v>
      </c>
      <c r="F12" s="102">
        <v>0</v>
      </c>
      <c r="G12" s="102">
        <v>49.369445276078871</v>
      </c>
      <c r="H12" s="102">
        <v>40</v>
      </c>
      <c r="I12" s="102">
        <v>0</v>
      </c>
      <c r="J12" s="102">
        <v>0</v>
      </c>
      <c r="K12" s="109">
        <f>(SUMPRODUCT(F12:J12,F13:J13)/K13)</f>
        <v>48.254035124164723</v>
      </c>
    </row>
    <row r="13" spans="2:11" ht="27.75" thickBot="1" x14ac:dyDescent="0.3">
      <c r="B13" s="17" t="s">
        <v>108</v>
      </c>
      <c r="C13" s="25">
        <f>K8</f>
        <v>5882.7460317460318</v>
      </c>
      <c r="D13" s="35"/>
      <c r="E13" s="104" t="s">
        <v>138</v>
      </c>
      <c r="F13" s="84">
        <v>0</v>
      </c>
      <c r="G13" s="84">
        <v>296</v>
      </c>
      <c r="H13" s="84">
        <v>40</v>
      </c>
      <c r="I13" s="84">
        <v>0</v>
      </c>
      <c r="J13" s="84">
        <v>0</v>
      </c>
      <c r="K13" s="105">
        <f>SUM(F13:J13)</f>
        <v>336</v>
      </c>
    </row>
    <row r="14" spans="2:11" ht="30" x14ac:dyDescent="0.25">
      <c r="B14" s="17" t="s">
        <v>109</v>
      </c>
      <c r="C14" s="25">
        <f>K14</f>
        <v>98.520400553957586</v>
      </c>
      <c r="D14" s="35"/>
      <c r="E14" s="82" t="s">
        <v>31</v>
      </c>
      <c r="F14" s="83">
        <v>76.149417167078767</v>
      </c>
      <c r="G14" s="83">
        <v>0</v>
      </c>
      <c r="H14" s="83">
        <v>121</v>
      </c>
      <c r="I14" s="83">
        <v>105</v>
      </c>
      <c r="J14" s="83">
        <v>0</v>
      </c>
      <c r="K14" s="93">
        <f>(SUMPRODUCT(F14:J14,F15:J15)/K15)</f>
        <v>98.520400553957586</v>
      </c>
    </row>
    <row r="15" spans="2:11" ht="27.75" thickBot="1" x14ac:dyDescent="0.3">
      <c r="B15" s="17" t="s">
        <v>110</v>
      </c>
      <c r="C15" s="25">
        <f>C14*(C13/365)</f>
        <v>1587.8643709721193</v>
      </c>
      <c r="D15" s="35"/>
      <c r="E15" s="91" t="s">
        <v>138</v>
      </c>
      <c r="F15" s="84">
        <v>152</v>
      </c>
      <c r="G15" s="84">
        <v>0</v>
      </c>
      <c r="H15" s="84">
        <v>121</v>
      </c>
      <c r="I15" s="84">
        <v>105</v>
      </c>
      <c r="J15" s="84">
        <v>0</v>
      </c>
      <c r="K15" s="89">
        <f>SUM(F15:J15)</f>
        <v>378</v>
      </c>
    </row>
    <row r="16" spans="2:11" ht="15.75" x14ac:dyDescent="0.25">
      <c r="B16" s="17" t="s">
        <v>111</v>
      </c>
      <c r="C16" s="90">
        <f>K20</f>
        <v>97.791371595873017</v>
      </c>
      <c r="D16" s="35"/>
      <c r="E16" s="163" t="s">
        <v>134</v>
      </c>
      <c r="F16" s="164"/>
      <c r="G16" s="164"/>
      <c r="H16" s="164"/>
      <c r="I16" s="164"/>
      <c r="J16" s="164"/>
      <c r="K16" s="165"/>
    </row>
    <row r="17" spans="2:12" ht="30" x14ac:dyDescent="0.25">
      <c r="B17" s="17" t="s">
        <v>112</v>
      </c>
      <c r="C17" s="90">
        <f>K26</f>
        <v>129.02116402116403</v>
      </c>
      <c r="D17" s="35"/>
      <c r="E17" s="78" t="s">
        <v>21</v>
      </c>
      <c r="F17" s="79">
        <v>2015</v>
      </c>
      <c r="G17" s="79">
        <v>2016</v>
      </c>
      <c r="H17" s="79">
        <v>2017</v>
      </c>
      <c r="I17" s="80">
        <v>2018</v>
      </c>
      <c r="J17" s="80">
        <v>2019</v>
      </c>
      <c r="K17" s="81" t="s">
        <v>136</v>
      </c>
    </row>
    <row r="18" spans="2:12" x14ac:dyDescent="0.25">
      <c r="B18" s="35"/>
      <c r="C18" s="35"/>
      <c r="D18" s="35"/>
      <c r="E18" s="82" t="s">
        <v>44</v>
      </c>
      <c r="F18" s="130">
        <v>0</v>
      </c>
      <c r="G18" s="130">
        <v>19.283325406669235</v>
      </c>
      <c r="H18" s="130">
        <v>18.587497210246006</v>
      </c>
      <c r="I18" s="130">
        <v>0</v>
      </c>
      <c r="J18" s="130">
        <v>0</v>
      </c>
      <c r="K18" s="126">
        <f>(SUMPRODUCT(F18:J18,F19:J19)/K19)</f>
        <v>19.200488716618853</v>
      </c>
    </row>
    <row r="19" spans="2:12" ht="27.75" thickBot="1" x14ac:dyDescent="0.3">
      <c r="B19" s="58"/>
      <c r="C19" s="59"/>
      <c r="D19" s="35"/>
      <c r="E19" s="104" t="s">
        <v>138</v>
      </c>
      <c r="F19" s="131">
        <v>0</v>
      </c>
      <c r="G19" s="131">
        <v>296</v>
      </c>
      <c r="H19" s="131">
        <v>40</v>
      </c>
      <c r="I19" s="131">
        <v>0</v>
      </c>
      <c r="J19" s="131">
        <v>0</v>
      </c>
      <c r="K19" s="132">
        <f>SUM(F19:J19)</f>
        <v>336</v>
      </c>
    </row>
    <row r="20" spans="2:12" x14ac:dyDescent="0.25">
      <c r="B20" s="35"/>
      <c r="C20" s="35"/>
      <c r="D20" s="35"/>
      <c r="E20" s="82" t="s">
        <v>31</v>
      </c>
      <c r="F20" s="83">
        <v>142.19974504493896</v>
      </c>
      <c r="G20" s="83">
        <v>0</v>
      </c>
      <c r="H20" s="83">
        <v>98.030292443806786</v>
      </c>
      <c r="I20" s="83">
        <v>33.229636482939632</v>
      </c>
      <c r="J20" s="83">
        <v>0</v>
      </c>
      <c r="K20" s="94">
        <f>(SUMPRODUCT(F20:J20,F21:J21)/K21)</f>
        <v>97.791371595873017</v>
      </c>
    </row>
    <row r="21" spans="2:12" ht="27.75" thickBot="1" x14ac:dyDescent="0.3">
      <c r="B21" s="35"/>
      <c r="C21" s="35"/>
      <c r="D21" s="35"/>
      <c r="E21" s="92" t="s">
        <v>138</v>
      </c>
      <c r="F21" s="84">
        <v>152</v>
      </c>
      <c r="G21" s="84">
        <v>0</v>
      </c>
      <c r="H21" s="84">
        <v>121</v>
      </c>
      <c r="I21" s="84">
        <v>105</v>
      </c>
      <c r="J21" s="84">
        <v>0</v>
      </c>
      <c r="K21" s="86">
        <f>SUM(F21:J21)</f>
        <v>378</v>
      </c>
    </row>
    <row r="22" spans="2:12" x14ac:dyDescent="0.25">
      <c r="B22" s="35"/>
      <c r="C22" s="35"/>
      <c r="D22" s="35"/>
      <c r="E22" s="166" t="s">
        <v>135</v>
      </c>
      <c r="F22" s="167"/>
      <c r="G22" s="167"/>
      <c r="H22" s="167"/>
      <c r="I22" s="168"/>
      <c r="J22" s="168"/>
      <c r="K22" s="169"/>
    </row>
    <row r="23" spans="2:12" ht="41.25" customHeight="1" x14ac:dyDescent="0.25">
      <c r="B23" s="35"/>
      <c r="C23" s="35"/>
      <c r="D23" s="35"/>
      <c r="E23" s="78" t="s">
        <v>21</v>
      </c>
      <c r="F23" s="79">
        <v>2015</v>
      </c>
      <c r="G23" s="79">
        <v>2016</v>
      </c>
      <c r="H23" s="79">
        <v>2017</v>
      </c>
      <c r="I23" s="80">
        <v>2018</v>
      </c>
      <c r="J23" s="80">
        <v>2019</v>
      </c>
      <c r="K23" s="81" t="s">
        <v>136</v>
      </c>
    </row>
    <row r="24" spans="2:12" x14ac:dyDescent="0.25">
      <c r="B24" s="35"/>
      <c r="C24" s="35"/>
      <c r="D24" s="35"/>
      <c r="E24" s="82" t="s">
        <v>30</v>
      </c>
      <c r="F24" s="85">
        <v>0</v>
      </c>
      <c r="G24" s="85">
        <v>296</v>
      </c>
      <c r="H24" s="85">
        <v>40</v>
      </c>
      <c r="I24" s="85">
        <v>0</v>
      </c>
      <c r="J24" s="85">
        <v>0</v>
      </c>
      <c r="K24" s="126">
        <f>(SUMPRODUCT(F24:J24,F25:J25)/K25)</f>
        <v>265.52380952380952</v>
      </c>
    </row>
    <row r="25" spans="2:12" ht="27.75" thickBot="1" x14ac:dyDescent="0.3">
      <c r="B25" s="35"/>
      <c r="C25" s="35"/>
      <c r="E25" s="104" t="s">
        <v>138</v>
      </c>
      <c r="F25" s="84">
        <v>0</v>
      </c>
      <c r="G25" s="84">
        <v>296</v>
      </c>
      <c r="H25" s="84">
        <v>40</v>
      </c>
      <c r="I25" s="84">
        <v>0</v>
      </c>
      <c r="J25" s="84">
        <v>0</v>
      </c>
      <c r="K25" s="105">
        <f>SUM(F25:J25)</f>
        <v>336</v>
      </c>
    </row>
    <row r="26" spans="2:12" x14ac:dyDescent="0.25">
      <c r="B26" s="35"/>
      <c r="C26" s="35"/>
      <c r="E26" s="82" t="s">
        <v>31</v>
      </c>
      <c r="F26" s="99">
        <v>152</v>
      </c>
      <c r="G26" s="99">
        <v>0</v>
      </c>
      <c r="H26" s="99">
        <v>121</v>
      </c>
      <c r="I26" s="100">
        <v>105</v>
      </c>
      <c r="J26" s="100">
        <v>0</v>
      </c>
      <c r="K26" s="94">
        <f>(SUMPRODUCT(F26:J26,F27:J27)/K27)</f>
        <v>129.02116402116403</v>
      </c>
    </row>
    <row r="27" spans="2:12" ht="27.75" thickBot="1" x14ac:dyDescent="0.3">
      <c r="B27" s="35"/>
      <c r="C27" s="35"/>
      <c r="E27" s="92" t="s">
        <v>138</v>
      </c>
      <c r="F27" s="84">
        <v>152</v>
      </c>
      <c r="G27" s="84">
        <v>0</v>
      </c>
      <c r="H27" s="84">
        <v>121</v>
      </c>
      <c r="I27" s="84">
        <v>105</v>
      </c>
      <c r="J27" s="84">
        <v>0</v>
      </c>
      <c r="K27" s="86">
        <f>SUM(F27:J27)</f>
        <v>378</v>
      </c>
    </row>
    <row r="28" spans="2:12" x14ac:dyDescent="0.25">
      <c r="B28" s="35"/>
      <c r="C28" s="35"/>
      <c r="D28" s="35"/>
      <c r="E28" s="35"/>
      <c r="F28" s="35"/>
      <c r="G28" s="35"/>
      <c r="H28" s="35"/>
      <c r="I28" s="35"/>
      <c r="J28" s="35"/>
      <c r="K28" s="35"/>
      <c r="L28" s="35"/>
    </row>
    <row r="29" spans="2:12" x14ac:dyDescent="0.25">
      <c r="B29" s="35"/>
      <c r="C29" s="35"/>
      <c r="D29" s="35"/>
      <c r="E29" s="35"/>
      <c r="F29" s="35"/>
      <c r="G29" s="35"/>
      <c r="H29" s="35"/>
      <c r="I29" s="35"/>
      <c r="J29" s="35"/>
      <c r="K29" s="35"/>
      <c r="L29" s="35"/>
    </row>
    <row r="30" spans="2:12" x14ac:dyDescent="0.25">
      <c r="B30" s="35"/>
      <c r="C30" s="35"/>
      <c r="D30" s="35"/>
      <c r="E30" s="35"/>
      <c r="F30" s="35"/>
      <c r="G30" s="35"/>
      <c r="H30" s="35"/>
      <c r="I30" s="35"/>
      <c r="J30" s="35"/>
      <c r="K30" s="35"/>
      <c r="L30" s="35"/>
    </row>
    <row r="31" spans="2:12" x14ac:dyDescent="0.25">
      <c r="D31" s="35"/>
      <c r="E31" s="35"/>
      <c r="F31" s="35"/>
      <c r="G31" s="35"/>
      <c r="H31" s="35"/>
      <c r="I31" s="35"/>
      <c r="J31" s="35"/>
      <c r="K31" s="35"/>
      <c r="L31" s="35"/>
    </row>
    <row r="32" spans="2:12" x14ac:dyDescent="0.25">
      <c r="D32" s="35"/>
      <c r="E32" s="35"/>
      <c r="F32" s="35"/>
      <c r="G32" s="35"/>
      <c r="H32" s="35"/>
      <c r="I32" s="35"/>
      <c r="J32" s="35"/>
      <c r="K32" s="35"/>
      <c r="L32" s="35"/>
    </row>
    <row r="33" spans="4:12" x14ac:dyDescent="0.25">
      <c r="D33" s="35"/>
      <c r="E33" s="35"/>
      <c r="F33" s="35"/>
      <c r="G33" s="35"/>
      <c r="H33" s="35"/>
      <c r="I33" s="35"/>
      <c r="J33" s="35"/>
      <c r="K33" s="35"/>
      <c r="L33" s="35"/>
    </row>
    <row r="34" spans="4:12" x14ac:dyDescent="0.25">
      <c r="D34" s="35"/>
      <c r="E34" s="35"/>
      <c r="F34" s="35"/>
      <c r="G34" s="35"/>
      <c r="H34" s="35"/>
      <c r="I34" s="35"/>
      <c r="J34" s="35"/>
      <c r="K34" s="35"/>
      <c r="L34" s="35"/>
    </row>
    <row r="35" spans="4:12" x14ac:dyDescent="0.25">
      <c r="D35" s="35"/>
      <c r="E35" s="35"/>
      <c r="F35" s="35"/>
      <c r="G35" s="35"/>
      <c r="H35" s="35"/>
      <c r="I35" s="35"/>
      <c r="J35" s="35"/>
      <c r="K35" s="35"/>
      <c r="L35" s="35"/>
    </row>
    <row r="36" spans="4:12" x14ac:dyDescent="0.25">
      <c r="D36" s="35"/>
      <c r="E36" s="35"/>
      <c r="F36" s="35"/>
      <c r="G36" s="35"/>
      <c r="H36" s="35"/>
      <c r="I36" s="35"/>
      <c r="J36" s="35"/>
      <c r="K36" s="35"/>
      <c r="L36" s="35"/>
    </row>
    <row r="37" spans="4:12" x14ac:dyDescent="0.25">
      <c r="D37" s="35"/>
      <c r="E37" s="35"/>
      <c r="F37" s="35"/>
      <c r="G37" s="35"/>
      <c r="H37" s="35"/>
      <c r="I37" s="35"/>
      <c r="J37" s="35"/>
      <c r="K37" s="35"/>
      <c r="L37" s="35"/>
    </row>
    <row r="38" spans="4:12" x14ac:dyDescent="0.25">
      <c r="D38" s="35"/>
      <c r="E38" s="35"/>
      <c r="F38" s="35"/>
      <c r="G38" s="35"/>
      <c r="H38" s="35"/>
      <c r="I38" s="35"/>
      <c r="J38" s="35"/>
      <c r="K38" s="35"/>
      <c r="L38" s="35"/>
    </row>
    <row r="39" spans="4:12" x14ac:dyDescent="0.25">
      <c r="D39" s="35"/>
      <c r="E39" s="35"/>
      <c r="F39" s="35"/>
      <c r="G39" s="35"/>
      <c r="H39" s="35"/>
      <c r="I39" s="35"/>
      <c r="J39" s="35"/>
      <c r="K39" s="35"/>
      <c r="L39" s="35"/>
    </row>
    <row r="40" spans="4:12" x14ac:dyDescent="0.25">
      <c r="D40" s="35"/>
      <c r="E40" s="35"/>
      <c r="F40" s="35"/>
      <c r="G40" s="35"/>
      <c r="H40" s="35"/>
      <c r="I40" s="35"/>
      <c r="J40" s="35"/>
      <c r="K40" s="35"/>
      <c r="L40" s="35"/>
    </row>
    <row r="41" spans="4:12" x14ac:dyDescent="0.25">
      <c r="D41" s="35"/>
      <c r="E41" s="35"/>
      <c r="F41" s="35"/>
      <c r="G41" s="35"/>
      <c r="H41" s="35"/>
      <c r="I41" s="35"/>
      <c r="J41" s="35"/>
      <c r="K41" s="35"/>
      <c r="L41" s="35"/>
    </row>
    <row r="42" spans="4:12" x14ac:dyDescent="0.25">
      <c r="D42" s="35"/>
      <c r="E42" s="35"/>
      <c r="F42" s="35"/>
      <c r="G42" s="35"/>
      <c r="H42" s="35"/>
      <c r="I42" s="35"/>
      <c r="J42" s="35"/>
      <c r="K42" s="35"/>
      <c r="L42" s="35"/>
    </row>
  </sheetData>
  <mergeCells count="7">
    <mergeCell ref="E16:K16"/>
    <mergeCell ref="E22:K22"/>
    <mergeCell ref="B3:C3"/>
    <mergeCell ref="B12:C12"/>
    <mergeCell ref="E2:K2"/>
    <mergeCell ref="E4:K4"/>
    <mergeCell ref="E10:K10"/>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EF914-9ED3-4278-9485-6A5F7976F473}">
  <sheetPr>
    <tabColor theme="9" tint="0.39997558519241921"/>
  </sheetPr>
  <dimension ref="A1:Z75"/>
  <sheetViews>
    <sheetView showGridLines="0" zoomScale="80" zoomScaleNormal="80" workbookViewId="0">
      <selection activeCell="I8" sqref="I8"/>
    </sheetView>
  </sheetViews>
  <sheetFormatPr defaultRowHeight="14.25" x14ac:dyDescent="0.25"/>
  <cols>
    <col min="1" max="1" width="4.140625" style="9" customWidth="1"/>
    <col min="2" max="10" width="13.5703125" style="9" customWidth="1"/>
    <col min="11" max="11" width="4.140625" style="9" customWidth="1"/>
    <col min="12" max="12" width="46.7109375" style="12" customWidth="1"/>
    <col min="13" max="13" width="25.85546875" style="12" customWidth="1"/>
    <col min="14" max="14" width="23.7109375" style="27" customWidth="1"/>
    <col min="15" max="15" width="11.85546875" style="12" customWidth="1"/>
    <col min="16" max="16" width="39.140625" style="13" customWidth="1"/>
    <col min="17" max="17" width="16.140625" style="13" customWidth="1"/>
    <col min="18" max="18" width="13.85546875" style="13" customWidth="1"/>
    <col min="19" max="19" width="14.7109375" style="12" customWidth="1"/>
    <col min="20" max="20" width="9.140625" style="12"/>
    <col min="21" max="21" width="11.5703125" style="12" bestFit="1" customWidth="1"/>
    <col min="22" max="22" width="9.140625" style="12"/>
    <col min="23" max="23" width="11.5703125" style="12" bestFit="1" customWidth="1"/>
    <col min="24" max="16384" width="9.140625" style="12"/>
  </cols>
  <sheetData>
    <row r="1" spans="2:26" ht="12" customHeight="1" x14ac:dyDescent="0.25">
      <c r="L1" s="10"/>
      <c r="M1" s="10"/>
      <c r="N1" s="11"/>
    </row>
    <row r="2" spans="2:26" x14ac:dyDescent="0.25">
      <c r="B2" s="151" t="s">
        <v>12</v>
      </c>
      <c r="C2" s="151"/>
      <c r="D2" s="151"/>
      <c r="E2" s="151"/>
      <c r="F2" s="151"/>
      <c r="G2" s="151"/>
      <c r="H2" s="151"/>
      <c r="I2" s="151"/>
      <c r="J2" s="151"/>
      <c r="L2" s="151" t="s">
        <v>13</v>
      </c>
      <c r="M2" s="151"/>
      <c r="N2" s="151"/>
      <c r="P2" s="136" t="s">
        <v>14</v>
      </c>
      <c r="Q2" s="137"/>
      <c r="R2" s="137"/>
      <c r="S2" s="137"/>
      <c r="T2" s="137"/>
      <c r="U2" s="137"/>
      <c r="V2" s="137"/>
      <c r="W2" s="137"/>
      <c r="X2" s="137"/>
      <c r="Y2" s="137"/>
      <c r="Z2" s="138"/>
    </row>
    <row r="3" spans="2:26" ht="13.5" customHeight="1" x14ac:dyDescent="0.25">
      <c r="B3" s="15"/>
      <c r="C3" s="15"/>
      <c r="D3" s="15"/>
      <c r="E3" s="15"/>
      <c r="F3" s="15"/>
      <c r="G3" s="15"/>
      <c r="H3" s="15"/>
      <c r="I3" s="15"/>
      <c r="J3" s="15"/>
      <c r="L3" s="16" t="s">
        <v>15</v>
      </c>
      <c r="M3" s="14" t="s">
        <v>16</v>
      </c>
      <c r="N3" s="14" t="s">
        <v>17</v>
      </c>
      <c r="P3" s="136" t="s">
        <v>18</v>
      </c>
      <c r="Q3" s="137"/>
      <c r="R3" s="137"/>
      <c r="S3" s="137"/>
      <c r="T3" s="137"/>
      <c r="U3" s="137"/>
      <c r="V3" s="137"/>
      <c r="W3" s="137"/>
      <c r="X3" s="137"/>
      <c r="Y3" s="137"/>
      <c r="Z3" s="138"/>
    </row>
    <row r="4" spans="2:26" ht="15.75" x14ac:dyDescent="0.25">
      <c r="B4" s="15"/>
      <c r="C4" s="15"/>
      <c r="D4" s="15"/>
      <c r="E4" s="15"/>
      <c r="F4" s="15"/>
      <c r="G4" s="15"/>
      <c r="H4" s="15"/>
      <c r="I4" s="15"/>
      <c r="J4" s="15"/>
      <c r="L4" s="17" t="s">
        <v>19</v>
      </c>
      <c r="M4" s="18">
        <v>0.94</v>
      </c>
      <c r="N4" s="18" t="s">
        <v>20</v>
      </c>
      <c r="P4" s="16" t="s">
        <v>21</v>
      </c>
      <c r="Q4" s="14">
        <v>2021</v>
      </c>
      <c r="R4" s="14">
        <v>2022</v>
      </c>
      <c r="S4" s="14">
        <v>2023</v>
      </c>
      <c r="T4" s="14">
        <v>2024</v>
      </c>
      <c r="U4" s="14">
        <v>2025</v>
      </c>
      <c r="V4" s="14">
        <v>2026</v>
      </c>
      <c r="W4" s="14">
        <v>2027</v>
      </c>
      <c r="X4" s="14">
        <v>2028</v>
      </c>
      <c r="Y4" s="14">
        <v>2029</v>
      </c>
      <c r="Z4" s="14">
        <v>2030</v>
      </c>
    </row>
    <row r="5" spans="2:26" ht="15.75" x14ac:dyDescent="0.25">
      <c r="B5" s="151" t="s">
        <v>22</v>
      </c>
      <c r="C5" s="151"/>
      <c r="D5" s="151"/>
      <c r="E5" s="151"/>
      <c r="F5" s="151"/>
      <c r="G5" s="151"/>
      <c r="H5" s="151"/>
      <c r="I5" s="151"/>
      <c r="J5" s="151"/>
      <c r="L5" s="19" t="s">
        <v>23</v>
      </c>
      <c r="M5" s="20">
        <v>6.7000000000000002E-4</v>
      </c>
      <c r="N5" s="18" t="s">
        <v>24</v>
      </c>
      <c r="P5" s="21" t="s">
        <v>25</v>
      </c>
      <c r="Q5" s="22">
        <v>0</v>
      </c>
      <c r="R5" s="22">
        <f t="shared" ref="R5:Z10" si="0">$Q5</f>
        <v>0</v>
      </c>
      <c r="S5" s="22">
        <f t="shared" si="0"/>
        <v>0</v>
      </c>
      <c r="T5" s="22">
        <f t="shared" si="0"/>
        <v>0</v>
      </c>
      <c r="U5" s="22">
        <f t="shared" si="0"/>
        <v>0</v>
      </c>
      <c r="V5" s="22">
        <f t="shared" si="0"/>
        <v>0</v>
      </c>
      <c r="W5" s="22">
        <f t="shared" si="0"/>
        <v>0</v>
      </c>
      <c r="X5" s="22">
        <f t="shared" si="0"/>
        <v>0</v>
      </c>
      <c r="Y5" s="22">
        <f t="shared" si="0"/>
        <v>0</v>
      </c>
      <c r="Z5" s="22">
        <f t="shared" si="0"/>
        <v>0</v>
      </c>
    </row>
    <row r="6" spans="2:26" ht="28.5" x14ac:dyDescent="0.25">
      <c r="B6" s="23" t="s">
        <v>2</v>
      </c>
      <c r="C6" s="23" t="s">
        <v>25</v>
      </c>
      <c r="D6" s="14" t="s">
        <v>26</v>
      </c>
      <c r="E6" s="23" t="s">
        <v>27</v>
      </c>
      <c r="F6" s="23" t="s">
        <v>28</v>
      </c>
      <c r="G6" s="23" t="s">
        <v>29</v>
      </c>
      <c r="H6" s="23" t="s">
        <v>30</v>
      </c>
      <c r="I6" s="23" t="s">
        <v>31</v>
      </c>
      <c r="J6" s="14" t="s">
        <v>0</v>
      </c>
      <c r="L6" s="19" t="s">
        <v>32</v>
      </c>
      <c r="M6" s="20">
        <v>0.73</v>
      </c>
      <c r="N6" s="18" t="s">
        <v>20</v>
      </c>
      <c r="P6" s="21" t="s">
        <v>26</v>
      </c>
      <c r="Q6" s="22">
        <v>0</v>
      </c>
      <c r="R6" s="22">
        <f t="shared" si="0"/>
        <v>0</v>
      </c>
      <c r="S6" s="22">
        <f t="shared" si="0"/>
        <v>0</v>
      </c>
      <c r="T6" s="22">
        <f t="shared" si="0"/>
        <v>0</v>
      </c>
      <c r="U6" s="22">
        <f t="shared" si="0"/>
        <v>0</v>
      </c>
      <c r="V6" s="22">
        <f t="shared" si="0"/>
        <v>0</v>
      </c>
      <c r="W6" s="22">
        <f t="shared" si="0"/>
        <v>0</v>
      </c>
      <c r="X6" s="22">
        <f t="shared" si="0"/>
        <v>0</v>
      </c>
      <c r="Y6" s="22">
        <f t="shared" si="0"/>
        <v>0</v>
      </c>
      <c r="Z6" s="22">
        <f t="shared" si="0"/>
        <v>0</v>
      </c>
    </row>
    <row r="7" spans="2:26" ht="15.75" x14ac:dyDescent="0.25">
      <c r="B7" s="24">
        <v>2021</v>
      </c>
      <c r="C7" s="3">
        <f>$M$7*$M$5*$M$4*$M$6*$M$17*Q$23*Q$41*$M$8</f>
        <v>0</v>
      </c>
      <c r="D7" s="3">
        <f>$M$7*$M$5*$M$4*$M$6*$M$17*Q$24*Q$42*$M$8</f>
        <v>0</v>
      </c>
      <c r="E7" s="3">
        <f>$M$7*$M$5*$M$4*$M$6*$M$17*Q$24*Q$42*$M$8</f>
        <v>0</v>
      </c>
      <c r="F7" s="3">
        <f>$M$7*$M$5*$M$4*$M$6*$M$17*Q$26*Q$44*$M$8</f>
        <v>0</v>
      </c>
      <c r="G7" s="3">
        <f>$M$7*$M$5*$M$4*$M$6*$M$25*Q$27*Q$45*$M$8</f>
        <v>0</v>
      </c>
      <c r="H7" s="25">
        <f>$M$7*$M$5*$M$4*$M$6*$M$25*Q$28*Q$46*$M$8</f>
        <v>0</v>
      </c>
      <c r="I7" s="26">
        <f>ROUNDDOWN($M$7*$M$5*$M$4*$M$6*$M$25*Q$29*Q$47*$M$8, )</f>
        <v>970</v>
      </c>
      <c r="J7" s="25">
        <f>ROUNDDOWN(SUM(C7:I7),)</f>
        <v>970</v>
      </c>
      <c r="L7" s="19" t="s">
        <v>33</v>
      </c>
      <c r="M7" s="20">
        <v>28</v>
      </c>
      <c r="N7" s="18" t="s">
        <v>34</v>
      </c>
      <c r="P7" s="21" t="s">
        <v>27</v>
      </c>
      <c r="Q7" s="22">
        <v>0</v>
      </c>
      <c r="R7" s="22">
        <f t="shared" si="0"/>
        <v>0</v>
      </c>
      <c r="S7" s="22">
        <f t="shared" si="0"/>
        <v>0</v>
      </c>
      <c r="T7" s="22">
        <f t="shared" si="0"/>
        <v>0</v>
      </c>
      <c r="U7" s="22">
        <f t="shared" si="0"/>
        <v>0</v>
      </c>
      <c r="V7" s="22">
        <f t="shared" si="0"/>
        <v>0</v>
      </c>
      <c r="W7" s="22">
        <f t="shared" si="0"/>
        <v>0</v>
      </c>
      <c r="X7" s="22">
        <f t="shared" si="0"/>
        <v>0</v>
      </c>
      <c r="Y7" s="22">
        <f t="shared" si="0"/>
        <v>0</v>
      </c>
      <c r="Z7" s="22">
        <f t="shared" si="0"/>
        <v>0</v>
      </c>
    </row>
    <row r="8" spans="2:26" ht="28.5" x14ac:dyDescent="0.25">
      <c r="B8" s="24">
        <v>2022</v>
      </c>
      <c r="C8" s="3">
        <f>$M$7*$M$5*$M$4*$M$6*$M$17*R$23*R$41*$M$8</f>
        <v>0</v>
      </c>
      <c r="D8" s="3">
        <f>$M$7*$M$5*$M$4*$M$6*$M$17*R$24*R$42*$M$8</f>
        <v>0</v>
      </c>
      <c r="E8" s="3">
        <f>$M$7*$M$5*$M$4*$M$6*$M$17*R$24*R$42*$M$8</f>
        <v>0</v>
      </c>
      <c r="F8" s="3">
        <f>$M$7*$M$5*$M$4*$M$6*$M$17*R$26*R$44*$M$8</f>
        <v>0</v>
      </c>
      <c r="G8" s="3">
        <f>$M$7*$M$5*$M$4*$M$6*$M$25*R$27*R$45*$M$8</f>
        <v>0</v>
      </c>
      <c r="H8" s="25">
        <f t="shared" ref="H8:H16" si="1">$M$7*$M$5*$M$4*$M$6*$M$25*Q$28*Q$46*$M$8</f>
        <v>0</v>
      </c>
      <c r="I8" s="26">
        <f>ROUNDDOWN($M$7*$M$5*$M$4*$M$6*$M$25*R$29*R$47*$M$8, )</f>
        <v>970</v>
      </c>
      <c r="J8" s="25">
        <f t="shared" ref="J8:J16" si="2">ROUNDDOWN(SUM(C8:I8),)</f>
        <v>970</v>
      </c>
      <c r="L8" s="19" t="s">
        <v>35</v>
      </c>
      <c r="M8" s="20">
        <v>1</v>
      </c>
      <c r="N8" s="18" t="s">
        <v>20</v>
      </c>
      <c r="P8" s="21" t="s">
        <v>28</v>
      </c>
      <c r="Q8" s="22">
        <v>0</v>
      </c>
      <c r="R8" s="22">
        <f t="shared" si="0"/>
        <v>0</v>
      </c>
      <c r="S8" s="22">
        <f t="shared" si="0"/>
        <v>0</v>
      </c>
      <c r="T8" s="22">
        <f t="shared" si="0"/>
        <v>0</v>
      </c>
      <c r="U8" s="22">
        <f t="shared" si="0"/>
        <v>0</v>
      </c>
      <c r="V8" s="22">
        <f t="shared" si="0"/>
        <v>0</v>
      </c>
      <c r="W8" s="22">
        <f t="shared" si="0"/>
        <v>0</v>
      </c>
      <c r="X8" s="22">
        <f t="shared" si="0"/>
        <v>0</v>
      </c>
      <c r="Y8" s="22">
        <f t="shared" si="0"/>
        <v>0</v>
      </c>
      <c r="Z8" s="22">
        <f t="shared" si="0"/>
        <v>0</v>
      </c>
    </row>
    <row r="9" spans="2:26" x14ac:dyDescent="0.25">
      <c r="B9" s="24">
        <v>2023</v>
      </c>
      <c r="C9" s="3">
        <f>$M$7*$M$5*$M$4*$M$6*$M$17*S$23*S$41*$M$8</f>
        <v>0</v>
      </c>
      <c r="D9" s="3">
        <f>$M$7*$M$5*$M$4*$M$6*$M$17*S$24*S$42*$M$8</f>
        <v>0</v>
      </c>
      <c r="E9" s="3">
        <f>$M$7*$M$5*$M$4*$M$6*$M$17*S$24*S$42*$M$8</f>
        <v>0</v>
      </c>
      <c r="F9" s="3">
        <f>$M$7*$M$5*$M$4*$M$6*$M$17*S$26*S$44*$M$8</f>
        <v>0</v>
      </c>
      <c r="G9" s="3">
        <f>$M$7*$M$5*$M$4*$M$6*$M$25*S$27*S$45*$M$8</f>
        <v>0</v>
      </c>
      <c r="H9" s="25">
        <f t="shared" si="1"/>
        <v>0</v>
      </c>
      <c r="I9" s="26">
        <f>ROUNDDOWN($M$7*$M$5*$M$4*$M$6*$M$25*S$29*S$47*$M$8, )</f>
        <v>970</v>
      </c>
      <c r="J9" s="25">
        <f t="shared" si="2"/>
        <v>970</v>
      </c>
      <c r="P9" s="21" t="s">
        <v>29</v>
      </c>
      <c r="Q9" s="22">
        <v>0</v>
      </c>
      <c r="R9" s="22">
        <f t="shared" si="0"/>
        <v>0</v>
      </c>
      <c r="S9" s="22">
        <f t="shared" si="0"/>
        <v>0</v>
      </c>
      <c r="T9" s="22">
        <f t="shared" si="0"/>
        <v>0</v>
      </c>
      <c r="U9" s="22">
        <f t="shared" si="0"/>
        <v>0</v>
      </c>
      <c r="V9" s="22">
        <f t="shared" si="0"/>
        <v>0</v>
      </c>
      <c r="W9" s="22">
        <f t="shared" si="0"/>
        <v>0</v>
      </c>
      <c r="X9" s="22">
        <f t="shared" si="0"/>
        <v>0</v>
      </c>
      <c r="Y9" s="22">
        <f t="shared" si="0"/>
        <v>0</v>
      </c>
      <c r="Z9" s="22">
        <f t="shared" si="0"/>
        <v>0</v>
      </c>
    </row>
    <row r="10" spans="2:26" ht="14.25" customHeight="1" x14ac:dyDescent="0.25">
      <c r="B10" s="24">
        <v>2024</v>
      </c>
      <c r="C10" s="3">
        <f>$M$7*$M$5*$M$4*$M$6*$M$17*T$23*T$41*$M$8</f>
        <v>0</v>
      </c>
      <c r="D10" s="3">
        <f>$M$7*$M$5*$M$4*$M$6*$M$17*T$24*T$42*$M$8</f>
        <v>0</v>
      </c>
      <c r="E10" s="3">
        <f>$M$7*$M$5*$M$4*$M$6*$M$17*T$24*T$42*$M$8</f>
        <v>0</v>
      </c>
      <c r="F10" s="3">
        <f>$M$7*$M$5*$M$4*$M$6*$M$17*T$26*T$44*$M$8</f>
        <v>0</v>
      </c>
      <c r="G10" s="3">
        <f>$M$7*$M$5*$M$4*$M$6*$M$25*T$27*T$45*$M$8</f>
        <v>0</v>
      </c>
      <c r="H10" s="25">
        <f t="shared" si="1"/>
        <v>0</v>
      </c>
      <c r="I10" s="26">
        <f>ROUNDDOWN($M$7*$M$5*$M$4*$M$6*$M$25*T$29*T$47*$M$8, )</f>
        <v>970</v>
      </c>
      <c r="J10" s="25">
        <f t="shared" si="2"/>
        <v>970</v>
      </c>
      <c r="L10" s="142" t="s">
        <v>120</v>
      </c>
      <c r="M10" s="143"/>
      <c r="N10" s="144"/>
      <c r="P10" s="21" t="s">
        <v>30</v>
      </c>
      <c r="Q10" s="22">
        <v>0</v>
      </c>
      <c r="R10" s="22">
        <f t="shared" si="0"/>
        <v>0</v>
      </c>
      <c r="S10" s="22">
        <f t="shared" si="0"/>
        <v>0</v>
      </c>
      <c r="T10" s="22">
        <f t="shared" si="0"/>
        <v>0</v>
      </c>
      <c r="U10" s="22">
        <f t="shared" si="0"/>
        <v>0</v>
      </c>
      <c r="V10" s="22">
        <f t="shared" si="0"/>
        <v>0</v>
      </c>
      <c r="W10" s="22">
        <f t="shared" si="0"/>
        <v>0</v>
      </c>
      <c r="X10" s="22">
        <f t="shared" si="0"/>
        <v>0</v>
      </c>
      <c r="Y10" s="22">
        <f t="shared" si="0"/>
        <v>0</v>
      </c>
      <c r="Z10" s="22">
        <f t="shared" si="0"/>
        <v>0</v>
      </c>
    </row>
    <row r="11" spans="2:26" x14ac:dyDescent="0.25">
      <c r="B11" s="24">
        <v>2025</v>
      </c>
      <c r="C11" s="3">
        <f>$M$7*$M$5*$M$4*$M$6*$M$17*U$23*U$41*$M$8</f>
        <v>0</v>
      </c>
      <c r="D11" s="3">
        <f>$M$7*$M$5*$M$4*$M$6*$M$17*U$24*U$42*$M$8</f>
        <v>0</v>
      </c>
      <c r="E11" s="3">
        <f>$M$7*$M$5*$M$4*$M$6*$M$17*U$24*U$42*$M$8</f>
        <v>0</v>
      </c>
      <c r="F11" s="3">
        <f>$M$7*$M$5*$M$4*$M$6*$M$17*U$26*U$44*$M$8</f>
        <v>0</v>
      </c>
      <c r="G11" s="3">
        <f>$M$7*$M$5*$M$4*$M$6*$M$25*U$27*U$45*$M$8</f>
        <v>0</v>
      </c>
      <c r="H11" s="25">
        <f t="shared" si="1"/>
        <v>0</v>
      </c>
      <c r="I11" s="26">
        <f>ROUNDDOWN($M$7*$M$5*$M$4*$M$6*$M$25*U$29*U$47*$M$8, )</f>
        <v>970</v>
      </c>
      <c r="J11" s="25">
        <f t="shared" si="2"/>
        <v>970</v>
      </c>
      <c r="L11" s="145"/>
      <c r="M11" s="146"/>
      <c r="N11" s="147"/>
      <c r="P11" s="21" t="s">
        <v>31</v>
      </c>
      <c r="Q11" s="22">
        <f>'Last MR Verified_Santa Lucia'!C4</f>
        <v>4729.1111111111113</v>
      </c>
      <c r="R11" s="22">
        <f>$Q$11</f>
        <v>4729.1111111111113</v>
      </c>
      <c r="S11" s="22">
        <f t="shared" ref="S11:Z11" si="3">$Q$11</f>
        <v>4729.1111111111113</v>
      </c>
      <c r="T11" s="22">
        <f t="shared" si="3"/>
        <v>4729.1111111111113</v>
      </c>
      <c r="U11" s="22">
        <f t="shared" si="3"/>
        <v>4729.1111111111113</v>
      </c>
      <c r="V11" s="22">
        <f t="shared" si="3"/>
        <v>4729.1111111111113</v>
      </c>
      <c r="W11" s="22">
        <f t="shared" si="3"/>
        <v>4729.1111111111113</v>
      </c>
      <c r="X11" s="22">
        <f t="shared" si="3"/>
        <v>4729.1111111111113</v>
      </c>
      <c r="Y11" s="22">
        <f t="shared" si="3"/>
        <v>4729.1111111111113</v>
      </c>
      <c r="Z11" s="22">
        <f t="shared" si="3"/>
        <v>4729.1111111111113</v>
      </c>
    </row>
    <row r="12" spans="2:26" ht="15.75" x14ac:dyDescent="0.25">
      <c r="B12" s="24">
        <v>2026</v>
      </c>
      <c r="C12" s="3">
        <f>$M$7*$M$5*$M$4*$M$6*$M$17*V$23*V$41*$M$8</f>
        <v>0</v>
      </c>
      <c r="D12" s="3">
        <f>$M$7*$M$5*$M$4*$M$6*$M$17*V$24*V$42*$M$8</f>
        <v>0</v>
      </c>
      <c r="E12" s="3">
        <f>$M$7*$M$5*$M$4*$M$6*$M$17*V$24*V$42*$M$8</f>
        <v>0</v>
      </c>
      <c r="F12" s="3">
        <f>$M$7*$M$5*$M$4*$M$6*$M$17*V$26*V$44*$M$8</f>
        <v>0</v>
      </c>
      <c r="G12" s="3">
        <f>$M$7*$M$5*$M$4*$M$6*$M$25*V$27*V$45*$M$8</f>
        <v>0</v>
      </c>
      <c r="H12" s="25">
        <f t="shared" si="1"/>
        <v>0</v>
      </c>
      <c r="I12" s="26">
        <f>ROUNDDOWN($M$7*$M$5*$M$4*$M$6*$M$25*V$29*V$47*$M$8, )</f>
        <v>970</v>
      </c>
      <c r="J12" s="25">
        <f t="shared" si="2"/>
        <v>970</v>
      </c>
      <c r="L12" s="148" t="s">
        <v>130</v>
      </c>
      <c r="M12" s="149"/>
      <c r="N12" s="150"/>
      <c r="P12" s="136" t="s">
        <v>36</v>
      </c>
      <c r="Q12" s="137"/>
      <c r="R12" s="137"/>
      <c r="S12" s="137"/>
      <c r="T12" s="137"/>
      <c r="U12" s="137"/>
      <c r="V12" s="137"/>
      <c r="W12" s="137"/>
      <c r="X12" s="137"/>
      <c r="Y12" s="137"/>
      <c r="Z12" s="138"/>
    </row>
    <row r="13" spans="2:26" ht="14.25" customHeight="1" x14ac:dyDescent="0.25">
      <c r="B13" s="24">
        <v>2027</v>
      </c>
      <c r="C13" s="3">
        <f>$M$7*$M$5*$M$4*$M$6*$M$17*W$23*W$41*$M$8</f>
        <v>0</v>
      </c>
      <c r="D13" s="3">
        <f>$M$7*$M$5*$M$4*$M$6*$M$17*W$24*W$42*$M$8</f>
        <v>0</v>
      </c>
      <c r="E13" s="3">
        <f>$M$7*$M$5*$M$4*$M$6*$M$17*W$24*W$42*$M$8</f>
        <v>0</v>
      </c>
      <c r="F13" s="3">
        <f>$M$7*$M$5*$M$4*$M$6*$M$17*W$26*W$44*$M$8</f>
        <v>0</v>
      </c>
      <c r="G13" s="3">
        <f>$M$7*$M$5*$M$4*$M$6*$M$25*W$27*W$45*$M$8</f>
        <v>0</v>
      </c>
      <c r="H13" s="25">
        <f t="shared" si="1"/>
        <v>0</v>
      </c>
      <c r="I13" s="26">
        <f>ROUNDDOWN($M$7*$M$5*$M$4*$M$6*$M$25*W$29*W$47*$M$8, )</f>
        <v>970</v>
      </c>
      <c r="J13" s="25">
        <f t="shared" si="2"/>
        <v>970</v>
      </c>
      <c r="L13" s="16" t="s">
        <v>15</v>
      </c>
      <c r="M13" s="14" t="s">
        <v>16</v>
      </c>
      <c r="N13" s="14" t="s">
        <v>17</v>
      </c>
      <c r="P13" s="16" t="s">
        <v>21</v>
      </c>
      <c r="Q13" s="14">
        <v>2021</v>
      </c>
      <c r="R13" s="14">
        <v>2022</v>
      </c>
      <c r="S13" s="14">
        <v>2023</v>
      </c>
      <c r="T13" s="14">
        <v>2024</v>
      </c>
      <c r="U13" s="14">
        <v>2025</v>
      </c>
      <c r="V13" s="14">
        <v>2026</v>
      </c>
      <c r="W13" s="14">
        <v>2027</v>
      </c>
      <c r="X13" s="14">
        <v>2028</v>
      </c>
      <c r="Y13" s="14">
        <v>2029</v>
      </c>
      <c r="Z13" s="14">
        <v>2030</v>
      </c>
    </row>
    <row r="14" spans="2:26" ht="14.25" customHeight="1" x14ac:dyDescent="0.25">
      <c r="B14" s="24">
        <v>2028</v>
      </c>
      <c r="C14" s="3">
        <f>$M$7*$M$5*$M$4*$M$6*$M$17*X$23*X$41*$M$8</f>
        <v>0</v>
      </c>
      <c r="D14" s="3">
        <f>$M$7*$M$5*$M$4*$M$6*$M$17*X$24*X$42*$M$8</f>
        <v>0</v>
      </c>
      <c r="E14" s="3">
        <f>$M$7*$M$5*$M$4*$M$6*$M$17*X$24*X$42*$M$8</f>
        <v>0</v>
      </c>
      <c r="F14" s="3">
        <f>$M$7*$M$5*$M$4*$M$6*$M$17*X$26*X$44*$M$8</f>
        <v>0</v>
      </c>
      <c r="G14" s="3">
        <f>$M$7*$M$5*$M$4*$M$6*$M$25*X$27*X$45*$M$8</f>
        <v>0</v>
      </c>
      <c r="H14" s="25">
        <f t="shared" si="1"/>
        <v>0</v>
      </c>
      <c r="I14" s="26">
        <f>ROUNDDOWN($M$7*$M$5*$M$4*$M$6*$M$25*X$29*X$47*$M$8, )</f>
        <v>970</v>
      </c>
      <c r="J14" s="25">
        <f t="shared" si="2"/>
        <v>970</v>
      </c>
      <c r="L14" s="139" t="s">
        <v>37</v>
      </c>
      <c r="M14" s="140"/>
      <c r="N14" s="141"/>
      <c r="P14" s="21" t="s">
        <v>25</v>
      </c>
      <c r="Q14" s="22">
        <v>0</v>
      </c>
      <c r="R14" s="22">
        <f t="shared" ref="R14:Z19" si="4">$Q14</f>
        <v>0</v>
      </c>
      <c r="S14" s="22">
        <f t="shared" si="4"/>
        <v>0</v>
      </c>
      <c r="T14" s="22">
        <f t="shared" si="4"/>
        <v>0</v>
      </c>
      <c r="U14" s="22">
        <f t="shared" si="4"/>
        <v>0</v>
      </c>
      <c r="V14" s="22">
        <f t="shared" si="4"/>
        <v>0</v>
      </c>
      <c r="W14" s="22">
        <f t="shared" si="4"/>
        <v>0</v>
      </c>
      <c r="X14" s="22">
        <f t="shared" si="4"/>
        <v>0</v>
      </c>
      <c r="Y14" s="22">
        <f t="shared" si="4"/>
        <v>0</v>
      </c>
      <c r="Z14" s="22">
        <f t="shared" si="4"/>
        <v>0</v>
      </c>
    </row>
    <row r="15" spans="2:26" x14ac:dyDescent="0.25">
      <c r="B15" s="24">
        <v>2029</v>
      </c>
      <c r="C15" s="3">
        <f>$M$7*$M$5*$M$4*$M$6*$M$17*Y$23*Y$41*$M$8</f>
        <v>0</v>
      </c>
      <c r="D15" s="3">
        <f>$M$7*$M$5*$M$4*$M$6*$M$17*Y$24*Y$42*$M$8</f>
        <v>0</v>
      </c>
      <c r="E15" s="3">
        <f>$M$7*$M$5*$M$4*$M$6*$M$17*Y$24*Y$42*$M$8</f>
        <v>0</v>
      </c>
      <c r="F15" s="3">
        <f>$M$7*$M$5*$M$4*$M$6*$M$17*Y$26*Y$44*$M$8</f>
        <v>0</v>
      </c>
      <c r="G15" s="3">
        <f>$M$7*$M$5*$M$4*$M$6*$M$25*Y$27*Y$45*$M$8</f>
        <v>0</v>
      </c>
      <c r="H15" s="25">
        <f t="shared" si="1"/>
        <v>0</v>
      </c>
      <c r="I15" s="26">
        <f>ROUNDDOWN($M$7*$M$5*$M$4*$M$6*$M$25*Y$29*Y$47*$M$8, )</f>
        <v>970</v>
      </c>
      <c r="J15" s="25">
        <f t="shared" si="2"/>
        <v>970</v>
      </c>
      <c r="L15" s="74" t="s">
        <v>40</v>
      </c>
      <c r="M15" s="75">
        <f>(1.7*(M19/1000))</f>
        <v>0.34849999999999998</v>
      </c>
      <c r="N15" s="74" t="s">
        <v>38</v>
      </c>
      <c r="P15" s="21" t="s">
        <v>26</v>
      </c>
      <c r="Q15" s="22">
        <v>0</v>
      </c>
      <c r="R15" s="22">
        <f t="shared" si="4"/>
        <v>0</v>
      </c>
      <c r="S15" s="22">
        <f t="shared" si="4"/>
        <v>0</v>
      </c>
      <c r="T15" s="22">
        <f t="shared" si="4"/>
        <v>0</v>
      </c>
      <c r="U15" s="22">
        <f t="shared" si="4"/>
        <v>0</v>
      </c>
      <c r="V15" s="22">
        <f t="shared" si="4"/>
        <v>0</v>
      </c>
      <c r="W15" s="22">
        <f t="shared" si="4"/>
        <v>0</v>
      </c>
      <c r="X15" s="22">
        <f t="shared" si="4"/>
        <v>0</v>
      </c>
      <c r="Y15" s="22">
        <f t="shared" si="4"/>
        <v>0</v>
      </c>
      <c r="Z15" s="22">
        <f t="shared" si="4"/>
        <v>0</v>
      </c>
    </row>
    <row r="16" spans="2:26" ht="14.25" customHeight="1" x14ac:dyDescent="0.25">
      <c r="B16" s="24">
        <v>2030</v>
      </c>
      <c r="C16" s="3">
        <f>$M$7*$M$5*$M$4*$M$6*$M$17*Z$23*Z$41*$M$8</f>
        <v>0</v>
      </c>
      <c r="D16" s="3">
        <f>$M$7*$M$5*$M$4*$M$6*$M$17*Z$24*Z$42*$M$8</f>
        <v>0</v>
      </c>
      <c r="E16" s="3">
        <f>$M$7*$M$5*$M$4*$M$6*$M$17*Z$24*Z$42*$M$8</f>
        <v>0</v>
      </c>
      <c r="F16" s="3">
        <f>$M$7*$M$5*$M$4*$M$6*$M$17*Z$26*Z$44*$M$8</f>
        <v>0</v>
      </c>
      <c r="G16" s="3">
        <f>$M$7*$M$5*$M$4*$M$6*$M$25*Z$27*Z$45*$M$8</f>
        <v>0</v>
      </c>
      <c r="H16" s="25">
        <f t="shared" si="1"/>
        <v>0</v>
      </c>
      <c r="I16" s="26">
        <f>ROUNDDOWN($M$7*$M$5*$M$4*$M$6*$M$25*Z$29*Z$47*$M$8, )</f>
        <v>970</v>
      </c>
      <c r="J16" s="25">
        <f t="shared" si="2"/>
        <v>970</v>
      </c>
      <c r="L16" s="139" t="s">
        <v>42</v>
      </c>
      <c r="M16" s="140"/>
      <c r="N16" s="141"/>
      <c r="P16" s="21" t="s">
        <v>39</v>
      </c>
      <c r="Q16" s="22">
        <v>0</v>
      </c>
      <c r="R16" s="22">
        <f t="shared" si="4"/>
        <v>0</v>
      </c>
      <c r="S16" s="22">
        <f t="shared" si="4"/>
        <v>0</v>
      </c>
      <c r="T16" s="22">
        <f t="shared" si="4"/>
        <v>0</v>
      </c>
      <c r="U16" s="22">
        <f t="shared" si="4"/>
        <v>0</v>
      </c>
      <c r="V16" s="22">
        <f t="shared" si="4"/>
        <v>0</v>
      </c>
      <c r="W16" s="22">
        <f t="shared" si="4"/>
        <v>0</v>
      </c>
      <c r="X16" s="22">
        <f t="shared" si="4"/>
        <v>0</v>
      </c>
      <c r="Y16" s="22">
        <f t="shared" si="4"/>
        <v>0</v>
      </c>
      <c r="Z16" s="22">
        <f t="shared" si="4"/>
        <v>0</v>
      </c>
    </row>
    <row r="17" spans="2:26" ht="15.75" x14ac:dyDescent="0.25">
      <c r="B17" s="28" t="s">
        <v>0</v>
      </c>
      <c r="C17" s="25">
        <f>ROUNDDOWN(SUM(C7:C16),)</f>
        <v>0</v>
      </c>
      <c r="D17" s="25">
        <f t="shared" ref="D17:H17" si="5">ROUNDDOWN(SUM(D7:D16),)</f>
        <v>0</v>
      </c>
      <c r="E17" s="25">
        <f t="shared" si="5"/>
        <v>0</v>
      </c>
      <c r="F17" s="25">
        <f t="shared" si="5"/>
        <v>0</v>
      </c>
      <c r="G17" s="25">
        <f t="shared" si="5"/>
        <v>0</v>
      </c>
      <c r="H17" s="25">
        <f t="shared" si="5"/>
        <v>0</v>
      </c>
      <c r="I17" s="25">
        <f>ROUNDDOWN(SUM(I7:I16),)</f>
        <v>9700</v>
      </c>
      <c r="J17" s="25">
        <f>ROUNDDOWN(SUM(C17:I17),)</f>
        <v>9700</v>
      </c>
      <c r="L17" s="74" t="s">
        <v>40</v>
      </c>
      <c r="M17" s="74">
        <f>0.45</f>
        <v>0.45</v>
      </c>
      <c r="N17" s="74" t="s">
        <v>43</v>
      </c>
      <c r="P17" s="21" t="s">
        <v>41</v>
      </c>
      <c r="Q17" s="22">
        <v>0</v>
      </c>
      <c r="R17" s="22">
        <f t="shared" si="4"/>
        <v>0</v>
      </c>
      <c r="S17" s="22">
        <f t="shared" si="4"/>
        <v>0</v>
      </c>
      <c r="T17" s="22">
        <f t="shared" si="4"/>
        <v>0</v>
      </c>
      <c r="U17" s="22">
        <f t="shared" si="4"/>
        <v>0</v>
      </c>
      <c r="V17" s="22">
        <f t="shared" si="4"/>
        <v>0</v>
      </c>
      <c r="W17" s="22">
        <f t="shared" si="4"/>
        <v>0</v>
      </c>
      <c r="X17" s="22">
        <f t="shared" si="4"/>
        <v>0</v>
      </c>
      <c r="Y17" s="22">
        <f t="shared" si="4"/>
        <v>0</v>
      </c>
      <c r="Z17" s="22">
        <f t="shared" si="4"/>
        <v>0</v>
      </c>
    </row>
    <row r="18" spans="2:26" ht="14.25" customHeight="1" x14ac:dyDescent="0.25">
      <c r="B18" s="29"/>
      <c r="C18" s="30"/>
      <c r="D18" s="30"/>
      <c r="E18" s="30"/>
      <c r="F18" s="30"/>
      <c r="G18" s="30"/>
      <c r="H18" s="30"/>
      <c r="I18" s="30"/>
      <c r="J18" s="30"/>
      <c r="L18" s="139" t="s">
        <v>46</v>
      </c>
      <c r="M18" s="140"/>
      <c r="N18" s="141"/>
      <c r="P18" s="21" t="s">
        <v>29</v>
      </c>
      <c r="Q18" s="22">
        <v>0</v>
      </c>
      <c r="R18" s="22">
        <f t="shared" si="4"/>
        <v>0</v>
      </c>
      <c r="S18" s="22">
        <f t="shared" si="4"/>
        <v>0</v>
      </c>
      <c r="T18" s="22">
        <f t="shared" si="4"/>
        <v>0</v>
      </c>
      <c r="U18" s="22">
        <f t="shared" si="4"/>
        <v>0</v>
      </c>
      <c r="V18" s="22">
        <f t="shared" si="4"/>
        <v>0</v>
      </c>
      <c r="W18" s="22">
        <f t="shared" si="4"/>
        <v>0</v>
      </c>
      <c r="X18" s="22">
        <f t="shared" si="4"/>
        <v>0</v>
      </c>
      <c r="Y18" s="22">
        <f t="shared" si="4"/>
        <v>0</v>
      </c>
      <c r="Z18" s="22">
        <f t="shared" si="4"/>
        <v>0</v>
      </c>
    </row>
    <row r="19" spans="2:26" ht="14.25" customHeight="1" x14ac:dyDescent="0.25">
      <c r="B19" s="29"/>
      <c r="C19" s="30"/>
      <c r="D19" s="30"/>
      <c r="E19" s="30"/>
      <c r="F19" s="30"/>
      <c r="G19" s="30"/>
      <c r="H19" s="30"/>
      <c r="I19" s="30"/>
      <c r="J19" s="30"/>
      <c r="L19" s="74" t="s">
        <v>40</v>
      </c>
      <c r="M19" s="74">
        <v>205</v>
      </c>
      <c r="N19" s="74" t="s">
        <v>47</v>
      </c>
      <c r="P19" s="21" t="s">
        <v>44</v>
      </c>
      <c r="Q19" s="22">
        <v>0</v>
      </c>
      <c r="R19" s="22">
        <f t="shared" si="4"/>
        <v>0</v>
      </c>
      <c r="S19" s="22">
        <f t="shared" si="4"/>
        <v>0</v>
      </c>
      <c r="T19" s="22">
        <f t="shared" si="4"/>
        <v>0</v>
      </c>
      <c r="U19" s="22">
        <f t="shared" si="4"/>
        <v>0</v>
      </c>
      <c r="V19" s="22">
        <f t="shared" si="4"/>
        <v>0</v>
      </c>
      <c r="W19" s="22">
        <f t="shared" si="4"/>
        <v>0</v>
      </c>
      <c r="X19" s="22">
        <f t="shared" si="4"/>
        <v>0</v>
      </c>
      <c r="Y19" s="22">
        <f t="shared" si="4"/>
        <v>0</v>
      </c>
      <c r="Z19" s="22">
        <f t="shared" si="4"/>
        <v>0</v>
      </c>
    </row>
    <row r="20" spans="2:26" x14ac:dyDescent="0.25">
      <c r="B20" s="30"/>
      <c r="C20" s="30"/>
      <c r="D20" s="30"/>
      <c r="E20" s="30"/>
      <c r="F20" s="30"/>
      <c r="G20" s="30"/>
      <c r="H20" s="30"/>
      <c r="I20" s="30"/>
      <c r="J20" s="30"/>
      <c r="L20" s="148" t="s">
        <v>131</v>
      </c>
      <c r="M20" s="149"/>
      <c r="N20" s="150"/>
      <c r="P20" s="21" t="s">
        <v>31</v>
      </c>
      <c r="Q20" s="22">
        <f>'Last MR Verified_Santa Lucia'!C5</f>
        <v>111.88886406664369</v>
      </c>
      <c r="R20" s="22">
        <f>$Q$20</f>
        <v>111.88886406664369</v>
      </c>
      <c r="S20" s="22">
        <f t="shared" ref="S20:Z20" si="6">$Q$20</f>
        <v>111.88886406664369</v>
      </c>
      <c r="T20" s="22">
        <f t="shared" si="6"/>
        <v>111.88886406664369</v>
      </c>
      <c r="U20" s="22">
        <f t="shared" si="6"/>
        <v>111.88886406664369</v>
      </c>
      <c r="V20" s="22">
        <f t="shared" si="6"/>
        <v>111.88886406664369</v>
      </c>
      <c r="W20" s="22">
        <f t="shared" si="6"/>
        <v>111.88886406664369</v>
      </c>
      <c r="X20" s="22">
        <f t="shared" si="6"/>
        <v>111.88886406664369</v>
      </c>
      <c r="Y20" s="22">
        <f t="shared" si="6"/>
        <v>111.88886406664369</v>
      </c>
      <c r="Z20" s="22">
        <f t="shared" si="6"/>
        <v>111.88886406664369</v>
      </c>
    </row>
    <row r="21" spans="2:26" ht="15.75" x14ac:dyDescent="0.25">
      <c r="B21" s="30"/>
      <c r="C21" s="30"/>
      <c r="D21" s="30"/>
      <c r="E21" s="30"/>
      <c r="F21" s="30"/>
      <c r="G21" s="30"/>
      <c r="H21" s="30"/>
      <c r="I21" s="30"/>
      <c r="J21" s="30"/>
      <c r="L21" s="16" t="s">
        <v>15</v>
      </c>
      <c r="M21" s="14" t="s">
        <v>16</v>
      </c>
      <c r="N21" s="14" t="s">
        <v>17</v>
      </c>
      <c r="P21" s="136" t="s">
        <v>45</v>
      </c>
      <c r="Q21" s="137"/>
      <c r="R21" s="137"/>
      <c r="S21" s="137"/>
      <c r="T21" s="137"/>
      <c r="U21" s="137"/>
      <c r="V21" s="137"/>
      <c r="W21" s="137"/>
      <c r="X21" s="137"/>
      <c r="Y21" s="137"/>
      <c r="Z21" s="138"/>
    </row>
    <row r="22" spans="2:26" ht="14.25" customHeight="1" x14ac:dyDescent="0.25">
      <c r="B22" s="30"/>
      <c r="C22" s="30"/>
      <c r="D22" s="30"/>
      <c r="E22" s="30"/>
      <c r="F22" s="30"/>
      <c r="G22" s="30"/>
      <c r="H22" s="30"/>
      <c r="I22" s="30"/>
      <c r="J22" s="30"/>
      <c r="L22" s="139" t="s">
        <v>37</v>
      </c>
      <c r="M22" s="140"/>
      <c r="N22" s="141"/>
      <c r="P22" s="16" t="s">
        <v>21</v>
      </c>
      <c r="Q22" s="14">
        <v>2021</v>
      </c>
      <c r="R22" s="14">
        <v>2022</v>
      </c>
      <c r="S22" s="14">
        <v>2023</v>
      </c>
      <c r="T22" s="14">
        <v>2024</v>
      </c>
      <c r="U22" s="14">
        <v>2025</v>
      </c>
      <c r="V22" s="14">
        <v>2026</v>
      </c>
      <c r="W22" s="14">
        <v>2027</v>
      </c>
      <c r="X22" s="14">
        <v>2028</v>
      </c>
      <c r="Y22" s="14">
        <v>2029</v>
      </c>
      <c r="Z22" s="14">
        <v>2030</v>
      </c>
    </row>
    <row r="23" spans="2:26" ht="14.25" customHeight="1" x14ac:dyDescent="0.25">
      <c r="B23" s="30"/>
      <c r="C23" s="30"/>
      <c r="D23" s="30"/>
      <c r="E23" s="30"/>
      <c r="F23" s="30"/>
      <c r="G23" s="30"/>
      <c r="H23" s="30"/>
      <c r="I23" s="30"/>
      <c r="J23" s="30"/>
      <c r="L23" s="74" t="s">
        <v>40</v>
      </c>
      <c r="M23" s="75">
        <f>(4.3*(M27/1000))</f>
        <v>0.25369999999999998</v>
      </c>
      <c r="N23" s="74" t="s">
        <v>38</v>
      </c>
      <c r="P23" s="21" t="s">
        <v>25</v>
      </c>
      <c r="Q23" s="31">
        <v>0</v>
      </c>
      <c r="R23" s="31">
        <f t="shared" ref="R23:R28" si="7">Q23</f>
        <v>0</v>
      </c>
      <c r="S23" s="31">
        <f t="shared" ref="S23:Z28" si="8">$Q23</f>
        <v>0</v>
      </c>
      <c r="T23" s="31">
        <f t="shared" si="8"/>
        <v>0</v>
      </c>
      <c r="U23" s="31">
        <f t="shared" si="8"/>
        <v>0</v>
      </c>
      <c r="V23" s="31">
        <f t="shared" si="8"/>
        <v>0</v>
      </c>
      <c r="W23" s="31">
        <f t="shared" si="8"/>
        <v>0</v>
      </c>
      <c r="X23" s="31">
        <f t="shared" si="8"/>
        <v>0</v>
      </c>
      <c r="Y23" s="31">
        <f t="shared" si="8"/>
        <v>0</v>
      </c>
      <c r="Z23" s="31">
        <f t="shared" si="8"/>
        <v>0</v>
      </c>
    </row>
    <row r="24" spans="2:26" ht="14.25" customHeight="1" x14ac:dyDescent="0.25">
      <c r="B24" s="30"/>
      <c r="C24" s="30"/>
      <c r="D24" s="30"/>
      <c r="E24" s="30"/>
      <c r="F24" s="30"/>
      <c r="G24" s="30"/>
      <c r="H24" s="30"/>
      <c r="I24" s="30"/>
      <c r="J24" s="30"/>
      <c r="L24" s="139" t="s">
        <v>42</v>
      </c>
      <c r="M24" s="140"/>
      <c r="N24" s="141"/>
      <c r="P24" s="21" t="s">
        <v>26</v>
      </c>
      <c r="Q24" s="31">
        <v>0</v>
      </c>
      <c r="R24" s="31">
        <f t="shared" si="7"/>
        <v>0</v>
      </c>
      <c r="S24" s="31">
        <f t="shared" si="8"/>
        <v>0</v>
      </c>
      <c r="T24" s="31">
        <f t="shared" si="8"/>
        <v>0</v>
      </c>
      <c r="U24" s="31">
        <f t="shared" si="8"/>
        <v>0</v>
      </c>
      <c r="V24" s="31">
        <f t="shared" si="8"/>
        <v>0</v>
      </c>
      <c r="W24" s="31">
        <f t="shared" si="8"/>
        <v>0</v>
      </c>
      <c r="X24" s="31">
        <f t="shared" si="8"/>
        <v>0</v>
      </c>
      <c r="Y24" s="31">
        <f t="shared" si="8"/>
        <v>0</v>
      </c>
      <c r="Z24" s="31">
        <f t="shared" si="8"/>
        <v>0</v>
      </c>
    </row>
    <row r="25" spans="2:26" ht="15.75" x14ac:dyDescent="0.25">
      <c r="B25" s="30"/>
      <c r="C25" s="30"/>
      <c r="D25" s="30"/>
      <c r="E25" s="30"/>
      <c r="F25" s="30"/>
      <c r="G25" s="30"/>
      <c r="H25" s="30"/>
      <c r="I25" s="30"/>
      <c r="J25" s="30"/>
      <c r="L25" s="74" t="s">
        <v>40</v>
      </c>
      <c r="M25" s="74">
        <f>0.45</f>
        <v>0.45</v>
      </c>
      <c r="N25" s="74" t="s">
        <v>43</v>
      </c>
      <c r="P25" s="21" t="s">
        <v>39</v>
      </c>
      <c r="Q25" s="31">
        <v>0</v>
      </c>
      <c r="R25" s="31">
        <f t="shared" si="7"/>
        <v>0</v>
      </c>
      <c r="S25" s="31">
        <f t="shared" si="8"/>
        <v>0</v>
      </c>
      <c r="T25" s="31">
        <f t="shared" si="8"/>
        <v>0</v>
      </c>
      <c r="U25" s="31">
        <f t="shared" si="8"/>
        <v>0</v>
      </c>
      <c r="V25" s="31">
        <f t="shared" si="8"/>
        <v>0</v>
      </c>
      <c r="W25" s="31">
        <f t="shared" si="8"/>
        <v>0</v>
      </c>
      <c r="X25" s="31">
        <f t="shared" si="8"/>
        <v>0</v>
      </c>
      <c r="Y25" s="31">
        <f t="shared" si="8"/>
        <v>0</v>
      </c>
      <c r="Z25" s="31">
        <f t="shared" si="8"/>
        <v>0</v>
      </c>
    </row>
    <row r="26" spans="2:26" ht="12.75" customHeight="1" x14ac:dyDescent="0.25">
      <c r="B26" s="30"/>
      <c r="C26" s="30"/>
      <c r="D26" s="30"/>
      <c r="E26" s="30"/>
      <c r="F26" s="30"/>
      <c r="G26" s="30"/>
      <c r="H26" s="30"/>
      <c r="I26" s="30"/>
      <c r="J26" s="30"/>
      <c r="L26" s="139" t="s">
        <v>46</v>
      </c>
      <c r="M26" s="140"/>
      <c r="N26" s="141"/>
      <c r="P26" s="21" t="s">
        <v>41</v>
      </c>
      <c r="Q26" s="31">
        <v>0</v>
      </c>
      <c r="R26" s="31">
        <f t="shared" si="7"/>
        <v>0</v>
      </c>
      <c r="S26" s="31">
        <f t="shared" si="8"/>
        <v>0</v>
      </c>
      <c r="T26" s="31">
        <f t="shared" si="8"/>
        <v>0</v>
      </c>
      <c r="U26" s="31">
        <f t="shared" si="8"/>
        <v>0</v>
      </c>
      <c r="V26" s="31">
        <f t="shared" si="8"/>
        <v>0</v>
      </c>
      <c r="W26" s="31">
        <f t="shared" si="8"/>
        <v>0</v>
      </c>
      <c r="X26" s="31">
        <f t="shared" si="8"/>
        <v>0</v>
      </c>
      <c r="Y26" s="31">
        <f t="shared" si="8"/>
        <v>0</v>
      </c>
      <c r="Z26" s="31">
        <f t="shared" si="8"/>
        <v>0</v>
      </c>
    </row>
    <row r="27" spans="2:26" ht="12.75" customHeight="1" x14ac:dyDescent="0.25">
      <c r="B27" s="30"/>
      <c r="C27" s="30"/>
      <c r="D27" s="30"/>
      <c r="E27" s="30"/>
      <c r="F27" s="30"/>
      <c r="G27" s="30"/>
      <c r="H27" s="30"/>
      <c r="I27" s="30"/>
      <c r="J27" s="30"/>
      <c r="L27" s="74" t="s">
        <v>40</v>
      </c>
      <c r="M27" s="74">
        <v>59</v>
      </c>
      <c r="N27" s="74" t="s">
        <v>47</v>
      </c>
      <c r="P27" s="21" t="s">
        <v>29</v>
      </c>
      <c r="Q27" s="31">
        <v>0</v>
      </c>
      <c r="R27" s="31">
        <f t="shared" si="7"/>
        <v>0</v>
      </c>
      <c r="S27" s="31">
        <f t="shared" si="8"/>
        <v>0</v>
      </c>
      <c r="T27" s="31">
        <f t="shared" si="8"/>
        <v>0</v>
      </c>
      <c r="U27" s="31">
        <f t="shared" si="8"/>
        <v>0</v>
      </c>
      <c r="V27" s="31">
        <f t="shared" si="8"/>
        <v>0</v>
      </c>
      <c r="W27" s="31">
        <f t="shared" si="8"/>
        <v>0</v>
      </c>
      <c r="X27" s="31">
        <f t="shared" si="8"/>
        <v>0</v>
      </c>
      <c r="Y27" s="31">
        <f t="shared" si="8"/>
        <v>0</v>
      </c>
      <c r="Z27" s="31">
        <f t="shared" si="8"/>
        <v>0</v>
      </c>
    </row>
    <row r="28" spans="2:26" x14ac:dyDescent="0.25">
      <c r="B28" s="30"/>
      <c r="C28" s="30"/>
      <c r="D28" s="30"/>
      <c r="E28" s="30"/>
      <c r="F28" s="30"/>
      <c r="G28" s="30"/>
      <c r="H28" s="30"/>
      <c r="I28" s="30"/>
      <c r="J28" s="30"/>
      <c r="L28" s="30"/>
      <c r="M28" s="30"/>
      <c r="N28" s="30"/>
      <c r="P28" s="21" t="s">
        <v>44</v>
      </c>
      <c r="Q28" s="31">
        <v>0</v>
      </c>
      <c r="R28" s="31">
        <f t="shared" si="7"/>
        <v>0</v>
      </c>
      <c r="S28" s="31">
        <f t="shared" si="8"/>
        <v>0</v>
      </c>
      <c r="T28" s="31">
        <f t="shared" si="8"/>
        <v>0</v>
      </c>
      <c r="U28" s="31">
        <f t="shared" si="8"/>
        <v>0</v>
      </c>
      <c r="V28" s="31">
        <f t="shared" si="8"/>
        <v>0</v>
      </c>
      <c r="W28" s="31">
        <f t="shared" si="8"/>
        <v>0</v>
      </c>
      <c r="X28" s="31">
        <f t="shared" si="8"/>
        <v>0</v>
      </c>
      <c r="Y28" s="31">
        <f t="shared" si="8"/>
        <v>0</v>
      </c>
      <c r="Z28" s="31">
        <f t="shared" si="8"/>
        <v>0</v>
      </c>
    </row>
    <row r="29" spans="2:26" x14ac:dyDescent="0.25">
      <c r="B29" s="30"/>
      <c r="C29" s="30"/>
      <c r="D29" s="30"/>
      <c r="E29" s="30"/>
      <c r="F29" s="30"/>
      <c r="G29" s="30"/>
      <c r="H29" s="30"/>
      <c r="I29" s="30"/>
      <c r="J29" s="30"/>
      <c r="L29" s="30"/>
      <c r="M29" s="30"/>
      <c r="N29" s="30"/>
      <c r="P29" s="21" t="s">
        <v>31</v>
      </c>
      <c r="Q29" s="22">
        <f>'Last MR Verified_Santa Lucia'!C6</f>
        <v>1449.6845760744259</v>
      </c>
      <c r="R29" s="22">
        <f>$Q$29</f>
        <v>1449.6845760744259</v>
      </c>
      <c r="S29" s="22">
        <f t="shared" ref="S29:Z29" si="9">$Q$29</f>
        <v>1449.6845760744259</v>
      </c>
      <c r="T29" s="22">
        <f t="shared" si="9"/>
        <v>1449.6845760744259</v>
      </c>
      <c r="U29" s="22">
        <f t="shared" si="9"/>
        <v>1449.6845760744259</v>
      </c>
      <c r="V29" s="22">
        <f t="shared" si="9"/>
        <v>1449.6845760744259</v>
      </c>
      <c r="W29" s="22">
        <f t="shared" si="9"/>
        <v>1449.6845760744259</v>
      </c>
      <c r="X29" s="22">
        <f t="shared" si="9"/>
        <v>1449.6845760744259</v>
      </c>
      <c r="Y29" s="22">
        <f t="shared" si="9"/>
        <v>1449.6845760744259</v>
      </c>
      <c r="Z29" s="22">
        <f t="shared" si="9"/>
        <v>1449.6845760744259</v>
      </c>
    </row>
    <row r="30" spans="2:26" ht="15.75" x14ac:dyDescent="0.25">
      <c r="B30" s="30"/>
      <c r="C30" s="30"/>
      <c r="D30" s="30"/>
      <c r="E30" s="30"/>
      <c r="F30" s="30"/>
      <c r="G30" s="30"/>
      <c r="H30" s="30"/>
      <c r="I30" s="30"/>
      <c r="J30" s="30"/>
      <c r="L30" s="30"/>
      <c r="M30" s="30"/>
      <c r="N30" s="30"/>
      <c r="P30" s="136" t="s">
        <v>48</v>
      </c>
      <c r="Q30" s="137"/>
      <c r="R30" s="137"/>
      <c r="S30" s="137"/>
      <c r="T30" s="137"/>
      <c r="U30" s="137"/>
      <c r="V30" s="137"/>
      <c r="W30" s="137"/>
      <c r="X30" s="137"/>
      <c r="Y30" s="137"/>
      <c r="Z30" s="138"/>
    </row>
    <row r="31" spans="2:26" x14ac:dyDescent="0.25">
      <c r="C31" s="30"/>
      <c r="D31" s="30"/>
      <c r="E31" s="30"/>
      <c r="F31" s="30"/>
      <c r="G31" s="30"/>
      <c r="H31" s="30"/>
      <c r="I31" s="30"/>
      <c r="J31" s="30"/>
      <c r="L31" s="30"/>
      <c r="M31" s="30"/>
      <c r="N31" s="30"/>
      <c r="P31" s="16" t="s">
        <v>21</v>
      </c>
      <c r="Q31" s="14">
        <v>2021</v>
      </c>
      <c r="R31" s="14">
        <v>2022</v>
      </c>
      <c r="S31" s="14">
        <v>2023</v>
      </c>
      <c r="T31" s="14">
        <v>2024</v>
      </c>
      <c r="U31" s="14">
        <v>2025</v>
      </c>
      <c r="V31" s="14">
        <v>2026</v>
      </c>
      <c r="W31" s="14">
        <v>2027</v>
      </c>
      <c r="X31" s="14">
        <v>2028</v>
      </c>
      <c r="Y31" s="14">
        <v>2029</v>
      </c>
      <c r="Z31" s="14">
        <v>2030</v>
      </c>
    </row>
    <row r="32" spans="2:26" x14ac:dyDescent="0.25">
      <c r="C32" s="30"/>
      <c r="D32" s="30"/>
      <c r="E32" s="30"/>
      <c r="F32" s="30"/>
      <c r="G32" s="30"/>
      <c r="H32" s="30"/>
      <c r="I32" s="30"/>
      <c r="J32" s="30"/>
      <c r="L32" s="30"/>
      <c r="M32" s="30"/>
      <c r="N32" s="30"/>
      <c r="P32" s="21" t="s">
        <v>49</v>
      </c>
      <c r="Q32" s="22">
        <v>0</v>
      </c>
      <c r="R32" s="22">
        <f t="shared" ref="R32:Z37" si="10">$Q32</f>
        <v>0</v>
      </c>
      <c r="S32" s="22">
        <f t="shared" si="10"/>
        <v>0</v>
      </c>
      <c r="T32" s="22">
        <f t="shared" si="10"/>
        <v>0</v>
      </c>
      <c r="U32" s="22">
        <f t="shared" si="10"/>
        <v>0</v>
      </c>
      <c r="V32" s="22">
        <f t="shared" si="10"/>
        <v>0</v>
      </c>
      <c r="W32" s="22">
        <f t="shared" si="10"/>
        <v>0</v>
      </c>
      <c r="X32" s="22">
        <f t="shared" si="10"/>
        <v>0</v>
      </c>
      <c r="Y32" s="22">
        <f t="shared" si="10"/>
        <v>0</v>
      </c>
      <c r="Z32" s="22">
        <f t="shared" si="10"/>
        <v>0</v>
      </c>
    </row>
    <row r="33" spans="3:26" x14ac:dyDescent="0.25">
      <c r="C33" s="30"/>
      <c r="D33" s="30"/>
      <c r="E33" s="30"/>
      <c r="F33" s="30"/>
      <c r="G33" s="30"/>
      <c r="H33" s="30"/>
      <c r="I33" s="30"/>
      <c r="J33" s="30"/>
      <c r="L33" s="30"/>
      <c r="M33" s="30"/>
      <c r="N33" s="30"/>
      <c r="P33" s="21" t="s">
        <v>26</v>
      </c>
      <c r="Q33" s="22">
        <v>0</v>
      </c>
      <c r="R33" s="22">
        <f t="shared" si="10"/>
        <v>0</v>
      </c>
      <c r="S33" s="22">
        <f t="shared" si="10"/>
        <v>0</v>
      </c>
      <c r="T33" s="22">
        <f t="shared" si="10"/>
        <v>0</v>
      </c>
      <c r="U33" s="22">
        <f t="shared" si="10"/>
        <v>0</v>
      </c>
      <c r="V33" s="22">
        <f t="shared" si="10"/>
        <v>0</v>
      </c>
      <c r="W33" s="22">
        <f t="shared" si="10"/>
        <v>0</v>
      </c>
      <c r="X33" s="22">
        <f t="shared" si="10"/>
        <v>0</v>
      </c>
      <c r="Y33" s="22">
        <f t="shared" si="10"/>
        <v>0</v>
      </c>
      <c r="Z33" s="22">
        <f t="shared" si="10"/>
        <v>0</v>
      </c>
    </row>
    <row r="34" spans="3:26" ht="14.25" customHeight="1" x14ac:dyDescent="0.25">
      <c r="C34" s="30"/>
      <c r="D34" s="30"/>
      <c r="E34" s="30"/>
      <c r="F34" s="30"/>
      <c r="G34" s="30"/>
      <c r="H34" s="30"/>
      <c r="I34" s="30"/>
      <c r="J34" s="30"/>
      <c r="L34" s="30"/>
      <c r="M34" s="30"/>
      <c r="N34" s="30"/>
      <c r="P34" s="21" t="s">
        <v>39</v>
      </c>
      <c r="Q34" s="22">
        <v>0</v>
      </c>
      <c r="R34" s="22">
        <f t="shared" si="10"/>
        <v>0</v>
      </c>
      <c r="S34" s="22">
        <f t="shared" si="10"/>
        <v>0</v>
      </c>
      <c r="T34" s="22">
        <f t="shared" si="10"/>
        <v>0</v>
      </c>
      <c r="U34" s="22">
        <f t="shared" si="10"/>
        <v>0</v>
      </c>
      <c r="V34" s="22">
        <f t="shared" si="10"/>
        <v>0</v>
      </c>
      <c r="W34" s="22">
        <f t="shared" si="10"/>
        <v>0</v>
      </c>
      <c r="X34" s="22">
        <f t="shared" si="10"/>
        <v>0</v>
      </c>
      <c r="Y34" s="22">
        <f t="shared" si="10"/>
        <v>0</v>
      </c>
      <c r="Z34" s="22">
        <f t="shared" si="10"/>
        <v>0</v>
      </c>
    </row>
    <row r="35" spans="3:26" ht="12.75" customHeight="1" x14ac:dyDescent="0.25">
      <c r="C35" s="30"/>
      <c r="D35" s="30"/>
      <c r="E35" s="30"/>
      <c r="F35" s="30"/>
      <c r="G35" s="30"/>
      <c r="H35" s="30"/>
      <c r="I35" s="30"/>
      <c r="J35" s="30"/>
      <c r="L35" s="30"/>
      <c r="M35" s="30"/>
      <c r="N35" s="30"/>
      <c r="P35" s="21" t="s">
        <v>41</v>
      </c>
      <c r="Q35" s="22">
        <v>0</v>
      </c>
      <c r="R35" s="22">
        <f t="shared" si="10"/>
        <v>0</v>
      </c>
      <c r="S35" s="22">
        <f t="shared" si="10"/>
        <v>0</v>
      </c>
      <c r="T35" s="22">
        <f t="shared" si="10"/>
        <v>0</v>
      </c>
      <c r="U35" s="22">
        <f t="shared" si="10"/>
        <v>0</v>
      </c>
      <c r="V35" s="22">
        <f t="shared" si="10"/>
        <v>0</v>
      </c>
      <c r="W35" s="22">
        <f t="shared" si="10"/>
        <v>0</v>
      </c>
      <c r="X35" s="22">
        <f t="shared" si="10"/>
        <v>0</v>
      </c>
      <c r="Y35" s="22">
        <f t="shared" si="10"/>
        <v>0</v>
      </c>
      <c r="Z35" s="22">
        <f t="shared" si="10"/>
        <v>0</v>
      </c>
    </row>
    <row r="36" spans="3:26" x14ac:dyDescent="0.25">
      <c r="C36" s="30"/>
      <c r="D36" s="30"/>
      <c r="E36" s="30"/>
      <c r="F36" s="30"/>
      <c r="G36" s="30"/>
      <c r="H36" s="30"/>
      <c r="I36" s="30"/>
      <c r="J36" s="30"/>
      <c r="L36" s="30"/>
      <c r="M36" s="30"/>
      <c r="N36" s="30"/>
      <c r="P36" s="21" t="s">
        <v>50</v>
      </c>
      <c r="Q36" s="22">
        <v>0</v>
      </c>
      <c r="R36" s="22">
        <f t="shared" si="10"/>
        <v>0</v>
      </c>
      <c r="S36" s="22">
        <f t="shared" si="10"/>
        <v>0</v>
      </c>
      <c r="T36" s="22">
        <f t="shared" si="10"/>
        <v>0</v>
      </c>
      <c r="U36" s="22">
        <f t="shared" si="10"/>
        <v>0</v>
      </c>
      <c r="V36" s="22">
        <f t="shared" si="10"/>
        <v>0</v>
      </c>
      <c r="W36" s="22">
        <f t="shared" si="10"/>
        <v>0</v>
      </c>
      <c r="X36" s="22">
        <f t="shared" si="10"/>
        <v>0</v>
      </c>
      <c r="Y36" s="22">
        <f t="shared" si="10"/>
        <v>0</v>
      </c>
      <c r="Z36" s="22">
        <f t="shared" si="10"/>
        <v>0</v>
      </c>
    </row>
    <row r="37" spans="3:26" ht="15" customHeight="1" x14ac:dyDescent="0.25">
      <c r="C37" s="30"/>
      <c r="D37" s="30"/>
      <c r="E37" s="30"/>
      <c r="F37" s="30"/>
      <c r="G37" s="30"/>
      <c r="H37" s="30"/>
      <c r="I37" s="30"/>
      <c r="J37" s="30"/>
      <c r="L37" s="30"/>
      <c r="M37" s="30"/>
      <c r="N37" s="30"/>
      <c r="P37" s="21" t="s">
        <v>30</v>
      </c>
      <c r="Q37" s="22">
        <v>0</v>
      </c>
      <c r="R37" s="22">
        <f t="shared" si="10"/>
        <v>0</v>
      </c>
      <c r="S37" s="22">
        <f t="shared" si="10"/>
        <v>0</v>
      </c>
      <c r="T37" s="22">
        <f t="shared" si="10"/>
        <v>0</v>
      </c>
      <c r="U37" s="22">
        <f t="shared" si="10"/>
        <v>0</v>
      </c>
      <c r="V37" s="22">
        <f t="shared" si="10"/>
        <v>0</v>
      </c>
      <c r="W37" s="22">
        <f t="shared" si="10"/>
        <v>0</v>
      </c>
      <c r="X37" s="22">
        <f t="shared" si="10"/>
        <v>0</v>
      </c>
      <c r="Y37" s="22">
        <f t="shared" si="10"/>
        <v>0</v>
      </c>
      <c r="Z37" s="22">
        <f t="shared" si="10"/>
        <v>0</v>
      </c>
    </row>
    <row r="38" spans="3:26" x14ac:dyDescent="0.25">
      <c r="C38" s="30"/>
      <c r="D38" s="30"/>
      <c r="E38" s="30"/>
      <c r="F38" s="30"/>
      <c r="G38" s="30"/>
      <c r="H38" s="30"/>
      <c r="I38" s="30"/>
      <c r="J38" s="30"/>
      <c r="L38" s="30"/>
      <c r="M38" s="30"/>
      <c r="N38" s="30"/>
      <c r="P38" s="21" t="s">
        <v>31</v>
      </c>
      <c r="Q38" s="22">
        <f>'Last MR Verified_Santa Lucia'!C7</f>
        <v>95.407908748208129</v>
      </c>
      <c r="R38" s="22">
        <f>$Q$38</f>
        <v>95.407908748208129</v>
      </c>
      <c r="S38" s="22">
        <f t="shared" ref="S38:Z38" si="11">$Q$38</f>
        <v>95.407908748208129</v>
      </c>
      <c r="T38" s="22">
        <f t="shared" si="11"/>
        <v>95.407908748208129</v>
      </c>
      <c r="U38" s="22">
        <f t="shared" si="11"/>
        <v>95.407908748208129</v>
      </c>
      <c r="V38" s="22">
        <f t="shared" si="11"/>
        <v>95.407908748208129</v>
      </c>
      <c r="W38" s="22">
        <f t="shared" si="11"/>
        <v>95.407908748208129</v>
      </c>
      <c r="X38" s="22">
        <f t="shared" si="11"/>
        <v>95.407908748208129</v>
      </c>
      <c r="Y38" s="22">
        <f t="shared" si="11"/>
        <v>95.407908748208129</v>
      </c>
      <c r="Z38" s="22">
        <f t="shared" si="11"/>
        <v>95.407908748208129</v>
      </c>
    </row>
    <row r="39" spans="3:26" x14ac:dyDescent="0.25">
      <c r="C39" s="30"/>
      <c r="D39" s="30"/>
      <c r="E39" s="30"/>
      <c r="F39" s="30"/>
      <c r="G39" s="30"/>
      <c r="H39" s="30"/>
      <c r="I39" s="30"/>
      <c r="J39" s="30"/>
      <c r="M39" s="30"/>
      <c r="N39" s="30"/>
      <c r="P39" s="139" t="s">
        <v>51</v>
      </c>
      <c r="Q39" s="140"/>
      <c r="R39" s="140"/>
      <c r="S39" s="140"/>
      <c r="T39" s="140"/>
      <c r="U39" s="140"/>
      <c r="V39" s="140"/>
      <c r="W39" s="140"/>
      <c r="X39" s="140"/>
      <c r="Y39" s="140"/>
      <c r="Z39" s="141"/>
    </row>
    <row r="40" spans="3:26" ht="32.25" customHeight="1" x14ac:dyDescent="0.25">
      <c r="C40" s="30"/>
      <c r="D40" s="30"/>
      <c r="E40" s="30"/>
      <c r="F40" s="30"/>
      <c r="G40" s="30"/>
      <c r="H40" s="30"/>
      <c r="I40" s="30"/>
      <c r="J40" s="30"/>
      <c r="L40" s="30"/>
      <c r="M40" s="30"/>
      <c r="N40" s="30"/>
      <c r="P40" s="16" t="s">
        <v>21</v>
      </c>
      <c r="Q40" s="14">
        <v>2021</v>
      </c>
      <c r="R40" s="14">
        <v>2022</v>
      </c>
      <c r="S40" s="14">
        <v>2023</v>
      </c>
      <c r="T40" s="14">
        <v>2024</v>
      </c>
      <c r="U40" s="14">
        <v>2025</v>
      </c>
      <c r="V40" s="14">
        <v>2026</v>
      </c>
      <c r="W40" s="14">
        <v>2027</v>
      </c>
      <c r="X40" s="14">
        <v>2028</v>
      </c>
      <c r="Y40" s="14">
        <v>2029</v>
      </c>
      <c r="Z40" s="14">
        <v>2030</v>
      </c>
    </row>
    <row r="41" spans="3:26" x14ac:dyDescent="0.25">
      <c r="C41" s="30"/>
      <c r="D41" s="30"/>
      <c r="E41" s="30"/>
      <c r="F41" s="30"/>
      <c r="G41" s="30"/>
      <c r="H41" s="30"/>
      <c r="I41" s="30"/>
      <c r="J41" s="30"/>
      <c r="L41" s="30"/>
      <c r="M41" s="30"/>
      <c r="N41" s="30"/>
      <c r="P41" s="21" t="s">
        <v>49</v>
      </c>
      <c r="Q41" s="31">
        <v>0</v>
      </c>
      <c r="R41" s="31">
        <f t="shared" ref="R41:Z46" si="12">$Q41</f>
        <v>0</v>
      </c>
      <c r="S41" s="31">
        <f t="shared" si="12"/>
        <v>0</v>
      </c>
      <c r="T41" s="31">
        <f t="shared" si="12"/>
        <v>0</v>
      </c>
      <c r="U41" s="31">
        <f t="shared" si="12"/>
        <v>0</v>
      </c>
      <c r="V41" s="31">
        <f t="shared" si="12"/>
        <v>0</v>
      </c>
      <c r="W41" s="31">
        <f t="shared" si="12"/>
        <v>0</v>
      </c>
      <c r="X41" s="31">
        <f t="shared" si="12"/>
        <v>0</v>
      </c>
      <c r="Y41" s="31">
        <f t="shared" si="12"/>
        <v>0</v>
      </c>
      <c r="Z41" s="31">
        <f t="shared" si="12"/>
        <v>0</v>
      </c>
    </row>
    <row r="42" spans="3:26" x14ac:dyDescent="0.25">
      <c r="L42" s="30"/>
      <c r="M42" s="30"/>
      <c r="N42" s="30"/>
      <c r="P42" s="21" t="s">
        <v>26</v>
      </c>
      <c r="Q42" s="31">
        <v>0</v>
      </c>
      <c r="R42" s="31">
        <f t="shared" si="12"/>
        <v>0</v>
      </c>
      <c r="S42" s="31">
        <f t="shared" si="12"/>
        <v>0</v>
      </c>
      <c r="T42" s="31">
        <f t="shared" si="12"/>
        <v>0</v>
      </c>
      <c r="U42" s="31">
        <f t="shared" si="12"/>
        <v>0</v>
      </c>
      <c r="V42" s="31">
        <f t="shared" si="12"/>
        <v>0</v>
      </c>
      <c r="W42" s="31">
        <f t="shared" si="12"/>
        <v>0</v>
      </c>
      <c r="X42" s="31">
        <f t="shared" si="12"/>
        <v>0</v>
      </c>
      <c r="Y42" s="31">
        <f t="shared" si="12"/>
        <v>0</v>
      </c>
      <c r="Z42" s="31">
        <f t="shared" si="12"/>
        <v>0</v>
      </c>
    </row>
    <row r="43" spans="3:26" x14ac:dyDescent="0.25">
      <c r="L43" s="30"/>
      <c r="M43" s="30"/>
      <c r="N43" s="30"/>
      <c r="P43" s="21" t="s">
        <v>39</v>
      </c>
      <c r="Q43" s="31">
        <v>0</v>
      </c>
      <c r="R43" s="31">
        <f t="shared" si="12"/>
        <v>0</v>
      </c>
      <c r="S43" s="31">
        <f t="shared" si="12"/>
        <v>0</v>
      </c>
      <c r="T43" s="31">
        <f t="shared" si="12"/>
        <v>0</v>
      </c>
      <c r="U43" s="31">
        <f t="shared" si="12"/>
        <v>0</v>
      </c>
      <c r="V43" s="31">
        <f t="shared" si="12"/>
        <v>0</v>
      </c>
      <c r="W43" s="31">
        <f t="shared" si="12"/>
        <v>0</v>
      </c>
      <c r="X43" s="31">
        <f t="shared" si="12"/>
        <v>0</v>
      </c>
      <c r="Y43" s="31">
        <f t="shared" si="12"/>
        <v>0</v>
      </c>
      <c r="Z43" s="31">
        <f t="shared" si="12"/>
        <v>0</v>
      </c>
    </row>
    <row r="44" spans="3:26" x14ac:dyDescent="0.25">
      <c r="L44" s="30"/>
      <c r="M44" s="30"/>
      <c r="N44" s="30"/>
      <c r="P44" s="21" t="s">
        <v>41</v>
      </c>
      <c r="Q44" s="31">
        <v>0</v>
      </c>
      <c r="R44" s="31">
        <f t="shared" si="12"/>
        <v>0</v>
      </c>
      <c r="S44" s="31">
        <f t="shared" si="12"/>
        <v>0</v>
      </c>
      <c r="T44" s="31">
        <f t="shared" si="12"/>
        <v>0</v>
      </c>
      <c r="U44" s="31">
        <f t="shared" si="12"/>
        <v>0</v>
      </c>
      <c r="V44" s="31">
        <f t="shared" si="12"/>
        <v>0</v>
      </c>
      <c r="W44" s="31">
        <f t="shared" si="12"/>
        <v>0</v>
      </c>
      <c r="X44" s="31">
        <f t="shared" si="12"/>
        <v>0</v>
      </c>
      <c r="Y44" s="31">
        <f t="shared" si="12"/>
        <v>0</v>
      </c>
      <c r="Z44" s="31">
        <f t="shared" si="12"/>
        <v>0</v>
      </c>
    </row>
    <row r="45" spans="3:26" x14ac:dyDescent="0.25">
      <c r="L45" s="30"/>
      <c r="M45" s="30"/>
      <c r="N45" s="30"/>
      <c r="P45" s="21" t="s">
        <v>50</v>
      </c>
      <c r="Q45" s="31">
        <v>0</v>
      </c>
      <c r="R45" s="31">
        <f t="shared" si="12"/>
        <v>0</v>
      </c>
      <c r="S45" s="31">
        <f t="shared" si="12"/>
        <v>0</v>
      </c>
      <c r="T45" s="31">
        <f t="shared" si="12"/>
        <v>0</v>
      </c>
      <c r="U45" s="31">
        <f t="shared" si="12"/>
        <v>0</v>
      </c>
      <c r="V45" s="31">
        <f t="shared" si="12"/>
        <v>0</v>
      </c>
      <c r="W45" s="31">
        <f t="shared" si="12"/>
        <v>0</v>
      </c>
      <c r="X45" s="31">
        <f t="shared" si="12"/>
        <v>0</v>
      </c>
      <c r="Y45" s="31">
        <f t="shared" si="12"/>
        <v>0</v>
      </c>
      <c r="Z45" s="31">
        <f t="shared" si="12"/>
        <v>0</v>
      </c>
    </row>
    <row r="46" spans="3:26" x14ac:dyDescent="0.25">
      <c r="P46" s="21" t="s">
        <v>30</v>
      </c>
      <c r="Q46" s="31">
        <v>0</v>
      </c>
      <c r="R46" s="31">
        <f t="shared" si="12"/>
        <v>0</v>
      </c>
      <c r="S46" s="31">
        <f t="shared" si="12"/>
        <v>0</v>
      </c>
      <c r="T46" s="31">
        <f t="shared" si="12"/>
        <v>0</v>
      </c>
      <c r="U46" s="31">
        <f t="shared" si="12"/>
        <v>0</v>
      </c>
      <c r="V46" s="31">
        <f t="shared" si="12"/>
        <v>0</v>
      </c>
      <c r="W46" s="31">
        <f t="shared" si="12"/>
        <v>0</v>
      </c>
      <c r="X46" s="31">
        <f t="shared" si="12"/>
        <v>0</v>
      </c>
      <c r="Y46" s="31">
        <f t="shared" si="12"/>
        <v>0</v>
      </c>
      <c r="Z46" s="31">
        <f t="shared" si="12"/>
        <v>0</v>
      </c>
    </row>
    <row r="47" spans="3:26" x14ac:dyDescent="0.25">
      <c r="P47" s="21" t="s">
        <v>31</v>
      </c>
      <c r="Q47" s="31">
        <f>(Q38/$M$27)*$M$23*Q56</f>
        <v>115.58229762641476</v>
      </c>
      <c r="R47" s="31">
        <f>$Q$47</f>
        <v>115.58229762641476</v>
      </c>
      <c r="S47" s="31">
        <f t="shared" ref="S47:Z47" si="13">$Q$47</f>
        <v>115.58229762641476</v>
      </c>
      <c r="T47" s="31">
        <f t="shared" si="13"/>
        <v>115.58229762641476</v>
      </c>
      <c r="U47" s="31">
        <f t="shared" si="13"/>
        <v>115.58229762641476</v>
      </c>
      <c r="V47" s="31">
        <f t="shared" si="13"/>
        <v>115.58229762641476</v>
      </c>
      <c r="W47" s="31">
        <f t="shared" si="13"/>
        <v>115.58229762641476</v>
      </c>
      <c r="X47" s="31">
        <f t="shared" si="13"/>
        <v>115.58229762641476</v>
      </c>
      <c r="Y47" s="31">
        <f t="shared" si="13"/>
        <v>115.58229762641476</v>
      </c>
      <c r="Z47" s="31">
        <f t="shared" si="13"/>
        <v>115.58229762641476</v>
      </c>
    </row>
    <row r="48" spans="3:26" ht="15.75" x14ac:dyDescent="0.25">
      <c r="O48" s="30"/>
      <c r="P48" s="136" t="s">
        <v>52</v>
      </c>
      <c r="Q48" s="137"/>
      <c r="R48" s="137"/>
      <c r="S48" s="137"/>
      <c r="T48" s="137"/>
      <c r="U48" s="137"/>
      <c r="V48" s="137"/>
      <c r="W48" s="137"/>
      <c r="X48" s="137"/>
      <c r="Y48" s="137"/>
      <c r="Z48" s="138"/>
    </row>
    <row r="49" spans="15:26" x14ac:dyDescent="0.25">
      <c r="O49" s="30"/>
      <c r="P49" s="16" t="s">
        <v>21</v>
      </c>
      <c r="Q49" s="14">
        <v>2021</v>
      </c>
      <c r="R49" s="14">
        <v>2022</v>
      </c>
      <c r="S49" s="14">
        <v>2023</v>
      </c>
      <c r="T49" s="14">
        <v>2024</v>
      </c>
      <c r="U49" s="14">
        <v>2025</v>
      </c>
      <c r="V49" s="14">
        <v>2026</v>
      </c>
      <c r="W49" s="14">
        <v>2027</v>
      </c>
      <c r="X49" s="14">
        <v>2028</v>
      </c>
      <c r="Y49" s="14">
        <v>2029</v>
      </c>
      <c r="Z49" s="14">
        <v>2030</v>
      </c>
    </row>
    <row r="50" spans="15:26" x14ac:dyDescent="0.25">
      <c r="O50" s="30"/>
      <c r="P50" s="21" t="s">
        <v>49</v>
      </c>
      <c r="Q50" s="73">
        <v>0</v>
      </c>
      <c r="R50" s="31">
        <f t="shared" ref="R50:Z55" si="14">$Q50</f>
        <v>0</v>
      </c>
      <c r="S50" s="31">
        <f t="shared" si="14"/>
        <v>0</v>
      </c>
      <c r="T50" s="31">
        <f t="shared" si="14"/>
        <v>0</v>
      </c>
      <c r="U50" s="31">
        <f t="shared" si="14"/>
        <v>0</v>
      </c>
      <c r="V50" s="31">
        <f t="shared" si="14"/>
        <v>0</v>
      </c>
      <c r="W50" s="31">
        <f t="shared" si="14"/>
        <v>0</v>
      </c>
      <c r="X50" s="31">
        <f t="shared" si="14"/>
        <v>0</v>
      </c>
      <c r="Y50" s="31">
        <f t="shared" si="14"/>
        <v>0</v>
      </c>
      <c r="Z50" s="31">
        <f t="shared" si="14"/>
        <v>0</v>
      </c>
    </row>
    <row r="51" spans="15:26" x14ac:dyDescent="0.25">
      <c r="O51" s="30"/>
      <c r="P51" s="21" t="s">
        <v>26</v>
      </c>
      <c r="Q51" s="73">
        <v>0</v>
      </c>
      <c r="R51" s="31">
        <f t="shared" si="14"/>
        <v>0</v>
      </c>
      <c r="S51" s="31">
        <f t="shared" si="14"/>
        <v>0</v>
      </c>
      <c r="T51" s="31">
        <f t="shared" si="14"/>
        <v>0</v>
      </c>
      <c r="U51" s="31">
        <f t="shared" si="14"/>
        <v>0</v>
      </c>
      <c r="V51" s="31">
        <f t="shared" si="14"/>
        <v>0</v>
      </c>
      <c r="W51" s="31">
        <f t="shared" si="14"/>
        <v>0</v>
      </c>
      <c r="X51" s="31">
        <f t="shared" si="14"/>
        <v>0</v>
      </c>
      <c r="Y51" s="31">
        <f t="shared" si="14"/>
        <v>0</v>
      </c>
      <c r="Z51" s="31">
        <f t="shared" si="14"/>
        <v>0</v>
      </c>
    </row>
    <row r="52" spans="15:26" x14ac:dyDescent="0.25">
      <c r="O52" s="30"/>
      <c r="P52" s="21" t="s">
        <v>39</v>
      </c>
      <c r="Q52" s="73">
        <v>0</v>
      </c>
      <c r="R52" s="31">
        <f t="shared" si="14"/>
        <v>0</v>
      </c>
      <c r="S52" s="31">
        <f t="shared" si="14"/>
        <v>0</v>
      </c>
      <c r="T52" s="31">
        <f t="shared" si="14"/>
        <v>0</v>
      </c>
      <c r="U52" s="31">
        <f t="shared" si="14"/>
        <v>0</v>
      </c>
      <c r="V52" s="31">
        <f t="shared" si="14"/>
        <v>0</v>
      </c>
      <c r="W52" s="31">
        <f t="shared" si="14"/>
        <v>0</v>
      </c>
      <c r="X52" s="31">
        <f t="shared" si="14"/>
        <v>0</v>
      </c>
      <c r="Y52" s="31">
        <f t="shared" si="14"/>
        <v>0</v>
      </c>
      <c r="Z52" s="31">
        <f t="shared" si="14"/>
        <v>0</v>
      </c>
    </row>
    <row r="53" spans="15:26" x14ac:dyDescent="0.25">
      <c r="O53" s="30"/>
      <c r="P53" s="21" t="s">
        <v>41</v>
      </c>
      <c r="Q53" s="73">
        <v>0</v>
      </c>
      <c r="R53" s="31">
        <f t="shared" si="14"/>
        <v>0</v>
      </c>
      <c r="S53" s="31">
        <f t="shared" si="14"/>
        <v>0</v>
      </c>
      <c r="T53" s="31">
        <f t="shared" si="14"/>
        <v>0</v>
      </c>
      <c r="U53" s="31">
        <f t="shared" si="14"/>
        <v>0</v>
      </c>
      <c r="V53" s="31">
        <f t="shared" si="14"/>
        <v>0</v>
      </c>
      <c r="W53" s="31">
        <f t="shared" si="14"/>
        <v>0</v>
      </c>
      <c r="X53" s="31">
        <f t="shared" si="14"/>
        <v>0</v>
      </c>
      <c r="Y53" s="31">
        <f t="shared" si="14"/>
        <v>0</v>
      </c>
      <c r="Z53" s="31">
        <f t="shared" si="14"/>
        <v>0</v>
      </c>
    </row>
    <row r="54" spans="15:26" x14ac:dyDescent="0.25">
      <c r="O54" s="30"/>
      <c r="P54" s="21" t="s">
        <v>50</v>
      </c>
      <c r="Q54" s="73">
        <v>0</v>
      </c>
      <c r="R54" s="31">
        <f t="shared" si="14"/>
        <v>0</v>
      </c>
      <c r="S54" s="31">
        <f t="shared" si="14"/>
        <v>0</v>
      </c>
      <c r="T54" s="31">
        <f t="shared" si="14"/>
        <v>0</v>
      </c>
      <c r="U54" s="31">
        <f t="shared" si="14"/>
        <v>0</v>
      </c>
      <c r="V54" s="31">
        <f t="shared" si="14"/>
        <v>0</v>
      </c>
      <c r="W54" s="31">
        <f t="shared" si="14"/>
        <v>0</v>
      </c>
      <c r="X54" s="31">
        <f t="shared" si="14"/>
        <v>0</v>
      </c>
      <c r="Y54" s="31">
        <f t="shared" si="14"/>
        <v>0</v>
      </c>
      <c r="Z54" s="31">
        <f t="shared" si="14"/>
        <v>0</v>
      </c>
    </row>
    <row r="55" spans="15:26" x14ac:dyDescent="0.25">
      <c r="O55" s="30"/>
      <c r="P55" s="21" t="s">
        <v>30</v>
      </c>
      <c r="Q55" s="73">
        <v>0</v>
      </c>
      <c r="R55" s="31">
        <f t="shared" si="14"/>
        <v>0</v>
      </c>
      <c r="S55" s="31">
        <f t="shared" si="14"/>
        <v>0</v>
      </c>
      <c r="T55" s="31">
        <f t="shared" si="14"/>
        <v>0</v>
      </c>
      <c r="U55" s="31">
        <f t="shared" si="14"/>
        <v>0</v>
      </c>
      <c r="V55" s="31">
        <f t="shared" si="14"/>
        <v>0</v>
      </c>
      <c r="W55" s="31">
        <f t="shared" si="14"/>
        <v>0</v>
      </c>
      <c r="X55" s="31">
        <f t="shared" si="14"/>
        <v>0</v>
      </c>
      <c r="Y55" s="31">
        <f t="shared" si="14"/>
        <v>0</v>
      </c>
      <c r="Z55" s="31">
        <f t="shared" si="14"/>
        <v>0</v>
      </c>
    </row>
    <row r="56" spans="15:26" x14ac:dyDescent="0.25">
      <c r="O56" s="30"/>
      <c r="P56" s="21" t="s">
        <v>31</v>
      </c>
      <c r="Q56" s="73">
        <f>'Last MR Verified_Santa Lucia'!C8</f>
        <v>281.73350041771096</v>
      </c>
      <c r="R56" s="31">
        <f>$Q$56</f>
        <v>281.73350041771096</v>
      </c>
      <c r="S56" s="31">
        <f t="shared" ref="S56:Z56" si="15">$Q$56</f>
        <v>281.73350041771096</v>
      </c>
      <c r="T56" s="31">
        <f t="shared" si="15"/>
        <v>281.73350041771096</v>
      </c>
      <c r="U56" s="31">
        <f t="shared" si="15"/>
        <v>281.73350041771096</v>
      </c>
      <c r="V56" s="31">
        <f t="shared" si="15"/>
        <v>281.73350041771096</v>
      </c>
      <c r="W56" s="31">
        <f t="shared" si="15"/>
        <v>281.73350041771096</v>
      </c>
      <c r="X56" s="31">
        <f t="shared" si="15"/>
        <v>281.73350041771096</v>
      </c>
      <c r="Y56" s="31">
        <f t="shared" si="15"/>
        <v>281.73350041771096</v>
      </c>
      <c r="Z56" s="31">
        <f t="shared" si="15"/>
        <v>281.73350041771096</v>
      </c>
    </row>
    <row r="57" spans="15:26" x14ac:dyDescent="0.25">
      <c r="O57" s="30"/>
    </row>
    <row r="58" spans="15:26" x14ac:dyDescent="0.25">
      <c r="O58" s="30"/>
    </row>
    <row r="59" spans="15:26" x14ac:dyDescent="0.25">
      <c r="O59" s="30"/>
    </row>
    <row r="60" spans="15:26" x14ac:dyDescent="0.25">
      <c r="O60" s="30"/>
    </row>
    <row r="61" spans="15:26" x14ac:dyDescent="0.25">
      <c r="O61" s="30"/>
    </row>
    <row r="62" spans="15:26" x14ac:dyDescent="0.25">
      <c r="O62" s="30"/>
    </row>
    <row r="63" spans="15:26" x14ac:dyDescent="0.25">
      <c r="O63" s="30"/>
    </row>
    <row r="64" spans="15:26" x14ac:dyDescent="0.25">
      <c r="O64" s="30"/>
    </row>
    <row r="65" spans="15:15" x14ac:dyDescent="0.25">
      <c r="O65" s="30"/>
    </row>
    <row r="66" spans="15:15" x14ac:dyDescent="0.25">
      <c r="O66" s="30"/>
    </row>
    <row r="67" spans="15:15" x14ac:dyDescent="0.25">
      <c r="O67" s="30"/>
    </row>
    <row r="68" spans="15:15" x14ac:dyDescent="0.25">
      <c r="O68" s="30"/>
    </row>
    <row r="69" spans="15:15" x14ac:dyDescent="0.25">
      <c r="O69" s="30"/>
    </row>
    <row r="70" spans="15:15" x14ac:dyDescent="0.25">
      <c r="O70" s="30"/>
    </row>
    <row r="71" spans="15:15" x14ac:dyDescent="0.25">
      <c r="O71" s="30"/>
    </row>
    <row r="72" spans="15:15" x14ac:dyDescent="0.25">
      <c r="O72" s="30"/>
    </row>
    <row r="73" spans="15:15" x14ac:dyDescent="0.25">
      <c r="O73" s="30"/>
    </row>
    <row r="74" spans="15:15" x14ac:dyDescent="0.25">
      <c r="O74" s="30"/>
    </row>
    <row r="75" spans="15:15" x14ac:dyDescent="0.25">
      <c r="O75" s="30"/>
    </row>
  </sheetData>
  <mergeCells count="19">
    <mergeCell ref="P48:Z48"/>
    <mergeCell ref="P30:Z30"/>
    <mergeCell ref="P39:Z39"/>
    <mergeCell ref="P21:Z21"/>
    <mergeCell ref="L22:N22"/>
    <mergeCell ref="L24:N24"/>
    <mergeCell ref="L26:N26"/>
    <mergeCell ref="L20:N20"/>
    <mergeCell ref="B2:J2"/>
    <mergeCell ref="L2:N2"/>
    <mergeCell ref="L14:N14"/>
    <mergeCell ref="L16:N16"/>
    <mergeCell ref="L18:N18"/>
    <mergeCell ref="P2:Z2"/>
    <mergeCell ref="P3:Z3"/>
    <mergeCell ref="B5:J5"/>
    <mergeCell ref="L10:N11"/>
    <mergeCell ref="L12:N12"/>
    <mergeCell ref="P12:Z12"/>
  </mergeCells>
  <pageMargins left="0.75" right="0.75" top="1" bottom="1" header="0.49212598499999999" footer="0.49212598499999999"/>
  <pageSetup orientation="portrait" horizontalDpi="300" verticalDpi="300"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22BC-817C-4900-B019-F15E1C167F96}">
  <sheetPr>
    <tabColor theme="9" tint="0.39997558519241921"/>
  </sheetPr>
  <dimension ref="A1:BE34"/>
  <sheetViews>
    <sheetView showGridLines="0" zoomScale="80" zoomScaleNormal="80" workbookViewId="0">
      <selection activeCell="L13" sqref="L13"/>
    </sheetView>
  </sheetViews>
  <sheetFormatPr defaultRowHeight="14.25" x14ac:dyDescent="0.2"/>
  <cols>
    <col min="1" max="1" width="2.85546875" style="34" customWidth="1"/>
    <col min="2" max="8" width="11.28515625" style="34" customWidth="1"/>
    <col min="9" max="9" width="10" style="34" customWidth="1"/>
    <col min="10" max="10" width="49.85546875" style="34" customWidth="1"/>
    <col min="11" max="11" width="17.42578125" style="34" customWidth="1"/>
    <col min="12" max="13" width="15.7109375" style="34" customWidth="1"/>
    <col min="14" max="14" width="15.28515625" style="34" bestFit="1" customWidth="1"/>
    <col min="15" max="15" width="21.140625" style="34" customWidth="1"/>
    <col min="16" max="21" width="15.28515625" style="34" bestFit="1" customWidth="1"/>
    <col min="22" max="22" width="64" style="34" bestFit="1" customWidth="1"/>
    <col min="23" max="23" width="7" style="34" bestFit="1" customWidth="1"/>
    <col min="24" max="24" width="11.28515625" style="34" bestFit="1" customWidth="1"/>
    <col min="25" max="16384" width="9.140625" style="34"/>
  </cols>
  <sheetData>
    <row r="1" spans="1:57" x14ac:dyDescent="0.2">
      <c r="I1" s="35"/>
      <c r="J1" s="35"/>
      <c r="K1" s="35"/>
      <c r="L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row>
    <row r="2" spans="1:57" x14ac:dyDescent="0.2">
      <c r="B2" s="151" t="s">
        <v>53</v>
      </c>
      <c r="C2" s="151"/>
      <c r="D2" s="151"/>
      <c r="E2" s="151"/>
      <c r="F2" s="151"/>
      <c r="G2" s="151"/>
      <c r="H2" s="151"/>
      <c r="I2" s="35"/>
      <c r="J2" s="154" t="s">
        <v>54</v>
      </c>
      <c r="K2" s="155"/>
      <c r="L2" s="155"/>
      <c r="M2" s="155"/>
      <c r="N2" s="155"/>
      <c r="O2" s="155"/>
      <c r="P2" s="155"/>
      <c r="Q2" s="155"/>
      <c r="R2" s="155"/>
      <c r="S2" s="155"/>
      <c r="T2" s="155"/>
      <c r="U2" s="15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row>
    <row r="3" spans="1:57" ht="71.25" x14ac:dyDescent="0.2">
      <c r="B3" s="156"/>
      <c r="C3" s="156"/>
      <c r="D3" s="156"/>
      <c r="E3" s="156"/>
      <c r="F3" s="156"/>
      <c r="G3" s="156"/>
      <c r="H3" s="156"/>
      <c r="I3" s="35"/>
      <c r="J3" s="16" t="s">
        <v>21</v>
      </c>
      <c r="K3" s="16" t="s">
        <v>55</v>
      </c>
      <c r="L3" s="16">
        <v>2021</v>
      </c>
      <c r="M3" s="16">
        <v>2022</v>
      </c>
      <c r="N3" s="16">
        <v>2023</v>
      </c>
      <c r="O3" s="16">
        <v>2024</v>
      </c>
      <c r="P3" s="16">
        <v>2025</v>
      </c>
      <c r="Q3" s="16">
        <v>2026</v>
      </c>
      <c r="R3" s="16">
        <v>2027</v>
      </c>
      <c r="S3" s="16">
        <v>2028</v>
      </c>
      <c r="T3" s="16">
        <v>2029</v>
      </c>
      <c r="U3" s="16">
        <v>2030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row>
    <row r="4" spans="1:57" ht="15.75" x14ac:dyDescent="0.2">
      <c r="B4" s="157" t="s">
        <v>56</v>
      </c>
      <c r="C4" s="157"/>
      <c r="D4" s="157"/>
      <c r="E4" s="157"/>
      <c r="F4" s="157"/>
      <c r="G4" s="157"/>
      <c r="H4" s="157"/>
      <c r="I4" s="35"/>
      <c r="J4" s="21" t="s">
        <v>26</v>
      </c>
      <c r="K4" s="36">
        <v>11</v>
      </c>
      <c r="L4" s="36">
        <v>0</v>
      </c>
      <c r="M4" s="36">
        <v>0</v>
      </c>
      <c r="N4" s="36">
        <v>0</v>
      </c>
      <c r="O4" s="36">
        <v>0</v>
      </c>
      <c r="P4" s="36">
        <v>0</v>
      </c>
      <c r="Q4" s="36">
        <v>0</v>
      </c>
      <c r="R4" s="36">
        <v>0</v>
      </c>
      <c r="S4" s="36">
        <v>0</v>
      </c>
      <c r="T4" s="36">
        <v>0</v>
      </c>
      <c r="U4" s="36">
        <v>0</v>
      </c>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row>
    <row r="5" spans="1:57" ht="15.75" x14ac:dyDescent="0.2">
      <c r="B5" s="23" t="s">
        <v>2</v>
      </c>
      <c r="C5" s="23" t="s">
        <v>57</v>
      </c>
      <c r="D5" s="23" t="s">
        <v>58</v>
      </c>
      <c r="E5" s="23" t="s">
        <v>59</v>
      </c>
      <c r="F5" s="23" t="s">
        <v>60</v>
      </c>
      <c r="G5" s="23" t="s">
        <v>61</v>
      </c>
      <c r="H5" s="23" t="s">
        <v>62</v>
      </c>
      <c r="I5" s="35"/>
      <c r="J5" s="21" t="s">
        <v>39</v>
      </c>
      <c r="K5" s="36">
        <v>18</v>
      </c>
      <c r="L5" s="36">
        <v>0</v>
      </c>
      <c r="M5" s="36">
        <v>0</v>
      </c>
      <c r="N5" s="36">
        <v>0</v>
      </c>
      <c r="O5" s="36">
        <v>0</v>
      </c>
      <c r="P5" s="36">
        <v>0</v>
      </c>
      <c r="Q5" s="36">
        <v>0</v>
      </c>
      <c r="R5" s="36">
        <v>0</v>
      </c>
      <c r="S5" s="36">
        <v>0</v>
      </c>
      <c r="T5" s="36">
        <v>0</v>
      </c>
      <c r="U5" s="36">
        <v>0</v>
      </c>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row>
    <row r="6" spans="1:57" x14ac:dyDescent="0.2">
      <c r="B6" s="24">
        <v>2021</v>
      </c>
      <c r="C6" s="36">
        <f>L16</f>
        <v>4.5659938431867335</v>
      </c>
      <c r="D6" s="37">
        <v>0</v>
      </c>
      <c r="E6" s="36">
        <f>L19</f>
        <v>112.07174045665727</v>
      </c>
      <c r="F6" s="41">
        <f>L23</f>
        <v>106.06789721790778</v>
      </c>
      <c r="G6" s="37">
        <v>0</v>
      </c>
      <c r="H6" s="36">
        <f>ROUNDDOWN(SUM(C6:G6),)</f>
        <v>222</v>
      </c>
      <c r="I6" s="35"/>
      <c r="J6" s="21" t="s">
        <v>41</v>
      </c>
      <c r="K6" s="36">
        <v>6</v>
      </c>
      <c r="L6" s="36">
        <v>0</v>
      </c>
      <c r="M6" s="36">
        <v>0</v>
      </c>
      <c r="N6" s="36">
        <v>0</v>
      </c>
      <c r="O6" s="36">
        <v>0</v>
      </c>
      <c r="P6" s="36">
        <v>0</v>
      </c>
      <c r="Q6" s="36">
        <v>0</v>
      </c>
      <c r="R6" s="36">
        <v>0</v>
      </c>
      <c r="S6" s="36">
        <v>0</v>
      </c>
      <c r="T6" s="36">
        <v>0</v>
      </c>
      <c r="U6" s="36">
        <v>0</v>
      </c>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row>
    <row r="7" spans="1:57" x14ac:dyDescent="0.25">
      <c r="A7" s="39"/>
      <c r="B7" s="24">
        <v>2022</v>
      </c>
      <c r="C7" s="36">
        <f>M16</f>
        <v>4.5659938431867335</v>
      </c>
      <c r="D7" s="37">
        <v>0</v>
      </c>
      <c r="E7" s="36">
        <f>M19</f>
        <v>112.07174045665727</v>
      </c>
      <c r="F7" s="41">
        <f>M23</f>
        <v>106.06789721790778</v>
      </c>
      <c r="G7" s="37">
        <v>0</v>
      </c>
      <c r="H7" s="36">
        <f t="shared" ref="H7:H15" si="0">ROUNDDOWN(SUM(C7:G7),)</f>
        <v>222</v>
      </c>
      <c r="J7" s="21" t="s">
        <v>29</v>
      </c>
      <c r="K7" s="36">
        <f>K8</f>
        <v>0.95</v>
      </c>
      <c r="L7" s="36">
        <v>0</v>
      </c>
      <c r="M7" s="36">
        <v>0</v>
      </c>
      <c r="N7" s="36">
        <v>0</v>
      </c>
      <c r="O7" s="36">
        <v>0</v>
      </c>
      <c r="P7" s="36">
        <v>0</v>
      </c>
      <c r="Q7" s="36">
        <v>0</v>
      </c>
      <c r="R7" s="36">
        <v>0</v>
      </c>
      <c r="S7" s="36">
        <v>0</v>
      </c>
      <c r="T7" s="36">
        <v>0</v>
      </c>
      <c r="U7" s="36">
        <v>0</v>
      </c>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row>
    <row r="8" spans="1:57" x14ac:dyDescent="0.25">
      <c r="A8" s="39"/>
      <c r="B8" s="24">
        <v>2023</v>
      </c>
      <c r="C8" s="36">
        <f>N16</f>
        <v>4.5659938431867335</v>
      </c>
      <c r="D8" s="37">
        <v>0</v>
      </c>
      <c r="E8" s="36">
        <f>N19</f>
        <v>112.07174045665727</v>
      </c>
      <c r="F8" s="41">
        <f>N23</f>
        <v>106.06789721790778</v>
      </c>
      <c r="G8" s="37">
        <v>0</v>
      </c>
      <c r="H8" s="36">
        <f t="shared" si="0"/>
        <v>222</v>
      </c>
      <c r="J8" s="21" t="s">
        <v>44</v>
      </c>
      <c r="K8" s="36">
        <v>0.95</v>
      </c>
      <c r="L8" s="36">
        <v>0</v>
      </c>
      <c r="M8" s="36">
        <v>0</v>
      </c>
      <c r="N8" s="36">
        <v>0</v>
      </c>
      <c r="O8" s="36">
        <v>0</v>
      </c>
      <c r="P8" s="36">
        <v>0</v>
      </c>
      <c r="Q8" s="36">
        <v>0</v>
      </c>
      <c r="R8" s="36">
        <v>0</v>
      </c>
      <c r="S8" s="36">
        <v>0</v>
      </c>
      <c r="T8" s="36">
        <v>0</v>
      </c>
      <c r="U8" s="36">
        <v>0</v>
      </c>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row>
    <row r="9" spans="1:57" x14ac:dyDescent="0.25">
      <c r="A9" s="39"/>
      <c r="B9" s="24">
        <v>2024</v>
      </c>
      <c r="C9" s="36">
        <f>O16</f>
        <v>4.5659938431867335</v>
      </c>
      <c r="D9" s="37">
        <v>0</v>
      </c>
      <c r="E9" s="36">
        <f>O19</f>
        <v>112.07174045665727</v>
      </c>
      <c r="F9" s="41">
        <f>O23</f>
        <v>106.06789721790778</v>
      </c>
      <c r="G9" s="37">
        <v>0</v>
      </c>
      <c r="H9" s="36">
        <f t="shared" si="0"/>
        <v>222</v>
      </c>
      <c r="J9" s="21" t="s">
        <v>31</v>
      </c>
      <c r="K9" s="36">
        <v>4.9000000000000004</v>
      </c>
      <c r="L9" s="36">
        <f>'BEy_Santa Lucia'!Q29*'BEy_Santa Lucia'!Q56*K9</f>
        <v>2001281.0795831657</v>
      </c>
      <c r="M9" s="36">
        <f>$L$9</f>
        <v>2001281.0795831657</v>
      </c>
      <c r="N9" s="36">
        <f t="shared" ref="N9:U9" si="1">$L$9</f>
        <v>2001281.0795831657</v>
      </c>
      <c r="O9" s="36">
        <f t="shared" si="1"/>
        <v>2001281.0795831657</v>
      </c>
      <c r="P9" s="36">
        <f t="shared" si="1"/>
        <v>2001281.0795831657</v>
      </c>
      <c r="Q9" s="36">
        <f t="shared" si="1"/>
        <v>2001281.0795831657</v>
      </c>
      <c r="R9" s="36">
        <f t="shared" si="1"/>
        <v>2001281.0795831657</v>
      </c>
      <c r="S9" s="36">
        <f t="shared" si="1"/>
        <v>2001281.0795831657</v>
      </c>
      <c r="T9" s="36">
        <f t="shared" si="1"/>
        <v>2001281.0795831657</v>
      </c>
      <c r="U9" s="36">
        <f t="shared" si="1"/>
        <v>2001281.0795831657</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row>
    <row r="10" spans="1:57" x14ac:dyDescent="0.2">
      <c r="B10" s="24">
        <v>2025</v>
      </c>
      <c r="C10" s="36">
        <f>P16</f>
        <v>4.5659938431867335</v>
      </c>
      <c r="D10" s="37">
        <v>0</v>
      </c>
      <c r="E10" s="36">
        <f>P19</f>
        <v>112.07174045665727</v>
      </c>
      <c r="F10" s="41">
        <f>P23</f>
        <v>106.06789721790778</v>
      </c>
      <c r="G10" s="37">
        <v>0</v>
      </c>
      <c r="H10" s="36">
        <f t="shared" si="0"/>
        <v>222</v>
      </c>
      <c r="J10" s="40" t="s">
        <v>63</v>
      </c>
      <c r="K10" s="21" t="s">
        <v>64</v>
      </c>
      <c r="L10" s="36">
        <f t="shared" ref="L10:U10" si="2">SUM(L4:L9)/1000</f>
        <v>2001.2810795831656</v>
      </c>
      <c r="M10" s="36">
        <f t="shared" si="2"/>
        <v>2001.2810795831656</v>
      </c>
      <c r="N10" s="36">
        <f t="shared" si="2"/>
        <v>2001.2810795831656</v>
      </c>
      <c r="O10" s="36">
        <f t="shared" si="2"/>
        <v>2001.2810795831656</v>
      </c>
      <c r="P10" s="36">
        <f t="shared" si="2"/>
        <v>2001.2810795831656</v>
      </c>
      <c r="Q10" s="36">
        <f t="shared" si="2"/>
        <v>2001.2810795831656</v>
      </c>
      <c r="R10" s="36">
        <f t="shared" si="2"/>
        <v>2001.2810795831656</v>
      </c>
      <c r="S10" s="36">
        <f t="shared" si="2"/>
        <v>2001.2810795831656</v>
      </c>
      <c r="T10" s="36">
        <f t="shared" si="2"/>
        <v>2001.2810795831656</v>
      </c>
      <c r="U10" s="36">
        <f t="shared" si="2"/>
        <v>2001.2810795831656</v>
      </c>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row>
    <row r="11" spans="1:57" ht="19.5" customHeight="1" x14ac:dyDescent="0.2">
      <c r="B11" s="24">
        <v>2026</v>
      </c>
      <c r="C11" s="36">
        <f>S16</f>
        <v>4.5659938431867335</v>
      </c>
      <c r="D11" s="37">
        <v>0</v>
      </c>
      <c r="E11" s="36">
        <f>Q19</f>
        <v>112.07174045665727</v>
      </c>
      <c r="F11" s="41">
        <f>Q23</f>
        <v>106.06789721790778</v>
      </c>
      <c r="G11" s="37">
        <v>0</v>
      </c>
      <c r="H11" s="36">
        <f t="shared" si="0"/>
        <v>222</v>
      </c>
      <c r="J11" s="154" t="s">
        <v>65</v>
      </c>
      <c r="K11" s="155"/>
      <c r="L11" s="155"/>
      <c r="M11" s="155"/>
      <c r="N11" s="155"/>
      <c r="O11" s="155"/>
      <c r="P11" s="155"/>
      <c r="Q11" s="155"/>
      <c r="R11" s="155"/>
      <c r="S11" s="155"/>
      <c r="T11" s="155"/>
      <c r="U11" s="15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row>
    <row r="12" spans="1:57" ht="19.5" customHeight="1" x14ac:dyDescent="0.2">
      <c r="B12" s="24">
        <v>2027</v>
      </c>
      <c r="C12" s="36">
        <f>T16</f>
        <v>4.5659938431867335</v>
      </c>
      <c r="D12" s="37">
        <v>0</v>
      </c>
      <c r="E12" s="36">
        <f>T19</f>
        <v>112.07174045665727</v>
      </c>
      <c r="F12" s="41">
        <f>R23</f>
        <v>106.06789721790778</v>
      </c>
      <c r="G12" s="37">
        <v>0</v>
      </c>
      <c r="H12" s="36">
        <f t="shared" si="0"/>
        <v>222</v>
      </c>
      <c r="J12" s="21" t="s">
        <v>66</v>
      </c>
      <c r="K12" s="21" t="s">
        <v>67</v>
      </c>
      <c r="L12" s="36">
        <v>0.01</v>
      </c>
      <c r="M12" s="36">
        <v>0.01</v>
      </c>
      <c r="N12" s="36">
        <v>0.01</v>
      </c>
      <c r="O12" s="36">
        <v>0.01</v>
      </c>
      <c r="P12" s="36">
        <v>0.01</v>
      </c>
      <c r="Q12" s="36">
        <v>0.01</v>
      </c>
      <c r="R12" s="36">
        <v>0.01</v>
      </c>
      <c r="S12" s="36">
        <v>0.01</v>
      </c>
      <c r="T12" s="36">
        <v>0.01</v>
      </c>
      <c r="U12" s="36">
        <v>0.01</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row>
    <row r="13" spans="1:57" ht="15.75" x14ac:dyDescent="0.2">
      <c r="B13" s="24">
        <v>2028</v>
      </c>
      <c r="C13" s="36">
        <f>U16</f>
        <v>4.5659938431867335</v>
      </c>
      <c r="D13" s="37">
        <v>0</v>
      </c>
      <c r="E13" s="36">
        <f>R19</f>
        <v>112.07174045665727</v>
      </c>
      <c r="F13" s="41">
        <f>S23</f>
        <v>106.06789721790778</v>
      </c>
      <c r="G13" s="37">
        <v>0</v>
      </c>
      <c r="H13" s="36">
        <f t="shared" si="0"/>
        <v>222</v>
      </c>
      <c r="J13" s="21" t="s">
        <v>68</v>
      </c>
      <c r="K13" s="21" t="s">
        <v>69</v>
      </c>
      <c r="L13" s="36">
        <f t="shared" ref="L13:U13" si="3">L12*L10</f>
        <v>20.012810795831655</v>
      </c>
      <c r="M13" s="36">
        <f t="shared" si="3"/>
        <v>20.012810795831655</v>
      </c>
      <c r="N13" s="36">
        <f t="shared" si="3"/>
        <v>20.012810795831655</v>
      </c>
      <c r="O13" s="36">
        <f t="shared" si="3"/>
        <v>20.012810795831655</v>
      </c>
      <c r="P13" s="36">
        <f t="shared" si="3"/>
        <v>20.012810795831655</v>
      </c>
      <c r="Q13" s="36">
        <f t="shared" si="3"/>
        <v>20.012810795831655</v>
      </c>
      <c r="R13" s="36">
        <f t="shared" si="3"/>
        <v>20.012810795831655</v>
      </c>
      <c r="S13" s="36">
        <f t="shared" si="3"/>
        <v>20.012810795831655</v>
      </c>
      <c r="T13" s="36">
        <f t="shared" si="3"/>
        <v>20.012810795831655</v>
      </c>
      <c r="U13" s="36">
        <f t="shared" si="3"/>
        <v>20.012810795831655</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15.75" x14ac:dyDescent="0.2">
      <c r="B14" s="24">
        <v>2029</v>
      </c>
      <c r="C14" s="36">
        <f>T16</f>
        <v>4.5659938431867335</v>
      </c>
      <c r="D14" s="37">
        <v>0</v>
      </c>
      <c r="E14" s="36">
        <f>S19</f>
        <v>112.07174045665727</v>
      </c>
      <c r="F14" s="41">
        <f>T23</f>
        <v>106.06789721790778</v>
      </c>
      <c r="G14" s="37">
        <v>0</v>
      </c>
      <c r="H14" s="36">
        <f t="shared" si="0"/>
        <v>222</v>
      </c>
      <c r="J14" s="21" t="s">
        <v>70</v>
      </c>
      <c r="K14" s="21" t="s">
        <v>71</v>
      </c>
      <c r="L14" s="36">
        <f>'Emission Factor of the Grid'!$L$30</f>
        <v>0.19012795894291856</v>
      </c>
      <c r="M14" s="36">
        <f>'Emission Factor of the Grid'!$L$30</f>
        <v>0.19012795894291856</v>
      </c>
      <c r="N14" s="36">
        <f>'Emission Factor of the Grid'!$L$30</f>
        <v>0.19012795894291856</v>
      </c>
      <c r="O14" s="36">
        <f>'Emission Factor of the Grid'!$L$30</f>
        <v>0.19012795894291856</v>
      </c>
      <c r="P14" s="36">
        <f>'Emission Factor of the Grid'!$L$30</f>
        <v>0.19012795894291856</v>
      </c>
      <c r="Q14" s="36">
        <f>'Emission Factor of the Grid'!$L$30</f>
        <v>0.19012795894291856</v>
      </c>
      <c r="R14" s="36">
        <f>'Emission Factor of the Grid'!$L$30</f>
        <v>0.19012795894291856</v>
      </c>
      <c r="S14" s="36">
        <f>'Emission Factor of the Grid'!$L$30</f>
        <v>0.19012795894291856</v>
      </c>
      <c r="T14" s="36">
        <f>'Emission Factor of the Grid'!$L$30</f>
        <v>0.19012795894291856</v>
      </c>
      <c r="U14" s="36">
        <f>'Emission Factor of the Grid'!$L$30</f>
        <v>0.19012795894291856</v>
      </c>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row>
    <row r="15" spans="1:57" ht="15.75" x14ac:dyDescent="0.2">
      <c r="B15" s="24">
        <v>2030</v>
      </c>
      <c r="C15" s="36">
        <f>U16</f>
        <v>4.5659938431867335</v>
      </c>
      <c r="D15" s="37">
        <v>0</v>
      </c>
      <c r="E15" s="36">
        <f>T19</f>
        <v>112.07174045665727</v>
      </c>
      <c r="F15" s="41">
        <f>U23</f>
        <v>106.06789721790778</v>
      </c>
      <c r="G15" s="37">
        <v>0</v>
      </c>
      <c r="H15" s="36">
        <f t="shared" si="0"/>
        <v>222</v>
      </c>
      <c r="J15" s="21" t="s">
        <v>72</v>
      </c>
      <c r="K15" s="21" t="s">
        <v>73</v>
      </c>
      <c r="L15" s="70">
        <v>0.2</v>
      </c>
      <c r="M15" s="70">
        <v>0.2</v>
      </c>
      <c r="N15" s="70">
        <v>0.2</v>
      </c>
      <c r="O15" s="70">
        <v>0.2</v>
      </c>
      <c r="P15" s="70">
        <v>0.2</v>
      </c>
      <c r="Q15" s="70">
        <v>0.2</v>
      </c>
      <c r="R15" s="70">
        <v>0.2</v>
      </c>
      <c r="S15" s="70">
        <v>0.2</v>
      </c>
      <c r="T15" s="70">
        <v>0.2</v>
      </c>
      <c r="U15" s="70">
        <v>0.2</v>
      </c>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row>
    <row r="16" spans="1:57" ht="15.75" x14ac:dyDescent="0.2">
      <c r="J16" s="21" t="s">
        <v>117</v>
      </c>
      <c r="K16" s="21" t="s">
        <v>74</v>
      </c>
      <c r="L16" s="36">
        <f>L13*L14*(1+L15)</f>
        <v>4.5659938431867335</v>
      </c>
      <c r="M16" s="36">
        <f t="shared" ref="M16:U16" si="4">M13*M14*(1+M15)</f>
        <v>4.5659938431867335</v>
      </c>
      <c r="N16" s="36">
        <f t="shared" si="4"/>
        <v>4.5659938431867335</v>
      </c>
      <c r="O16" s="36">
        <f t="shared" si="4"/>
        <v>4.5659938431867335</v>
      </c>
      <c r="P16" s="36">
        <f t="shared" si="4"/>
        <v>4.5659938431867335</v>
      </c>
      <c r="Q16" s="36">
        <f t="shared" si="4"/>
        <v>4.5659938431867335</v>
      </c>
      <c r="R16" s="36">
        <f t="shared" si="4"/>
        <v>4.5659938431867335</v>
      </c>
      <c r="S16" s="36">
        <f t="shared" si="4"/>
        <v>4.5659938431867335</v>
      </c>
      <c r="T16" s="36">
        <f t="shared" si="4"/>
        <v>4.5659938431867335</v>
      </c>
      <c r="U16" s="36">
        <f t="shared" si="4"/>
        <v>4.5659938431867335</v>
      </c>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row>
    <row r="17" spans="10:57" ht="15.75" x14ac:dyDescent="0.2">
      <c r="J17" s="154" t="s">
        <v>75</v>
      </c>
      <c r="K17" s="155"/>
      <c r="L17" s="155"/>
      <c r="M17" s="155"/>
      <c r="N17" s="155"/>
      <c r="O17" s="155"/>
      <c r="P17" s="155"/>
      <c r="Q17" s="155"/>
      <c r="R17" s="155"/>
      <c r="S17" s="155"/>
      <c r="T17" s="155"/>
      <c r="U17" s="15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row>
    <row r="18" spans="10:57" ht="16.5" x14ac:dyDescent="0.2">
      <c r="J18" s="21" t="s">
        <v>76</v>
      </c>
      <c r="K18" s="21" t="s">
        <v>77</v>
      </c>
      <c r="L18" s="62">
        <v>2E-3</v>
      </c>
      <c r="M18" s="62">
        <v>2E-3</v>
      </c>
      <c r="N18" s="62">
        <v>2E-3</v>
      </c>
      <c r="O18" s="62">
        <v>2E-3</v>
      </c>
      <c r="P18" s="62">
        <v>2E-3</v>
      </c>
      <c r="Q18" s="62">
        <v>2E-3</v>
      </c>
      <c r="R18" s="62">
        <v>2E-3</v>
      </c>
      <c r="S18" s="62">
        <v>2E-3</v>
      </c>
      <c r="T18" s="62">
        <v>2E-3</v>
      </c>
      <c r="U18" s="62">
        <v>2E-3</v>
      </c>
    </row>
    <row r="19" spans="10:57" ht="15.75" x14ac:dyDescent="0.2">
      <c r="J19" s="21" t="s">
        <v>78</v>
      </c>
      <c r="K19" s="21" t="s">
        <v>79</v>
      </c>
      <c r="L19" s="36">
        <f>L10*L18*'BEy_Santa Lucia'!M7</f>
        <v>112.07174045665727</v>
      </c>
      <c r="M19" s="36">
        <f>L19</f>
        <v>112.07174045665727</v>
      </c>
      <c r="N19" s="36">
        <f t="shared" ref="N19:U19" si="5">M19</f>
        <v>112.07174045665727</v>
      </c>
      <c r="O19" s="36">
        <f t="shared" si="5"/>
        <v>112.07174045665727</v>
      </c>
      <c r="P19" s="36">
        <f t="shared" si="5"/>
        <v>112.07174045665727</v>
      </c>
      <c r="Q19" s="36">
        <f t="shared" si="5"/>
        <v>112.07174045665727</v>
      </c>
      <c r="R19" s="36">
        <f t="shared" si="5"/>
        <v>112.07174045665727</v>
      </c>
      <c r="S19" s="36">
        <f t="shared" si="5"/>
        <v>112.07174045665727</v>
      </c>
      <c r="T19" s="36">
        <f t="shared" si="5"/>
        <v>112.07174045665727</v>
      </c>
      <c r="U19" s="36">
        <f t="shared" si="5"/>
        <v>112.07174045665727</v>
      </c>
    </row>
    <row r="20" spans="10:57" ht="15.75" x14ac:dyDescent="0.2">
      <c r="J20" s="154" t="s">
        <v>80</v>
      </c>
      <c r="K20" s="155"/>
      <c r="L20" s="155"/>
      <c r="M20" s="155"/>
      <c r="N20" s="155"/>
      <c r="O20" s="155"/>
      <c r="P20" s="155"/>
      <c r="Q20" s="155"/>
      <c r="R20" s="155"/>
      <c r="S20" s="155"/>
      <c r="T20" s="155"/>
      <c r="U20" s="155"/>
    </row>
    <row r="21" spans="10:57" ht="16.5" x14ac:dyDescent="0.2">
      <c r="J21" s="21" t="s">
        <v>81</v>
      </c>
      <c r="K21" s="21" t="s">
        <v>82</v>
      </c>
      <c r="L21" s="63">
        <v>2.0000000000000001E-4</v>
      </c>
      <c r="M21" s="63">
        <v>2.0000000000000001E-4</v>
      </c>
      <c r="N21" s="63">
        <v>2.0000000000000001E-4</v>
      </c>
      <c r="O21" s="63">
        <v>2.0000000000000001E-4</v>
      </c>
      <c r="P21" s="63">
        <v>2.0000000000000001E-4</v>
      </c>
      <c r="Q21" s="63">
        <v>2.0000000000000001E-4</v>
      </c>
      <c r="R21" s="63">
        <v>2.0000000000000001E-4</v>
      </c>
      <c r="S21" s="63">
        <v>2.0000000000000001E-4</v>
      </c>
      <c r="T21" s="63">
        <v>2.0000000000000001E-4</v>
      </c>
      <c r="U21" s="63">
        <v>2.0000000000000001E-4</v>
      </c>
    </row>
    <row r="22" spans="10:57" ht="16.5" x14ac:dyDescent="0.2">
      <c r="J22" s="21" t="s">
        <v>83</v>
      </c>
      <c r="K22" s="21" t="s">
        <v>84</v>
      </c>
      <c r="L22" s="36">
        <v>265</v>
      </c>
      <c r="M22" s="36">
        <v>265</v>
      </c>
      <c r="N22" s="36">
        <v>265</v>
      </c>
      <c r="O22" s="36">
        <v>265</v>
      </c>
      <c r="P22" s="36">
        <v>265</v>
      </c>
      <c r="Q22" s="36">
        <v>265</v>
      </c>
      <c r="R22" s="36">
        <v>265</v>
      </c>
      <c r="S22" s="36">
        <v>265</v>
      </c>
      <c r="T22" s="36">
        <v>265</v>
      </c>
      <c r="U22" s="36">
        <v>265</v>
      </c>
    </row>
    <row r="23" spans="10:57" ht="15.75" x14ac:dyDescent="0.2">
      <c r="J23" s="37" t="s">
        <v>85</v>
      </c>
      <c r="K23" s="21" t="s">
        <v>79</v>
      </c>
      <c r="L23" s="36">
        <f t="shared" ref="L23:U23" si="6">L10*L21*L22</f>
        <v>106.06789721790778</v>
      </c>
      <c r="M23" s="36">
        <f t="shared" si="6"/>
        <v>106.06789721790778</v>
      </c>
      <c r="N23" s="36">
        <f t="shared" si="6"/>
        <v>106.06789721790778</v>
      </c>
      <c r="O23" s="36">
        <f t="shared" si="6"/>
        <v>106.06789721790778</v>
      </c>
      <c r="P23" s="36">
        <f t="shared" si="6"/>
        <v>106.06789721790778</v>
      </c>
      <c r="Q23" s="36">
        <f t="shared" si="6"/>
        <v>106.06789721790778</v>
      </c>
      <c r="R23" s="36">
        <f t="shared" si="6"/>
        <v>106.06789721790778</v>
      </c>
      <c r="S23" s="36">
        <f t="shared" si="6"/>
        <v>106.06789721790778</v>
      </c>
      <c r="T23" s="36">
        <f t="shared" si="6"/>
        <v>106.06789721790778</v>
      </c>
      <c r="U23" s="36">
        <f t="shared" si="6"/>
        <v>106.06789721790778</v>
      </c>
    </row>
    <row r="28" spans="10:57" ht="20.25" customHeight="1" x14ac:dyDescent="0.2"/>
    <row r="34" spans="22:22" x14ac:dyDescent="0.2">
      <c r="V34" s="42"/>
    </row>
  </sheetData>
  <mergeCells count="7">
    <mergeCell ref="J20:U20"/>
    <mergeCell ref="B2:H2"/>
    <mergeCell ref="J2:U2"/>
    <mergeCell ref="B3:H3"/>
    <mergeCell ref="B4:H4"/>
    <mergeCell ref="J11:U11"/>
    <mergeCell ref="J17:U17"/>
  </mergeCells>
  <pageMargins left="0.511811024" right="0.511811024" top="0.78740157499999996" bottom="0.78740157499999996" header="0.31496062000000002" footer="0.31496062000000002"/>
  <pageSetup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GHG Emission Reductions</vt:lpstr>
      <vt:lpstr>BEy_Fazenda Altenor</vt:lpstr>
      <vt:lpstr>PEy_ Fazenda Altenor</vt:lpstr>
      <vt:lpstr>Last MR Verified_FazendaAltenor</vt:lpstr>
      <vt:lpstr>BEy_Baccin</vt:lpstr>
      <vt:lpstr>PEy_Baccin</vt:lpstr>
      <vt:lpstr>Last MR Verified_Baccin</vt:lpstr>
      <vt:lpstr>BEy_Santa Lucia</vt:lpstr>
      <vt:lpstr>PEy_Santa Lucia</vt:lpstr>
      <vt:lpstr>Last MR Verified_Santa Lucia</vt:lpstr>
      <vt:lpstr>BEy_Granja Silva</vt:lpstr>
      <vt:lpstr>PEy_Granja Silva</vt:lpstr>
      <vt:lpstr>Last MR Verified_Granja Silva</vt:lpstr>
      <vt:lpstr>BEy_Ramela</vt:lpstr>
      <vt:lpstr>PEy_Ramela</vt:lpstr>
      <vt:lpstr>Last MR Verified_Ramela</vt:lpstr>
      <vt:lpstr>BEy_Colonia Suspiro</vt:lpstr>
      <vt:lpstr>PEy_Colonia Suspiro</vt:lpstr>
      <vt:lpstr>Last MR_Colonia Suspiro</vt:lpstr>
      <vt:lpstr>Emission Factor of the Grid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Faustino</dc:creator>
  <cp:lastModifiedBy>Mariana Costa</cp:lastModifiedBy>
  <dcterms:created xsi:type="dcterms:W3CDTF">2022-09-13T04:49:12Z</dcterms:created>
  <dcterms:modified xsi:type="dcterms:W3CDTF">2024-12-10T18:34:18Z</dcterms:modified>
</cp:coreProperties>
</file>